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.research\personal\rxia\Improved Alpha Models\ABMD\"/>
    </mc:Choice>
  </mc:AlternateContent>
  <xr:revisionPtr revIDLastSave="0" documentId="13_ncr:1_{ABDC5119-6BE8-4B17-AE4C-DD4C4DCF4882}" xr6:coauthVersionLast="46" xr6:coauthVersionMax="46" xr10:uidLastSave="{00000000-0000-0000-0000-000000000000}"/>
  <bookViews>
    <workbookView xWindow="-28920" yWindow="-120" windowWidth="29040" windowHeight="15840" activeTab="3" xr2:uid="{07F493FA-2681-4851-A3A3-ECE0336C6524}"/>
  </bookViews>
  <sheets>
    <sheet name="1. Data &amp; Confidence Interval" sheetId="1" r:id="rId1"/>
    <sheet name="2. Past Proj &amp; Candidate Model" sheetId="2" r:id="rId2"/>
    <sheet name="3. Improved Alpha Model" sheetId="3" r:id="rId3"/>
    <sheet name="4. 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4" i="4" l="1"/>
  <c r="O33" i="4"/>
  <c r="O32" i="4"/>
  <c r="O31" i="4"/>
  <c r="O30" i="4"/>
  <c r="O29" i="4"/>
  <c r="O34" i="4" l="1"/>
  <c r="D34" i="4" s="1"/>
  <c r="O18" i="4"/>
  <c r="O17" i="4"/>
  <c r="O16" i="4"/>
  <c r="O15" i="4"/>
  <c r="O14" i="4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26" i="2"/>
  <c r="J8" i="2"/>
  <c r="P8" i="2" s="1"/>
  <c r="L8" i="2"/>
  <c r="M8" i="2"/>
  <c r="N8" i="2"/>
  <c r="O8" i="2"/>
  <c r="K8" i="2"/>
  <c r="J21" i="2"/>
  <c r="P21" i="2" s="1"/>
  <c r="Q21" i="2" s="1"/>
  <c r="AF19" i="1"/>
  <c r="AG26" i="1" s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O21" i="2"/>
  <c r="N21" i="2"/>
  <c r="M21" i="2"/>
  <c r="L21" i="2"/>
  <c r="K21" i="2"/>
  <c r="AG27" i="1"/>
  <c r="K26" i="1"/>
  <c r="AG25" i="1"/>
  <c r="AG24" i="1"/>
  <c r="AG23" i="1"/>
  <c r="AG22" i="1"/>
  <c r="C2" i="4"/>
  <c r="F26" i="3"/>
  <c r="I30" i="3"/>
  <c r="E30" i="3"/>
  <c r="R41" i="2" a="1"/>
  <c r="R41" i="2" s="1"/>
  <c r="R42" i="2" a="1"/>
  <c r="R42" i="2" s="1"/>
  <c r="D29" i="4" l="1"/>
  <c r="D30" i="4"/>
  <c r="D32" i="4"/>
  <c r="Q8" i="2"/>
  <c r="D33" i="4"/>
  <c r="D46" i="4" s="1"/>
  <c r="D31" i="4"/>
  <c r="R40" i="2"/>
  <c r="R39" i="2"/>
  <c r="R38" i="2"/>
  <c r="R37" i="2"/>
  <c r="R35" i="2"/>
  <c r="R34" i="2"/>
  <c r="R33" i="2"/>
  <c r="R32" i="2"/>
  <c r="R31" i="2"/>
  <c r="R30" i="2"/>
  <c r="R29" i="2"/>
  <c r="R28" i="2"/>
  <c r="R27" i="2"/>
  <c r="R26" i="2"/>
  <c r="K24" i="1"/>
  <c r="L24" i="1"/>
  <c r="K22" i="1"/>
  <c r="L22" i="1"/>
  <c r="AH20" i="1"/>
  <c r="AG20" i="1"/>
  <c r="AF20" i="1"/>
  <c r="AE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AG28" i="1" l="1"/>
  <c r="H26" i="3"/>
  <c r="N22" i="2" l="1"/>
  <c r="M22" i="2"/>
  <c r="R36" i="2"/>
  <c r="K27" i="2"/>
  <c r="L27" i="2"/>
  <c r="M27" i="2"/>
  <c r="N27" i="2"/>
  <c r="O27" i="2"/>
  <c r="P27" i="2"/>
  <c r="Q27" i="2"/>
  <c r="K28" i="2"/>
  <c r="L28" i="2"/>
  <c r="M28" i="2"/>
  <c r="N28" i="2"/>
  <c r="O28" i="2"/>
  <c r="P28" i="2"/>
  <c r="Q28" i="2"/>
  <c r="K29" i="2"/>
  <c r="L29" i="2"/>
  <c r="M29" i="2"/>
  <c r="N29" i="2"/>
  <c r="O29" i="2"/>
  <c r="P29" i="2"/>
  <c r="Q29" i="2"/>
  <c r="K30" i="2"/>
  <c r="L30" i="2"/>
  <c r="M30" i="2"/>
  <c r="N30" i="2"/>
  <c r="O30" i="2"/>
  <c r="P30" i="2"/>
  <c r="Q30" i="2"/>
  <c r="K31" i="2"/>
  <c r="L31" i="2"/>
  <c r="M31" i="2"/>
  <c r="N31" i="2"/>
  <c r="O31" i="2"/>
  <c r="P31" i="2"/>
  <c r="Q31" i="2"/>
  <c r="K32" i="2"/>
  <c r="L32" i="2"/>
  <c r="M32" i="2"/>
  <c r="N32" i="2"/>
  <c r="O32" i="2"/>
  <c r="P32" i="2"/>
  <c r="Q32" i="2"/>
  <c r="K33" i="2"/>
  <c r="L33" i="2"/>
  <c r="M33" i="2"/>
  <c r="N33" i="2"/>
  <c r="O33" i="2"/>
  <c r="P33" i="2"/>
  <c r="Q33" i="2"/>
  <c r="K34" i="2"/>
  <c r="L34" i="2"/>
  <c r="M34" i="2"/>
  <c r="N34" i="2"/>
  <c r="O34" i="2"/>
  <c r="P34" i="2"/>
  <c r="Q34" i="2"/>
  <c r="K35" i="2"/>
  <c r="L35" i="2"/>
  <c r="M35" i="2"/>
  <c r="N35" i="2"/>
  <c r="O35" i="2"/>
  <c r="P35" i="2"/>
  <c r="Q35" i="2"/>
  <c r="K36" i="2"/>
  <c r="L36" i="2"/>
  <c r="M36" i="2"/>
  <c r="N36" i="2"/>
  <c r="O36" i="2"/>
  <c r="P36" i="2"/>
  <c r="Q36" i="2"/>
  <c r="K37" i="2"/>
  <c r="L37" i="2"/>
  <c r="M37" i="2"/>
  <c r="N37" i="2"/>
  <c r="O37" i="2"/>
  <c r="P37" i="2"/>
  <c r="Q37" i="2"/>
  <c r="K38" i="2"/>
  <c r="L38" i="2"/>
  <c r="M38" i="2"/>
  <c r="N38" i="2"/>
  <c r="O38" i="2"/>
  <c r="P38" i="2"/>
  <c r="Q38" i="2"/>
  <c r="K39" i="2"/>
  <c r="L39" i="2"/>
  <c r="M39" i="2"/>
  <c r="N39" i="2"/>
  <c r="O39" i="2"/>
  <c r="P39" i="2"/>
  <c r="Q39" i="2"/>
  <c r="K40" i="2"/>
  <c r="L40" i="2"/>
  <c r="M40" i="2"/>
  <c r="N40" i="2"/>
  <c r="O40" i="2"/>
  <c r="P40" i="2"/>
  <c r="Q40" i="2"/>
  <c r="E40" i="2"/>
  <c r="E26" i="2"/>
  <c r="F26" i="2"/>
  <c r="G26" i="2"/>
  <c r="H26" i="2"/>
  <c r="I26" i="2"/>
  <c r="J26" i="2"/>
  <c r="E27" i="2"/>
  <c r="F27" i="2"/>
  <c r="G27" i="2"/>
  <c r="H27" i="2"/>
  <c r="I27" i="2"/>
  <c r="J27" i="2"/>
  <c r="E28" i="2"/>
  <c r="F28" i="2"/>
  <c r="G28" i="2"/>
  <c r="H28" i="2"/>
  <c r="I28" i="2"/>
  <c r="J28" i="2"/>
  <c r="E29" i="2"/>
  <c r="F29" i="2"/>
  <c r="G29" i="2"/>
  <c r="H29" i="2"/>
  <c r="I29" i="2"/>
  <c r="J29" i="2"/>
  <c r="E30" i="2"/>
  <c r="F30" i="2"/>
  <c r="G30" i="2"/>
  <c r="H30" i="2"/>
  <c r="I30" i="2"/>
  <c r="J30" i="2"/>
  <c r="E31" i="2"/>
  <c r="F31" i="2"/>
  <c r="G31" i="2"/>
  <c r="H31" i="2"/>
  <c r="I31" i="2"/>
  <c r="J31" i="2"/>
  <c r="E32" i="2"/>
  <c r="F32" i="2"/>
  <c r="G32" i="2"/>
  <c r="H32" i="2"/>
  <c r="I32" i="2"/>
  <c r="J32" i="2"/>
  <c r="E33" i="2"/>
  <c r="F33" i="2"/>
  <c r="G33" i="2"/>
  <c r="H33" i="2"/>
  <c r="I33" i="2"/>
  <c r="J33" i="2"/>
  <c r="E34" i="2"/>
  <c r="F34" i="2"/>
  <c r="G34" i="2"/>
  <c r="H34" i="2"/>
  <c r="I34" i="2"/>
  <c r="J34" i="2"/>
  <c r="E35" i="2"/>
  <c r="F35" i="2"/>
  <c r="G35" i="2"/>
  <c r="H35" i="2"/>
  <c r="I35" i="2"/>
  <c r="J35" i="2"/>
  <c r="E36" i="2"/>
  <c r="F36" i="2"/>
  <c r="G36" i="2"/>
  <c r="H36" i="2"/>
  <c r="I36" i="2"/>
  <c r="J36" i="2"/>
  <c r="E37" i="2"/>
  <c r="F37" i="2"/>
  <c r="G37" i="2"/>
  <c r="H37" i="2"/>
  <c r="I37" i="2"/>
  <c r="J37" i="2"/>
  <c r="E38" i="2"/>
  <c r="F38" i="2"/>
  <c r="G38" i="2"/>
  <c r="H38" i="2"/>
  <c r="I38" i="2"/>
  <c r="J38" i="2"/>
  <c r="E39" i="2"/>
  <c r="F39" i="2"/>
  <c r="G39" i="2"/>
  <c r="H39" i="2"/>
  <c r="I39" i="2"/>
  <c r="J39" i="2"/>
  <c r="F40" i="2"/>
  <c r="G40" i="2"/>
  <c r="H40" i="2"/>
  <c r="I40" i="2"/>
  <c r="J40" i="2"/>
  <c r="R22" i="2"/>
  <c r="Q22" i="2"/>
  <c r="F22" i="2"/>
  <c r="G22" i="2"/>
  <c r="H22" i="2"/>
  <c r="I22" i="2"/>
  <c r="J22" i="2"/>
  <c r="K22" i="2"/>
  <c r="L22" i="2"/>
  <c r="O22" i="2"/>
  <c r="P22" i="2"/>
  <c r="E22" i="2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A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A24" i="1"/>
  <c r="AB24" i="1"/>
  <c r="AC24" i="1"/>
  <c r="AD24" i="1"/>
  <c r="AE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Q42" i="2" l="1" a="1"/>
  <c r="Q42" i="2" s="1"/>
  <c r="Q41" i="2" a="1"/>
  <c r="Q41" i="2" s="1"/>
  <c r="M41" i="2" a="1"/>
  <c r="M41" i="2" s="1"/>
  <c r="M42" i="2" a="1"/>
  <c r="M42" i="2" s="1"/>
  <c r="N41" i="2" a="1"/>
  <c r="N41" i="2" s="1"/>
  <c r="N42" i="2" a="1"/>
  <c r="N42" i="2" s="1"/>
  <c r="L42" i="2" a="1"/>
  <c r="L42" i="2" s="1"/>
  <c r="L41" i="2" a="1"/>
  <c r="L41" i="2" s="1"/>
  <c r="P41" i="2" a="1"/>
  <c r="P41" i="2" s="1"/>
  <c r="P42" i="2" a="1"/>
  <c r="P42" i="2" s="1"/>
  <c r="O41" i="2" a="1"/>
  <c r="O41" i="2" s="1"/>
  <c r="O42" i="2" a="1"/>
  <c r="O42" i="2" s="1"/>
  <c r="K42" i="2" a="1"/>
  <c r="K42" i="2" s="1"/>
  <c r="K41" i="2" a="1"/>
  <c r="K41" i="2" s="1"/>
  <c r="G42" i="2" a="1"/>
  <c r="G42" i="2" s="1"/>
  <c r="G41" i="2" a="1"/>
  <c r="G41" i="2" s="1"/>
  <c r="F41" i="2" a="1"/>
  <c r="F41" i="2" s="1"/>
  <c r="F42" i="2" a="1"/>
  <c r="F42" i="2" s="1"/>
  <c r="I42" i="2" a="1"/>
  <c r="I42" i="2" s="1"/>
  <c r="I41" i="2" a="1"/>
  <c r="I41" i="2" s="1"/>
  <c r="E42" i="2" a="1"/>
  <c r="E42" i="2" s="1"/>
  <c r="E41" i="2" a="1"/>
  <c r="E41" i="2" s="1"/>
  <c r="H42" i="2" a="1"/>
  <c r="H42" i="2" s="1"/>
  <c r="H41" i="2" a="1"/>
  <c r="H41" i="2" s="1"/>
  <c r="J41" i="2" a="1"/>
  <c r="J41" i="2" s="1"/>
  <c r="J42" i="2" a="1"/>
  <c r="J42" i="2" s="1"/>
  <c r="N26" i="1"/>
  <c r="O25" i="1"/>
  <c r="N25" i="1"/>
  <c r="N27" i="1"/>
  <c r="D47" i="4" s="1"/>
  <c r="K27" i="1"/>
  <c r="O23" i="1"/>
  <c r="N23" i="1"/>
  <c r="AD23" i="1"/>
  <c r="AF12" i="1"/>
  <c r="F12" i="1"/>
  <c r="S23" i="1"/>
  <c r="AE23" i="1"/>
  <c r="AA23" i="1"/>
  <c r="AE25" i="1"/>
  <c r="R23" i="1"/>
  <c r="T23" i="1"/>
  <c r="U23" i="1"/>
  <c r="V23" i="1"/>
  <c r="U25" i="1"/>
  <c r="T25" i="1"/>
  <c r="Z25" i="1"/>
  <c r="S25" i="1"/>
  <c r="R25" i="1"/>
  <c r="AA25" i="1"/>
  <c r="W25" i="1"/>
  <c r="Y25" i="1"/>
  <c r="V25" i="1"/>
  <c r="X25" i="1"/>
  <c r="P25" i="1"/>
  <c r="Q25" i="1"/>
  <c r="AD25" i="1"/>
  <c r="AC25" i="1"/>
  <c r="AB25" i="1"/>
  <c r="Q23" i="1"/>
  <c r="AC23" i="1"/>
  <c r="W23" i="1"/>
  <c r="X23" i="1"/>
  <c r="Y23" i="1"/>
  <c r="Z23" i="1"/>
  <c r="P23" i="1"/>
  <c r="AB23" i="1"/>
  <c r="C7" i="1" l="1"/>
  <c r="B7" i="1"/>
  <c r="H3" i="1" l="1"/>
  <c r="I3" i="1"/>
  <c r="I2" i="1"/>
  <c r="H2" i="1"/>
  <c r="J3" i="1" l="1"/>
  <c r="K3" i="1" s="1"/>
  <c r="J2" i="1"/>
  <c r="J4" i="1" l="1"/>
  <c r="K4" i="1" s="1"/>
  <c r="K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<sst xmlns="http://schemas.openxmlformats.org/spreadsheetml/2006/main" count="396" uniqueCount="219">
  <si>
    <t>Consensus</t>
  </si>
  <si>
    <t>VA Actual</t>
  </si>
  <si>
    <t>YoY Growth</t>
  </si>
  <si>
    <t>Q2</t>
  </si>
  <si>
    <t>Q3</t>
  </si>
  <si>
    <t>Q4</t>
  </si>
  <si>
    <t>DATA</t>
  </si>
  <si>
    <t>Beat (1 Yes, 0 No)</t>
  </si>
  <si>
    <t>Avg Beat</t>
  </si>
  <si>
    <t>Beat Moving Avg (4)</t>
  </si>
  <si>
    <t>Avg Beat MA</t>
  </si>
  <si>
    <t>Beat Pct</t>
  </si>
  <si>
    <t>Beat Pct MA (4)</t>
  </si>
  <si>
    <t>Median Beat Pct</t>
  </si>
  <si>
    <t>Median Beat Pct MA</t>
  </si>
  <si>
    <t>Avg YoY Growth</t>
  </si>
  <si>
    <t>Avg Last 4 Qtr YoY GR</t>
  </si>
  <si>
    <t>US Pre-Q Revenue</t>
  </si>
  <si>
    <t>US to Total Proportion Revenue</t>
  </si>
  <si>
    <t>QTR</t>
  </si>
  <si>
    <t>Q1</t>
  </si>
  <si>
    <t>Q3E</t>
  </si>
  <si>
    <t>Q4E</t>
  </si>
  <si>
    <t>Avg Last 4 Qtr US to Total Proportion Revenue</t>
  </si>
  <si>
    <t>QTR Distributions</t>
  </si>
  <si>
    <t>Avg Positive Beat</t>
  </si>
  <si>
    <t>Avg Negative Beat</t>
  </si>
  <si>
    <t>Q3 Quarter Distribution Avg</t>
  </si>
  <si>
    <t>Q3 Quarter Distribution Standard Deviation</t>
  </si>
  <si>
    <t>Median Positive Beat</t>
  </si>
  <si>
    <t>Median Negative Beat</t>
  </si>
  <si>
    <t>Lower</t>
  </si>
  <si>
    <t>Upper</t>
  </si>
  <si>
    <t>GUIDANCE</t>
  </si>
  <si>
    <t>PARAMETERS</t>
  </si>
  <si>
    <t>Confidance Interval</t>
  </si>
  <si>
    <t>USA Guidance</t>
  </si>
  <si>
    <t>Lower Confidence Interval</t>
  </si>
  <si>
    <t>Upper Confidence Interval</t>
  </si>
  <si>
    <t>Avg</t>
  </si>
  <si>
    <t>Total</t>
  </si>
  <si>
    <t>Expected YoY Growth</t>
  </si>
  <si>
    <t>ATRC</t>
  </si>
  <si>
    <t>US Revenue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</si>
  <si>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</si>
  <si>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</si>
  <si>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</si>
  <si>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</si>
  <si>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</si>
  <si>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</si>
  <si>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</si>
  <si>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</si>
  <si>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</si>
  <si>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</si>
  <si>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</si>
  <si>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</si>
  <si>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</si>
  <si>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</si>
  <si>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</si>
  <si>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TICKER</t>
  </si>
  <si>
    <t>REVENUE_TYPE</t>
  </si>
  <si>
    <t>CutDate</t>
  </si>
  <si>
    <t>SS_12_12 Estimate</t>
  </si>
  <si>
    <t>SS_NO_LR</t>
  </si>
  <si>
    <t>NSS_12_12_Estimate</t>
  </si>
  <si>
    <t>Average</t>
  </si>
  <si>
    <t>SS_12_12 Estimate_GR</t>
  </si>
  <si>
    <t>SS_NO_LR_GR</t>
  </si>
  <si>
    <t>NSS_12_12_Estimate_GR</t>
  </si>
  <si>
    <t>Average_GR</t>
  </si>
  <si>
    <t>AVG_AVG_GR</t>
  </si>
  <si>
    <t>Calendar Year</t>
  </si>
  <si>
    <t>SS 12_03 LR</t>
  </si>
  <si>
    <t>NSS 12_03 LR</t>
  </si>
  <si>
    <t>2021Q3</t>
  </si>
  <si>
    <t>Reported Revenue</t>
  </si>
  <si>
    <t>SS 12_03_LR_GR</t>
  </si>
  <si>
    <t>NSS 12_03_LR_GR</t>
  </si>
  <si>
    <t>CORRELATION W/O 2021Q3</t>
  </si>
  <si>
    <t>Historical Projections</t>
  </si>
  <si>
    <t>Projection Accuracy</t>
  </si>
  <si>
    <t>Absolute Average</t>
  </si>
  <si>
    <t>Standard Deviation from 0</t>
  </si>
  <si>
    <t>NOTE:</t>
  </si>
  <si>
    <t>The Best Linear Regression Models (Linear Models) comes either from best correlations or Best (lowest) Accuracy or Best (Standard Deviation) Accuracy</t>
  </si>
  <si>
    <t>From Step 2. We input the historical values for the projection methodology and add a layered forward chaining linear models regression</t>
  </si>
  <si>
    <t>Alphas directory is my personal directory where I store all the excel/csv files. It doesn't get git push so you may need to change directory output</t>
  </si>
  <si>
    <t>2021Q2 Results</t>
  </si>
  <si>
    <t>Notes</t>
  </si>
  <si>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</si>
  <si>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</si>
  <si>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</si>
  <si>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</si>
  <si>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</si>
  <si>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</si>
  <si>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</si>
  <si>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</si>
  <si>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</si>
  <si>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</si>
  <si>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</si>
  <si>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AVG</t>
  </si>
  <si>
    <t>STD</t>
  </si>
  <si>
    <t>MEDIAN</t>
  </si>
  <si>
    <t>1.</t>
  </si>
  <si>
    <t>2.</t>
  </si>
  <si>
    <t>3.</t>
  </si>
  <si>
    <t>4.</t>
  </si>
  <si>
    <t>5.</t>
  </si>
  <si>
    <t>STEP</t>
  </si>
  <si>
    <t>Example on the linear regression with consensus</t>
  </si>
  <si>
    <t>6.</t>
  </si>
  <si>
    <t>Red highlights are the best performing for that dataset</t>
  </si>
  <si>
    <t>2. Past Proj &amp; Candidate Model'!A45:B45</t>
  </si>
  <si>
    <t>Ex.</t>
  </si>
  <si>
    <t>7.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</si>
  <si>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</si>
  <si>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</si>
  <si>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</si>
  <si>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</si>
  <si>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</si>
  <si>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</si>
  <si>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</si>
  <si>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</si>
  <si>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</si>
  <si>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</si>
  <si>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</si>
  <si>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</si>
  <si>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</si>
  <si>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</si>
  <si>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</si>
  <si>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</si>
  <si>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</si>
  <si>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</si>
  <si>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</si>
  <si>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</si>
  <si>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</si>
  <si>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</si>
  <si>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</si>
  <si>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</si>
  <si>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</si>
  <si>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</si>
  <si>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>Predicted Reported Revenue</t>
  </si>
  <si>
    <t>8.</t>
  </si>
  <si>
    <t>The predicted 2021Q2 Revenue is then:</t>
  </si>
  <si>
    <t>Acuuracy:</t>
  </si>
  <si>
    <t>off</t>
  </si>
  <si>
    <t xml:space="preserve">This methodology scored: </t>
  </si>
  <si>
    <t>I usually start this process at 2019Q1 and repeat this backtest for all dates</t>
  </si>
  <si>
    <t>Finding the best methodology in the previous quarter. (Do not put 2021Q3 data point into the pandas data frame in LR_adj.py)</t>
  </si>
  <si>
    <t>An example of of the methodology is found in cell P2</t>
  </si>
  <si>
    <t>9.</t>
  </si>
  <si>
    <t xml:space="preserve">To explain each methodology result. </t>
  </si>
  <si>
    <t>1. Consensus is the benchmark. It is how well consensus performs in the same out of sample</t>
  </si>
  <si>
    <t>2. Projection is the inputted data series from past projection</t>
  </si>
  <si>
    <t>3. LR is the linear regression with the projection as X values and Reported Revenue as Y</t>
  </si>
  <si>
    <t>4. LR_CON is the linear regression that doesn't uses the projection and takes consensus values and run the regression with it. Example on the right</t>
  </si>
  <si>
    <t>5. LR_CON_PROJ is the multi-linear regression that takes both consensus and projection as X and outputs predicted reported revenue</t>
  </si>
  <si>
    <t>6. Ridge is a modified linear regression method. This takes projection as X and outputs predicted reported revenue as Y</t>
  </si>
  <si>
    <t>6. Lasso is an another modified linear regression method. This takes projection as X and outputs predicted reported revenue as Y</t>
  </si>
  <si>
    <t>7. Ridge_CON is the multi-linear regression with the projection and consensus as X and outputs predicted reported revenue as Y</t>
  </si>
  <si>
    <t>8. LASSO_CON is the multi-linear regression with the projection and consensus as X and outputs predicted reported revenue as Y</t>
  </si>
  <si>
    <t>Overall Result</t>
  </si>
  <si>
    <t>Step</t>
  </si>
  <si>
    <t>DATE</t>
  </si>
  <si>
    <t>REVENUE</t>
  </si>
  <si>
    <t>acc_CON</t>
  </si>
  <si>
    <t>acc_PROJ</t>
  </si>
  <si>
    <t>acc_LR</t>
  </si>
  <si>
    <t>acc_LR_CON</t>
  </si>
  <si>
    <t>acc_LR_CON_PROJ</t>
  </si>
  <si>
    <t>acc_RIDGE</t>
  </si>
  <si>
    <t>acc_LASSO</t>
  </si>
  <si>
    <t>acc_RIDGE_CON</t>
  </si>
  <si>
    <t>acc_LASSO_CON</t>
  </si>
  <si>
    <t>acc_QUAD</t>
  </si>
  <si>
    <t>acc_CUBIC</t>
  </si>
  <si>
    <t>Improved Alpha Model</t>
  </si>
  <si>
    <t>This is the same average and standard deviation calculation found in Cell</t>
  </si>
  <si>
    <t>Median value is there to show how often the back-test overshoots or undershoots the results. Negative means it overshoots.</t>
  </si>
  <si>
    <t>Average Undershoot or Overshoot:</t>
  </si>
  <si>
    <t>Average Undershoot</t>
  </si>
  <si>
    <t>Median Undershoot or Overshoot:</t>
  </si>
  <si>
    <t>Median Undershoot</t>
  </si>
  <si>
    <t>Average Overshoot</t>
  </si>
  <si>
    <t>Median Overshoot</t>
  </si>
  <si>
    <r>
      <t xml:space="preserve">I store the output for each ticker in </t>
    </r>
    <r>
      <rPr>
        <b/>
        <sz val="10"/>
        <color theme="1"/>
        <rFont val="Arial"/>
        <family val="2"/>
      </rPr>
      <t>C:\dev\da.research\personal\rxia\Alphas\TICKER</t>
    </r>
  </si>
  <si>
    <r>
      <t xml:space="preserve">You can find the script in this directory </t>
    </r>
    <r>
      <rPr>
        <b/>
        <sz val="10"/>
        <color theme="1"/>
        <rFont val="Arial"/>
        <family val="2"/>
      </rPr>
      <t>C:\dev\da.research\personal\rxia\LR_Adj.py</t>
    </r>
  </si>
  <si>
    <t>Scaling Average Undershoot or Overshoot:</t>
  </si>
  <si>
    <t>Scaling Median Undershoot or Overshoot:</t>
  </si>
  <si>
    <t>Scaling Average Undershoot</t>
  </si>
  <si>
    <t>Scaling Median Undershoot</t>
  </si>
  <si>
    <t>Scaling Average Overshoot</t>
  </si>
  <si>
    <t>Scaling Median Overshoot</t>
  </si>
  <si>
    <t>Depending on the belief, if you think the results currently is larger than what it is currently is then we can use the miss value at average overshoot</t>
  </si>
  <si>
    <t xml:space="preserve">However the average or median undershoot or overshoot is unbiased. </t>
  </si>
  <si>
    <t>Use:</t>
  </si>
  <si>
    <t>2022E</t>
  </si>
  <si>
    <t>Q1E</t>
  </si>
  <si>
    <t>Total Revenue</t>
  </si>
  <si>
    <t>ABMD</t>
  </si>
  <si>
    <t>Impella Revenue</t>
  </si>
  <si>
    <t>Outlier Removed 2020Q2</t>
  </si>
  <si>
    <t>Input those as projection into python script in step 3.</t>
  </si>
  <si>
    <t>LR:</t>
  </si>
  <si>
    <t>ABMD SS 12_12 RM 2020Q2</t>
  </si>
  <si>
    <t>ABMD SS NO LR RM 2020Q2</t>
  </si>
  <si>
    <t>It is an apple to apple comparison for each method. I removed 2020Q2 to be biased towards the projection that uses moa data.(12_12 projection)</t>
  </si>
  <si>
    <t>Consensus seemes to perform better than the other methodology</t>
  </si>
  <si>
    <t>Consensus average scored:</t>
  </si>
  <si>
    <t>Since:</t>
  </si>
  <si>
    <t>Methodology performed the best at in 2021Q2, we use it to predict Q3</t>
  </si>
  <si>
    <t>These average are biased because it compares it to the relative the inputted reported revenue. Since we do not have 2021Q3, I input consensus in there. See Step 4 for the regression summary.</t>
  </si>
  <si>
    <t>Since CONSENSUS performed  the best in the 2021Q2 data (without 2021Q3) I look at predicted result for CONSENSUS 2021Q3</t>
  </si>
  <si>
    <t>Historical Average Beat\Miss:</t>
  </si>
  <si>
    <t>Improved Alpha Implied Beat/Miss:</t>
  </si>
  <si>
    <t>which is inline with the confidence interval in step1. If this value is unsatisfactory, use confidence interval.</t>
  </si>
  <si>
    <t>For Sheet 3 Regression Removed 2020Q2</t>
  </si>
  <si>
    <t>ABMD US</t>
  </si>
  <si>
    <t>SS_12_12 RM 2020Q2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</si>
</sst>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0.0"/>
  </numFmts>
  <fonts count="1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0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9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8" borderId="1" xfId="0" applyFill="1" applyBorder="1"/>
    <xf numFmtId="164" fontId="0" fillId="0" borderId="0" xfId="1" applyNumberFormat="1" applyFont="1" applyBorder="1"/>
    <xf numFmtId="0" fontId="0" fillId="8" borderId="11" xfId="0" applyFill="1" applyBorder="1"/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9" fontId="0" fillId="0" borderId="2" xfId="1" applyFont="1" applyFill="1" applyBorder="1" applyAlignment="1">
      <alignment horizontal="center"/>
    </xf>
    <xf numFmtId="9" fontId="0" fillId="0" borderId="3" xfId="1" applyFont="1" applyFill="1" applyBorder="1" applyAlignment="1">
      <alignment horizontal="center"/>
    </xf>
    <xf numFmtId="9" fontId="0" fillId="0" borderId="4" xfId="1" applyFont="1" applyFill="1" applyBorder="1" applyAlignment="1">
      <alignment horizontal="center"/>
    </xf>
    <xf numFmtId="164" fontId="0" fillId="0" borderId="11" xfId="0" applyNumberFormat="1" applyBorder="1"/>
    <xf numFmtId="164" fontId="0" fillId="0" borderId="12" xfId="0" applyNumberFormat="1" applyBorder="1"/>
    <xf numFmtId="0" fontId="0" fillId="11" borderId="1" xfId="0" applyFill="1" applyBorder="1"/>
    <xf numFmtId="9" fontId="0" fillId="0" borderId="1" xfId="0" applyNumberFormat="1" applyBorder="1"/>
    <xf numFmtId="0" fontId="0" fillId="8" borderId="14" xfId="0" applyFill="1" applyBorder="1"/>
    <xf numFmtId="9" fontId="0" fillId="0" borderId="0" xfId="1" applyFont="1" applyBorder="1"/>
    <xf numFmtId="9" fontId="0" fillId="0" borderId="9" xfId="1" applyFont="1" applyBorder="1"/>
    <xf numFmtId="9" fontId="0" fillId="0" borderId="8" xfId="1" applyFont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9" xfId="1" applyNumberFormat="1" applyFont="1" applyBorder="1"/>
    <xf numFmtId="0" fontId="0" fillId="8" borderId="2" xfId="0" applyFill="1" applyBorder="1"/>
    <xf numFmtId="164" fontId="4" fillId="0" borderId="4" xfId="1" applyNumberFormat="1" applyFont="1" applyFill="1" applyBorder="1"/>
    <xf numFmtId="164" fontId="0" fillId="0" borderId="4" xfId="0" applyNumberFormat="1" applyBorder="1"/>
    <xf numFmtId="10" fontId="0" fillId="0" borderId="4" xfId="0" applyNumberFormat="1" applyFill="1" applyBorder="1"/>
    <xf numFmtId="9" fontId="0" fillId="0" borderId="13" xfId="1" applyFont="1" applyFill="1" applyBorder="1" applyAlignment="1">
      <alignment horizontal="center"/>
    </xf>
    <xf numFmtId="0" fontId="0" fillId="8" borderId="10" xfId="0" applyFill="1" applyBorder="1"/>
    <xf numFmtId="164" fontId="0" fillId="0" borderId="8" xfId="1" applyNumberFormat="1" applyFont="1" applyBorder="1"/>
    <xf numFmtId="164" fontId="0" fillId="0" borderId="7" xfId="0" applyNumberFormat="1" applyBorder="1"/>
    <xf numFmtId="10" fontId="0" fillId="0" borderId="12" xfId="1" applyNumberFormat="1" applyFont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Fill="1" applyAlignment="1">
      <alignment horizontal="center" vertical="center"/>
    </xf>
    <xf numFmtId="0" fontId="0" fillId="14" borderId="4" xfId="0" applyFill="1" applyBorder="1"/>
    <xf numFmtId="0" fontId="5" fillId="3" borderId="8" xfId="0" applyFont="1" applyFill="1" applyBorder="1"/>
    <xf numFmtId="0" fontId="6" fillId="5" borderId="10" xfId="0" applyFont="1" applyFill="1" applyBorder="1" applyAlignment="1">
      <alignment horizontal="left" vertical="center"/>
    </xf>
    <xf numFmtId="166" fontId="6" fillId="0" borderId="11" xfId="0" applyNumberFormat="1" applyFont="1" applyFill="1" applyBorder="1" applyAlignment="1">
      <alignment horizontal="center" vertical="center"/>
    </xf>
    <xf numFmtId="166" fontId="6" fillId="0" borderId="12" xfId="0" applyNumberFormat="1" applyFont="1" applyFill="1" applyBorder="1" applyAlignment="1">
      <alignment horizontal="center" vertical="center"/>
    </xf>
    <xf numFmtId="0" fontId="7" fillId="13" borderId="0" xfId="0" applyFont="1" applyFill="1" applyBorder="1"/>
    <xf numFmtId="0" fontId="7" fillId="13" borderId="9" xfId="0" applyFont="1" applyFill="1" applyBorder="1"/>
    <xf numFmtId="0" fontId="3" fillId="12" borderId="5" xfId="0" applyFont="1" applyFill="1" applyBorder="1"/>
    <xf numFmtId="0" fontId="0" fillId="10" borderId="8" xfId="0" applyFill="1" applyBorder="1"/>
    <xf numFmtId="0" fontId="0" fillId="10" borderId="0" xfId="0" applyFill="1" applyBorder="1"/>
    <xf numFmtId="0" fontId="0" fillId="0" borderId="3" xfId="0" applyBorder="1"/>
    <xf numFmtId="166" fontId="0" fillId="0" borderId="0" xfId="0" applyNumberFormat="1" applyBorder="1"/>
    <xf numFmtId="166" fontId="0" fillId="0" borderId="9" xfId="0" applyNumberFormat="1" applyBorder="1"/>
    <xf numFmtId="166" fontId="0" fillId="0" borderId="11" xfId="0" applyNumberFormat="1" applyBorder="1"/>
    <xf numFmtId="166" fontId="0" fillId="0" borderId="14" xfId="0" applyNumberFormat="1" applyBorder="1"/>
    <xf numFmtId="166" fontId="0" fillId="0" borderId="15" xfId="0" applyNumberFormat="1" applyBorder="1"/>
    <xf numFmtId="2" fontId="0" fillId="0" borderId="0" xfId="0" applyNumberFormat="1"/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165" fontId="0" fillId="0" borderId="3" xfId="0" applyNumberFormat="1" applyBorder="1"/>
    <xf numFmtId="165" fontId="2" fillId="0" borderId="3" xfId="0" applyNumberFormat="1" applyFont="1" applyBorder="1"/>
    <xf numFmtId="165" fontId="4" fillId="0" borderId="3" xfId="0" applyNumberFormat="1" applyFont="1" applyBorder="1"/>
    <xf numFmtId="164" fontId="2" fillId="0" borderId="0" xfId="1" applyNumberFormat="1" applyFont="1"/>
    <xf numFmtId="49" fontId="0" fillId="0" borderId="0" xfId="0" applyNumberFormat="1"/>
    <xf numFmtId="0" fontId="0" fillId="0" borderId="0" xfId="0" quotePrefix="1"/>
    <xf numFmtId="0" fontId="0" fillId="0" borderId="0" xfId="0" applyFill="1" applyBorder="1" applyAlignment="1"/>
    <xf numFmtId="0" fontId="0" fillId="0" borderId="16" xfId="0" applyFill="1" applyBorder="1" applyAlignment="1"/>
    <xf numFmtId="0" fontId="8" fillId="0" borderId="17" xfId="0" applyFont="1" applyFill="1" applyBorder="1" applyAlignment="1">
      <alignment horizontal="center"/>
    </xf>
    <xf numFmtId="0" fontId="8" fillId="0" borderId="17" xfId="0" applyFont="1" applyFill="1" applyBorder="1" applyAlignment="1">
      <alignment horizontal="centerContinuous"/>
    </xf>
    <xf numFmtId="0" fontId="0" fillId="9" borderId="0" xfId="0" applyFill="1"/>
    <xf numFmtId="0" fontId="0" fillId="0" borderId="14" xfId="0" applyFill="1" applyBorder="1"/>
    <xf numFmtId="0" fontId="0" fillId="0" borderId="16" xfId="0" applyBorder="1"/>
    <xf numFmtId="0" fontId="9" fillId="0" borderId="1" xfId="0" applyFont="1" applyBorder="1" applyAlignment="1">
      <alignment horizontal="center" vertical="top"/>
    </xf>
    <xf numFmtId="0" fontId="10" fillId="0" borderId="0" xfId="0" applyFont="1" applyFill="1" applyBorder="1" applyAlignment="1">
      <alignment horizontal="left" vertical="top"/>
    </xf>
    <xf numFmtId="0" fontId="0" fillId="4" borderId="8" xfId="0" applyFill="1" applyBorder="1" applyAlignment="1">
      <alignment horizontal="center"/>
    </xf>
    <xf numFmtId="10" fontId="0" fillId="0" borderId="0" xfId="1" applyNumberFormat="1" applyFont="1"/>
    <xf numFmtId="164" fontId="0" fillId="0" borderId="9" xfId="0" applyNumberFormat="1" applyBorder="1"/>
    <xf numFmtId="10" fontId="4" fillId="0" borderId="5" xfId="1" applyNumberFormat="1" applyFont="1" applyBorder="1"/>
    <xf numFmtId="10" fontId="4" fillId="0" borderId="10" xfId="1" applyNumberFormat="1" applyFont="1" applyBorder="1"/>
    <xf numFmtId="10" fontId="2" fillId="0" borderId="5" xfId="1" applyNumberFormat="1" applyFont="1" applyBorder="1"/>
    <xf numFmtId="10" fontId="2" fillId="0" borderId="10" xfId="1" applyNumberFormat="1" applyFont="1" applyBorder="1"/>
    <xf numFmtId="10" fontId="2" fillId="0" borderId="13" xfId="1" applyNumberFormat="1" applyFont="1" applyBorder="1"/>
    <xf numFmtId="10" fontId="2" fillId="0" borderId="15" xfId="1" applyNumberFormat="1" applyFont="1" applyBorder="1"/>
    <xf numFmtId="0" fontId="0" fillId="0" borderId="0" xfId="0" applyAlignment="1">
      <alignment horizontal="right"/>
    </xf>
    <xf numFmtId="10" fontId="2" fillId="0" borderId="0" xfId="1" applyNumberFormat="1" applyFont="1"/>
    <xf numFmtId="0" fontId="0" fillId="17" borderId="0" xfId="0" applyFill="1"/>
    <xf numFmtId="0" fontId="0" fillId="3" borderId="0" xfId="0" applyFill="1"/>
    <xf numFmtId="166" fontId="0" fillId="2" borderId="0" xfId="0" applyNumberFormat="1" applyFill="1"/>
    <xf numFmtId="164" fontId="0" fillId="0" borderId="1" xfId="0" applyNumberFormat="1" applyBorder="1"/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Consensus Line Fit 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Reported Revenue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'2. Past Proj &amp; Candidate Model'!$T$6:$T$19</c:f>
              <c:numCache>
                <c:formatCode>General</c:formatCode>
                <c:ptCount val="14"/>
                <c:pt idx="0">
                  <c:v>127.8</c:v>
                </c:pt>
                <c:pt idx="1">
                  <c:v>137.5</c:v>
                </c:pt>
                <c:pt idx="2">
                  <c:v>145.69999999999999</c:v>
                </c:pt>
                <c:pt idx="3">
                  <c:v>144.69999999999999</c:v>
                </c:pt>
                <c:pt idx="4">
                  <c:v>162.6</c:v>
                </c:pt>
                <c:pt idx="5">
                  <c:v>179.6</c:v>
                </c:pt>
                <c:pt idx="6">
                  <c:v>174.4</c:v>
                </c:pt>
                <c:pt idx="7">
                  <c:v>166.2</c:v>
                </c:pt>
                <c:pt idx="8">
                  <c:v>180.4</c:v>
                </c:pt>
                <c:pt idx="9">
                  <c:v>164.6</c:v>
                </c:pt>
                <c:pt idx="10">
                  <c:v>161.6</c:v>
                </c:pt>
                <c:pt idx="11">
                  <c:v>176.9</c:v>
                </c:pt>
                <c:pt idx="12">
                  <c:v>177.5</c:v>
                </c:pt>
                <c:pt idx="13">
                  <c:v>189.1</c:v>
                </c:pt>
              </c:numCache>
            </c:numRef>
          </c:xVal>
          <c:yVal>
            <c:numRef>
              <c:f>'2. Past Proj &amp; Candidate Model'!$U$6:$U$19</c:f>
              <c:numCache>
                <c:formatCode>0.0</c:formatCode>
                <c:ptCount val="14"/>
                <c:pt idx="0">
                  <c:v>130.69999999999999</c:v>
                </c:pt>
                <c:pt idx="1">
                  <c:v>146.19999999999999</c:v>
                </c:pt>
                <c:pt idx="2">
                  <c:v>151.69999999999999</c:v>
                </c:pt>
                <c:pt idx="3">
                  <c:v>152.19999999999999</c:v>
                </c:pt>
                <c:pt idx="4">
                  <c:v>165.7</c:v>
                </c:pt>
                <c:pt idx="5">
                  <c:v>169.7</c:v>
                </c:pt>
                <c:pt idx="6">
                  <c:v>168.3</c:v>
                </c:pt>
                <c:pt idx="7">
                  <c:v>164</c:v>
                </c:pt>
                <c:pt idx="8">
                  <c:v>177</c:v>
                </c:pt>
                <c:pt idx="9">
                  <c:v>164</c:v>
                </c:pt>
                <c:pt idx="10">
                  <c:v>163.19999999999999</c:v>
                </c:pt>
                <c:pt idx="11">
                  <c:v>179.6</c:v>
                </c:pt>
                <c:pt idx="12" formatCode="General">
                  <c:v>186.1</c:v>
                </c:pt>
                <c:pt idx="13" formatCode="General">
                  <c:v>197.5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8C-4376-87B4-5C659A7297BD}"/>
            </c:ext>
          </c:extLst>
        </c:ser>
        <c:ser>
          <c:idx val="1"/>
          <c:order val="1"/>
          <c:tx>
            <c:v>Predicted Reported Revenue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'2. Past Proj &amp; Candidate Model'!$T$6:$T$19</c:f>
              <c:numCache>
                <c:formatCode>General</c:formatCode>
                <c:ptCount val="14"/>
                <c:pt idx="0">
                  <c:v>127.8</c:v>
                </c:pt>
                <c:pt idx="1">
                  <c:v>137.5</c:v>
                </c:pt>
                <c:pt idx="2">
                  <c:v>145.69999999999999</c:v>
                </c:pt>
                <c:pt idx="3">
                  <c:v>144.69999999999999</c:v>
                </c:pt>
                <c:pt idx="4">
                  <c:v>162.6</c:v>
                </c:pt>
                <c:pt idx="5">
                  <c:v>179.6</c:v>
                </c:pt>
                <c:pt idx="6">
                  <c:v>174.4</c:v>
                </c:pt>
                <c:pt idx="7">
                  <c:v>166.2</c:v>
                </c:pt>
                <c:pt idx="8">
                  <c:v>180.4</c:v>
                </c:pt>
                <c:pt idx="9">
                  <c:v>164.6</c:v>
                </c:pt>
                <c:pt idx="10">
                  <c:v>161.6</c:v>
                </c:pt>
                <c:pt idx="11">
                  <c:v>176.9</c:v>
                </c:pt>
                <c:pt idx="12">
                  <c:v>177.5</c:v>
                </c:pt>
                <c:pt idx="13">
                  <c:v>189.1</c:v>
                </c:pt>
              </c:numCache>
            </c:numRef>
          </c:xVal>
          <c:yVal>
            <c:numRef>
              <c:f>'3. Improved Alpha Model'!$Q$28:$Q$41</c:f>
              <c:numCache>
                <c:formatCode>General</c:formatCode>
                <c:ptCount val="14"/>
                <c:pt idx="0">
                  <c:v>133.87820586449089</c:v>
                </c:pt>
                <c:pt idx="1">
                  <c:v>142.45563807034222</c:v>
                </c:pt>
                <c:pt idx="2">
                  <c:v>149.70666323405152</c:v>
                </c:pt>
                <c:pt idx="3">
                  <c:v>148.82239187262354</c:v>
                </c:pt>
                <c:pt idx="4">
                  <c:v>164.65084924218419</c:v>
                </c:pt>
                <c:pt idx="5">
                  <c:v>179.68346238645967</c:v>
                </c:pt>
                <c:pt idx="6">
                  <c:v>175.08525130703424</c:v>
                </c:pt>
                <c:pt idx="7">
                  <c:v>167.83422614332488</c:v>
                </c:pt>
                <c:pt idx="8">
                  <c:v>180.39087947560205</c:v>
                </c:pt>
                <c:pt idx="9">
                  <c:v>166.41939196504012</c:v>
                </c:pt>
                <c:pt idx="10">
                  <c:v>163.76657788075622</c:v>
                </c:pt>
                <c:pt idx="11">
                  <c:v>177.29592971060416</c:v>
                </c:pt>
                <c:pt idx="12">
                  <c:v>177.82649252746091</c:v>
                </c:pt>
                <c:pt idx="13">
                  <c:v>188.08404032002537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E8C-4376-87B4-5C659A7297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6643039"/>
        <c:axId val="286643871"/>
      </c:scatterChart>
      <c:valAx>
        <c:axId val="286643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Consensus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643871"/>
        <c:crosses val="autoZero"/>
        <c:crossBetween val="midCat"/>
      </c:valAx>
      <c:valAx>
        <c:axId val="28664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Reported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6430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523316</xdr:colOff>
      <xdr:row>3</xdr:row>
      <xdr:rowOff>66113</xdr:rowOff>
    </xdr:from>
    <xdr:to>
      <xdr:col>32</xdr:col>
      <xdr:colOff>414618</xdr:colOff>
      <xdr:row>44</xdr:row>
      <xdr:rowOff>44824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1E8A6B-79CD-4C4D-8848-AEEE7D7966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6475-E142-46B6-ADBD-612F8B77D2A2}">
  <dimension ref="A1:AK29"/>
  <sheetViews>
    <sheetView zoomScale="70" zoomScaleNormal="70" workbookViewId="0">
      <selection activeCell="AF16" sqref="AF16"/>
    </sheetView>
  </sheetViews>
  <sheetFormatPr defaultRowHeight="12.75" x14ac:dyDescent="0.2"/>
  <cols>
    <col min="1" max="1" width="28.85546875" customWidth="1"/>
    <col min="7" max="7" width="14.140625" customWidth="1"/>
    <col min="11" max="11" width="11.42578125" customWidth="1"/>
    <col min="13" max="13" width="10.7109375" customWidth="1"/>
    <col min="15" max="15" width="10.42578125" customWidth="1"/>
    <col min="32" max="32" width="20.7109375" customWidth="1"/>
    <col min="33" max="33" width="17.85546875" customWidth="1"/>
  </cols>
  <sheetData>
    <row r="1" spans="1:37" x14ac:dyDescent="0.2">
      <c r="A1" s="135" t="s">
        <v>217</v>
      </c>
      <c r="B1" s="136"/>
      <c r="C1" s="137"/>
      <c r="F1" s="144" t="s">
        <v>35</v>
      </c>
      <c r="G1" s="145"/>
      <c r="H1" s="71" t="s">
        <v>31</v>
      </c>
      <c r="I1" s="71" t="s">
        <v>32</v>
      </c>
      <c r="J1" s="4" t="s">
        <v>39</v>
      </c>
      <c r="K1" s="146" t="s">
        <v>41</v>
      </c>
      <c r="L1" s="147"/>
    </row>
    <row r="2" spans="1:37" x14ac:dyDescent="0.2">
      <c r="A2" s="138"/>
      <c r="B2" s="139"/>
      <c r="C2" s="140"/>
      <c r="F2" s="69" t="s">
        <v>37</v>
      </c>
      <c r="G2" s="70"/>
      <c r="H2" s="72">
        <f>$B$7*($AG$27-2*$AG$28)</f>
        <v>176.28287511184595</v>
      </c>
      <c r="I2" s="72">
        <f>$B$7*($AG$27+2*$AG$28)</f>
        <v>206.64522295815868</v>
      </c>
      <c r="J2" s="75">
        <f>AVERAGE(H2:I2)</f>
        <v>191.46404903500232</v>
      </c>
      <c r="K2" s="148">
        <f>$J$2/AB16-1</f>
        <v>0.17318657496937706</v>
      </c>
      <c r="L2" s="149"/>
    </row>
    <row r="3" spans="1:37" x14ac:dyDescent="0.2">
      <c r="A3" s="141"/>
      <c r="B3" s="142"/>
      <c r="C3" s="143"/>
      <c r="F3" s="54" t="s">
        <v>38</v>
      </c>
      <c r="G3" s="20"/>
      <c r="H3" s="74">
        <f>$C$7*($AG$27-2*$AG$28)</f>
        <v>179.70584356061968</v>
      </c>
      <c r="I3" s="74">
        <f>$C$7*($AG$27+2*$AG$28)</f>
        <v>210.65775155928799</v>
      </c>
      <c r="J3" s="76">
        <f>AVERAGE(H3:I3)</f>
        <v>195.18179755995385</v>
      </c>
      <c r="K3" s="150">
        <f>$J$3/AB17-1</f>
        <v>0.1959668968134427</v>
      </c>
      <c r="L3" s="151"/>
    </row>
    <row r="4" spans="1:37" x14ac:dyDescent="0.2">
      <c r="A4" s="60"/>
      <c r="B4" s="60"/>
      <c r="C4" s="60"/>
      <c r="I4" s="4" t="s">
        <v>40</v>
      </c>
      <c r="J4" s="76">
        <f>AVERAGE(J2:J3)</f>
        <v>193.3229232974781</v>
      </c>
      <c r="K4" s="150">
        <f>$J$4/AB17-1</f>
        <v>0.1845767358914101</v>
      </c>
      <c r="L4" s="151"/>
    </row>
    <row r="5" spans="1:37" x14ac:dyDescent="0.2">
      <c r="A5" s="68" t="s">
        <v>34</v>
      </c>
      <c r="B5" s="58" t="s">
        <v>31</v>
      </c>
      <c r="C5" s="59" t="s">
        <v>32</v>
      </c>
    </row>
    <row r="6" spans="1:37" ht="15.75" x14ac:dyDescent="0.25">
      <c r="A6" s="62" t="s">
        <v>33</v>
      </c>
      <c r="B6" s="66">
        <v>1030</v>
      </c>
      <c r="C6" s="67">
        <v>1050</v>
      </c>
    </row>
    <row r="7" spans="1:37" ht="14.25" x14ac:dyDescent="0.2">
      <c r="A7" s="63" t="s">
        <v>36</v>
      </c>
      <c r="B7" s="64">
        <f>B6*$AG$26</f>
        <v>801.32141761913033</v>
      </c>
      <c r="C7" s="65">
        <f>C6*$AG$26</f>
        <v>816.88105679620082</v>
      </c>
    </row>
    <row r="8" spans="1:37" x14ac:dyDescent="0.2">
      <c r="A8" s="60"/>
      <c r="B8" s="60"/>
      <c r="C8" s="60"/>
    </row>
    <row r="9" spans="1:37" x14ac:dyDescent="0.2">
      <c r="A9" s="60"/>
      <c r="B9" s="60"/>
      <c r="C9" s="60"/>
    </row>
    <row r="10" spans="1:37" x14ac:dyDescent="0.2">
      <c r="A10" s="60"/>
      <c r="B10" s="60"/>
      <c r="C10" s="60"/>
    </row>
    <row r="12" spans="1:37" x14ac:dyDescent="0.2">
      <c r="D12" s="134" t="s">
        <v>15</v>
      </c>
      <c r="E12" s="134"/>
      <c r="F12" s="40">
        <f>AVERAGE(F15:AF15)</f>
        <v>1.2546779019910927</v>
      </c>
      <c r="AC12" s="134" t="s">
        <v>16</v>
      </c>
      <c r="AD12" s="134"/>
      <c r="AE12" s="134"/>
      <c r="AF12" s="109">
        <f>AVERAGE(AB15:AF15)</f>
        <v>1.1803997412659593</v>
      </c>
    </row>
    <row r="13" spans="1:37" x14ac:dyDescent="0.2">
      <c r="A13" s="61" t="s">
        <v>6</v>
      </c>
      <c r="B13" s="111">
        <v>2014</v>
      </c>
      <c r="C13" s="111"/>
      <c r="D13" s="111"/>
      <c r="E13" s="112"/>
      <c r="F13" s="119">
        <v>2015</v>
      </c>
      <c r="G13" s="120"/>
      <c r="H13" s="120"/>
      <c r="I13" s="121"/>
      <c r="J13" s="119">
        <v>2016</v>
      </c>
      <c r="K13" s="120"/>
      <c r="L13" s="120"/>
      <c r="M13" s="121"/>
      <c r="N13" s="122">
        <v>2017</v>
      </c>
      <c r="O13" s="123"/>
      <c r="P13" s="123"/>
      <c r="Q13" s="124"/>
      <c r="R13" s="131">
        <v>2018</v>
      </c>
      <c r="S13" s="132"/>
      <c r="T13" s="132"/>
      <c r="U13" s="133"/>
      <c r="V13" s="125">
        <v>2019</v>
      </c>
      <c r="W13" s="126"/>
      <c r="X13" s="126"/>
      <c r="Y13" s="127"/>
      <c r="Z13" s="110">
        <v>2020</v>
      </c>
      <c r="AA13" s="111"/>
      <c r="AB13" s="111"/>
      <c r="AC13" s="112"/>
      <c r="AD13" s="119">
        <v>2021</v>
      </c>
      <c r="AE13" s="120"/>
      <c r="AF13" s="120"/>
      <c r="AG13" s="121"/>
      <c r="AH13" s="110" t="s">
        <v>196</v>
      </c>
      <c r="AI13" s="111"/>
      <c r="AJ13" s="111"/>
      <c r="AK13" s="112"/>
    </row>
    <row r="14" spans="1:37" x14ac:dyDescent="0.2">
      <c r="A14" s="15" t="s">
        <v>19</v>
      </c>
      <c r="B14" s="21" t="s">
        <v>20</v>
      </c>
      <c r="C14" s="21" t="s">
        <v>3</v>
      </c>
      <c r="D14" s="21" t="s">
        <v>4</v>
      </c>
      <c r="E14" s="21" t="s">
        <v>5</v>
      </c>
      <c r="F14" s="22" t="s">
        <v>20</v>
      </c>
      <c r="G14" s="23" t="s">
        <v>3</v>
      </c>
      <c r="H14" s="23" t="s">
        <v>4</v>
      </c>
      <c r="I14" s="23" t="s">
        <v>5</v>
      </c>
      <c r="J14" s="22" t="s">
        <v>20</v>
      </c>
      <c r="K14" s="23" t="s">
        <v>3</v>
      </c>
      <c r="L14" s="23" t="s">
        <v>4</v>
      </c>
      <c r="M14" s="23" t="s">
        <v>5</v>
      </c>
      <c r="N14" s="24" t="s">
        <v>20</v>
      </c>
      <c r="O14" s="25" t="s">
        <v>3</v>
      </c>
      <c r="P14" s="25" t="s">
        <v>4</v>
      </c>
      <c r="Q14" s="25" t="s">
        <v>5</v>
      </c>
      <c r="R14" s="26" t="s">
        <v>20</v>
      </c>
      <c r="S14" s="27" t="s">
        <v>3</v>
      </c>
      <c r="T14" s="27" t="s">
        <v>4</v>
      </c>
      <c r="U14" s="27" t="s">
        <v>5</v>
      </c>
      <c r="V14" s="28" t="s">
        <v>20</v>
      </c>
      <c r="W14" s="29" t="s">
        <v>3</v>
      </c>
      <c r="X14" s="29" t="s">
        <v>4</v>
      </c>
      <c r="Y14" s="29" t="s">
        <v>5</v>
      </c>
      <c r="Z14" s="30" t="s">
        <v>20</v>
      </c>
      <c r="AA14" s="21" t="s">
        <v>3</v>
      </c>
      <c r="AB14" s="21" t="s">
        <v>4</v>
      </c>
      <c r="AC14" s="21" t="s">
        <v>5</v>
      </c>
      <c r="AD14" s="45" t="s">
        <v>20</v>
      </c>
      <c r="AE14" s="46" t="s">
        <v>3</v>
      </c>
      <c r="AF14" s="47" t="s">
        <v>21</v>
      </c>
      <c r="AG14" s="31" t="s">
        <v>22</v>
      </c>
      <c r="AH14" s="95" t="s">
        <v>197</v>
      </c>
      <c r="AI14" s="6"/>
      <c r="AJ14" s="6"/>
      <c r="AK14" s="11"/>
    </row>
    <row r="15" spans="1:37" x14ac:dyDescent="0.2">
      <c r="A15" s="39" t="s">
        <v>2</v>
      </c>
      <c r="B15" s="32"/>
      <c r="C15" s="32"/>
      <c r="D15" s="32"/>
      <c r="E15" s="32"/>
      <c r="F15" s="34"/>
      <c r="G15" s="35">
        <f t="shared" ref="G15:AE15" si="0">G17/C17</f>
        <v>1.5925</v>
      </c>
      <c r="H15" s="35">
        <f t="shared" si="0"/>
        <v>1.5880952380952382</v>
      </c>
      <c r="I15" s="35">
        <f t="shared" si="0"/>
        <v>1.4450867052023122</v>
      </c>
      <c r="J15" s="34">
        <f t="shared" si="0"/>
        <v>1.4176776429809357</v>
      </c>
      <c r="K15" s="35">
        <f t="shared" si="0"/>
        <v>1.4065934065934065</v>
      </c>
      <c r="L15" s="35">
        <f t="shared" si="0"/>
        <v>1.338830584707646</v>
      </c>
      <c r="M15" s="35">
        <f t="shared" si="0"/>
        <v>1.3373333333333333</v>
      </c>
      <c r="N15" s="34">
        <f t="shared" si="0"/>
        <v>1.3227383863080686</v>
      </c>
      <c r="O15" s="35">
        <f t="shared" si="0"/>
        <v>1.2801339285714286</v>
      </c>
      <c r="P15" s="35">
        <f t="shared" si="0"/>
        <v>1.2721164613661813</v>
      </c>
      <c r="Q15" s="35">
        <f t="shared" si="0"/>
        <v>1.3030907278165502</v>
      </c>
      <c r="R15" s="34">
        <f t="shared" si="0"/>
        <v>1.3512014787430682</v>
      </c>
      <c r="S15" s="35">
        <f t="shared" si="0"/>
        <v>1.3225806451612903</v>
      </c>
      <c r="T15" s="35">
        <f t="shared" si="0"/>
        <v>1.3397887323943662</v>
      </c>
      <c r="U15" s="35">
        <f t="shared" si="0"/>
        <v>1.2677888293802602</v>
      </c>
      <c r="V15" s="34">
        <f t="shared" si="0"/>
        <v>1.1607387140902874</v>
      </c>
      <c r="W15" s="35">
        <f t="shared" si="0"/>
        <v>1.1094264996704022</v>
      </c>
      <c r="X15" s="35">
        <f t="shared" si="0"/>
        <v>1.0788436268068331</v>
      </c>
      <c r="Y15" s="35">
        <f t="shared" si="0"/>
        <v>1.0687990343995173</v>
      </c>
      <c r="Z15" s="34">
        <f t="shared" si="0"/>
        <v>0.96641131408367709</v>
      </c>
      <c r="AA15" s="35">
        <f t="shared" si="0"/>
        <v>0.74985145573380863</v>
      </c>
      <c r="AB15" s="35">
        <f t="shared" si="0"/>
        <v>0.99390986601705233</v>
      </c>
      <c r="AC15" s="35">
        <f t="shared" si="0"/>
        <v>1.0141163184641446</v>
      </c>
      <c r="AD15" s="34">
        <f t="shared" si="0"/>
        <v>1.1347560975609756</v>
      </c>
      <c r="AE15" s="36">
        <f t="shared" si="0"/>
        <v>1.5649762282091917</v>
      </c>
      <c r="AF15" s="53">
        <f>AF16/AB16</f>
        <v>1.1942401960784315</v>
      </c>
      <c r="AG15" s="33"/>
      <c r="AH15" s="10"/>
      <c r="AI15" s="6"/>
      <c r="AJ15" s="6"/>
      <c r="AK15" s="11"/>
    </row>
    <row r="16" spans="1:37" x14ac:dyDescent="0.2">
      <c r="A16" s="16" t="s">
        <v>0</v>
      </c>
      <c r="B16" s="8"/>
      <c r="C16" s="8">
        <v>40</v>
      </c>
      <c r="D16" s="8">
        <v>42</v>
      </c>
      <c r="E16" s="8">
        <v>51.9</v>
      </c>
      <c r="F16" s="10">
        <v>57.7</v>
      </c>
      <c r="G16" s="6">
        <v>63.7</v>
      </c>
      <c r="H16" s="6">
        <v>66.7</v>
      </c>
      <c r="I16" s="6">
        <v>75</v>
      </c>
      <c r="J16" s="10">
        <v>81.8</v>
      </c>
      <c r="K16" s="6">
        <v>89.6</v>
      </c>
      <c r="L16" s="6">
        <v>89.3</v>
      </c>
      <c r="M16" s="6">
        <v>100.3</v>
      </c>
      <c r="N16" s="10">
        <v>108.2</v>
      </c>
      <c r="O16" s="6">
        <v>114.7</v>
      </c>
      <c r="P16" s="6">
        <v>113.6</v>
      </c>
      <c r="Q16" s="6">
        <v>130.69999999999999</v>
      </c>
      <c r="R16" s="10">
        <v>146.19999999999999</v>
      </c>
      <c r="S16" s="6">
        <v>151.69999999999999</v>
      </c>
      <c r="T16" s="6">
        <v>152.19999999999999</v>
      </c>
      <c r="U16" s="6">
        <v>165.7</v>
      </c>
      <c r="V16" s="10">
        <v>169.7</v>
      </c>
      <c r="W16" s="6">
        <v>168.3</v>
      </c>
      <c r="X16" s="6">
        <v>164.3</v>
      </c>
      <c r="Y16" s="6">
        <v>177.1</v>
      </c>
      <c r="Z16" s="10">
        <v>164</v>
      </c>
      <c r="AA16" s="6">
        <v>126.2</v>
      </c>
      <c r="AB16" s="6">
        <v>163.19999999999999</v>
      </c>
      <c r="AC16" s="6">
        <v>179.6</v>
      </c>
      <c r="AD16" s="7">
        <v>186.1</v>
      </c>
      <c r="AE16" s="8">
        <v>197.5</v>
      </c>
      <c r="AF16" s="7">
        <v>194.9</v>
      </c>
      <c r="AG16" s="9">
        <v>202.5</v>
      </c>
      <c r="AH16" s="10">
        <v>211.6</v>
      </c>
      <c r="AI16" s="6"/>
      <c r="AJ16" s="6"/>
      <c r="AK16" s="11"/>
    </row>
    <row r="17" spans="1:37" x14ac:dyDescent="0.2">
      <c r="A17" s="16" t="s">
        <v>1</v>
      </c>
      <c r="B17" s="6"/>
      <c r="C17" s="6">
        <v>40</v>
      </c>
      <c r="D17" s="6">
        <v>42</v>
      </c>
      <c r="E17" s="6">
        <v>51.9</v>
      </c>
      <c r="F17" s="10">
        <v>57.7</v>
      </c>
      <c r="G17" s="6">
        <v>63.7</v>
      </c>
      <c r="H17" s="6">
        <v>66.7</v>
      </c>
      <c r="I17" s="6">
        <v>75</v>
      </c>
      <c r="J17" s="10">
        <v>81.8</v>
      </c>
      <c r="K17" s="6">
        <v>89.6</v>
      </c>
      <c r="L17" s="6">
        <v>89.3</v>
      </c>
      <c r="M17" s="6">
        <v>100.3</v>
      </c>
      <c r="N17" s="10">
        <v>108.2</v>
      </c>
      <c r="O17" s="6">
        <v>114.7</v>
      </c>
      <c r="P17" s="6">
        <v>113.6</v>
      </c>
      <c r="Q17" s="6">
        <v>130.69999999999999</v>
      </c>
      <c r="R17" s="10">
        <v>146.19999999999999</v>
      </c>
      <c r="S17" s="6">
        <v>151.69999999999999</v>
      </c>
      <c r="T17" s="6">
        <v>152.19999999999999</v>
      </c>
      <c r="U17" s="6">
        <v>165.7</v>
      </c>
      <c r="V17" s="10">
        <v>169.7</v>
      </c>
      <c r="W17" s="6">
        <v>168.3</v>
      </c>
      <c r="X17" s="6">
        <v>164.2</v>
      </c>
      <c r="Y17" s="6">
        <v>177.1</v>
      </c>
      <c r="Z17" s="10">
        <v>164</v>
      </c>
      <c r="AA17" s="6">
        <v>126.2</v>
      </c>
      <c r="AB17" s="6">
        <v>163.19999999999999</v>
      </c>
      <c r="AC17" s="6">
        <v>179.6</v>
      </c>
      <c r="AD17" s="10">
        <v>186.1</v>
      </c>
      <c r="AE17" s="6">
        <v>197.5</v>
      </c>
      <c r="AF17" s="10"/>
      <c r="AG17" s="11"/>
      <c r="AH17" s="10"/>
      <c r="AI17" s="6"/>
      <c r="AJ17" s="6"/>
      <c r="AK17" s="11"/>
    </row>
    <row r="18" spans="1:37" x14ac:dyDescent="0.2">
      <c r="A18" s="11" t="s">
        <v>198</v>
      </c>
      <c r="B18" s="10"/>
      <c r="C18" s="6">
        <v>48.8</v>
      </c>
      <c r="D18" s="6">
        <v>51.9</v>
      </c>
      <c r="E18" s="11">
        <v>62</v>
      </c>
      <c r="F18" s="10">
        <v>67.599999999999994</v>
      </c>
      <c r="G18" s="6">
        <v>73.400000000000006</v>
      </c>
      <c r="H18" s="6">
        <v>76.400000000000006</v>
      </c>
      <c r="I18" s="11">
        <v>85.8</v>
      </c>
      <c r="J18" s="10">
        <v>94</v>
      </c>
      <c r="K18" s="6">
        <v>103</v>
      </c>
      <c r="L18" s="6">
        <v>103</v>
      </c>
      <c r="M18" s="11">
        <v>114.7</v>
      </c>
      <c r="N18" s="10">
        <v>124.7</v>
      </c>
      <c r="O18" s="6">
        <v>132.5</v>
      </c>
      <c r="P18" s="6">
        <v>132.80000000000001</v>
      </c>
      <c r="Q18" s="11">
        <v>154</v>
      </c>
      <c r="R18" s="10">
        <v>174.4</v>
      </c>
      <c r="S18" s="6">
        <v>180</v>
      </c>
      <c r="T18" s="6">
        <v>181.8</v>
      </c>
      <c r="U18" s="11">
        <v>200.6</v>
      </c>
      <c r="V18" s="10">
        <v>207.1</v>
      </c>
      <c r="W18" s="6">
        <v>207.7</v>
      </c>
      <c r="X18" s="6">
        <v>205</v>
      </c>
      <c r="Y18" s="11">
        <v>221.6</v>
      </c>
      <c r="Z18" s="10">
        <v>206.7</v>
      </c>
      <c r="AA18" s="6">
        <v>164.9</v>
      </c>
      <c r="AB18" s="6">
        <v>209.8</v>
      </c>
      <c r="AC18" s="11">
        <v>231.7</v>
      </c>
      <c r="AD18" s="10">
        <v>241.2</v>
      </c>
      <c r="AE18" s="6">
        <v>252.6</v>
      </c>
      <c r="AF18" s="10">
        <v>248.8</v>
      </c>
      <c r="AG18" s="11">
        <v>263.5</v>
      </c>
      <c r="AH18" s="10">
        <v>277.8</v>
      </c>
      <c r="AI18" s="6"/>
      <c r="AJ18" s="6"/>
      <c r="AK18" s="11"/>
    </row>
    <row r="19" spans="1:37" x14ac:dyDescent="0.2">
      <c r="A19" s="16" t="s">
        <v>18</v>
      </c>
      <c r="B19" s="44"/>
      <c r="C19" s="42">
        <f t="shared" ref="C19:R19" si="1">C17/C18</f>
        <v>0.81967213114754101</v>
      </c>
      <c r="D19" s="42">
        <f t="shared" si="1"/>
        <v>0.80924855491329484</v>
      </c>
      <c r="E19" s="43">
        <f t="shared" si="1"/>
        <v>0.83709677419354833</v>
      </c>
      <c r="F19" s="42">
        <f t="shared" si="1"/>
        <v>0.85355029585798825</v>
      </c>
      <c r="G19" s="42">
        <f t="shared" si="1"/>
        <v>0.86784741144414168</v>
      </c>
      <c r="H19" s="42">
        <f t="shared" si="1"/>
        <v>0.87303664921465962</v>
      </c>
      <c r="I19" s="43">
        <f t="shared" si="1"/>
        <v>0.87412587412587417</v>
      </c>
      <c r="J19" s="42">
        <f t="shared" si="1"/>
        <v>0.87021276595744679</v>
      </c>
      <c r="K19" s="42">
        <f t="shared" si="1"/>
        <v>0.86990291262135921</v>
      </c>
      <c r="L19" s="42">
        <f t="shared" si="1"/>
        <v>0.86699029126213589</v>
      </c>
      <c r="M19" s="43">
        <f t="shared" si="1"/>
        <v>0.87445510026155182</v>
      </c>
      <c r="N19" s="42">
        <f t="shared" si="1"/>
        <v>0.86768243785084198</v>
      </c>
      <c r="O19" s="42">
        <f t="shared" si="1"/>
        <v>0.86566037735849055</v>
      </c>
      <c r="P19" s="42">
        <f t="shared" si="1"/>
        <v>0.85542168674698782</v>
      </c>
      <c r="Q19" s="43">
        <f t="shared" si="1"/>
        <v>0.84870129870129862</v>
      </c>
      <c r="R19" s="42">
        <f t="shared" si="1"/>
        <v>0.83830275229357787</v>
      </c>
      <c r="S19" s="42">
        <f t="shared" ref="S19:AE19" si="2">S17/S18</f>
        <v>0.84277777777777774</v>
      </c>
      <c r="T19" s="42">
        <f t="shared" si="2"/>
        <v>0.83718371837183703</v>
      </c>
      <c r="U19" s="43">
        <f t="shared" si="2"/>
        <v>0.82602193419740777</v>
      </c>
      <c r="V19" s="42">
        <f t="shared" si="2"/>
        <v>0.81941091260260746</v>
      </c>
      <c r="W19" s="42">
        <f t="shared" si="2"/>
        <v>0.81030332209918166</v>
      </c>
      <c r="X19" s="42">
        <f t="shared" si="2"/>
        <v>0.8009756097560975</v>
      </c>
      <c r="Y19" s="43">
        <f t="shared" si="2"/>
        <v>0.79918772563176899</v>
      </c>
      <c r="Z19" s="42">
        <f t="shared" si="2"/>
        <v>0.79342041606192559</v>
      </c>
      <c r="AA19" s="42">
        <f t="shared" si="2"/>
        <v>0.76531231049120674</v>
      </c>
      <c r="AB19" s="42">
        <f t="shared" si="2"/>
        <v>0.77788369876072438</v>
      </c>
      <c r="AC19" s="43">
        <f t="shared" si="2"/>
        <v>0.77514026758739751</v>
      </c>
      <c r="AD19" s="42">
        <f t="shared" si="2"/>
        <v>0.77155887230514097</v>
      </c>
      <c r="AE19" s="42">
        <f t="shared" si="2"/>
        <v>0.78186856690419637</v>
      </c>
      <c r="AF19" s="44">
        <f>AF16/AF18</f>
        <v>0.78336012861736337</v>
      </c>
      <c r="AG19" s="11"/>
      <c r="AH19" s="10"/>
      <c r="AI19" s="6"/>
      <c r="AJ19" s="6"/>
      <c r="AK19" s="11"/>
    </row>
    <row r="20" spans="1:37" x14ac:dyDescent="0.2">
      <c r="A20" s="16" t="s">
        <v>24</v>
      </c>
      <c r="B20" s="2"/>
      <c r="C20" s="19">
        <f>C17/SUM(C17:F17)</f>
        <v>0.20876826722338201</v>
      </c>
      <c r="D20" s="19">
        <f>D17/SUM(C17:F17)</f>
        <v>0.21920668058455112</v>
      </c>
      <c r="E20" s="48">
        <f>E17/SUM(C17:F17)</f>
        <v>0.27087682672233815</v>
      </c>
      <c r="F20" s="2">
        <f>F17/SUM(C17:F17)</f>
        <v>0.30114822546972858</v>
      </c>
      <c r="G20" s="2">
        <f>G17/SUM(G17:J17)</f>
        <v>0.22179665738161561</v>
      </c>
      <c r="H20" s="2">
        <f>H17/SUM(G17:J17)</f>
        <v>0.2322423398328691</v>
      </c>
      <c r="I20" s="48">
        <f>I17/SUM(G17:J17)</f>
        <v>0.26114206128133705</v>
      </c>
      <c r="J20" s="2">
        <f>J17/SUM(G17:J17)</f>
        <v>0.28481894150417825</v>
      </c>
      <c r="K20" s="2">
        <f>K17/SUM(K17:N17)</f>
        <v>0.23128549303045948</v>
      </c>
      <c r="L20" s="2">
        <f>L17/SUM(K17:N17)</f>
        <v>0.23051109963861643</v>
      </c>
      <c r="M20" s="48">
        <f>M17/SUM(K17:N17)</f>
        <v>0.25890552400619515</v>
      </c>
      <c r="N20" s="2">
        <f>N17/SUM(K17:N17)</f>
        <v>0.27929788332472899</v>
      </c>
      <c r="O20" s="2">
        <f>O17/SUM(O17:R17)</f>
        <v>0.22703879651623121</v>
      </c>
      <c r="P20" s="2">
        <f>P17/SUM(O17:R17)</f>
        <v>0.22486144101346001</v>
      </c>
      <c r="Q20" s="48">
        <f>Q17/SUM(O17:R17)</f>
        <v>0.25870942201108471</v>
      </c>
      <c r="R20" s="2">
        <f>R17/SUM(O17:R17)</f>
        <v>0.28939034045922407</v>
      </c>
      <c r="S20" s="2">
        <f>S17/SUM(S17:V17)</f>
        <v>0.23729078679806037</v>
      </c>
      <c r="T20" s="2">
        <f>T17/SUM(S17:V17)</f>
        <v>0.23807289222587205</v>
      </c>
      <c r="U20" s="48">
        <f>U17/SUM(S17:V17)</f>
        <v>0.25918973877678714</v>
      </c>
      <c r="V20" s="2">
        <f>V17/SUM(S17:V17)</f>
        <v>0.26544658219928047</v>
      </c>
      <c r="W20" s="2">
        <f>W17/SUM(W17:Z17)</f>
        <v>0.24985154394299289</v>
      </c>
      <c r="X20" s="2">
        <f>X17/SUM(W17:Z17)</f>
        <v>0.24376484560570069</v>
      </c>
      <c r="Y20" s="48">
        <f>Y17/SUM(W17:Z17)</f>
        <v>0.26291567695961993</v>
      </c>
      <c r="Z20" s="2">
        <f>Z17/SUM(W17:Z17)</f>
        <v>0.24346793349168644</v>
      </c>
      <c r="AA20" s="2"/>
      <c r="AB20" s="2"/>
      <c r="AC20" s="48"/>
      <c r="AD20" s="2"/>
      <c r="AE20" s="48">
        <f>AE17/SUM(AE17,AF16:AH16)</f>
        <v>0.24488530688158711</v>
      </c>
      <c r="AF20" s="2">
        <f>AF16/SUM(AE17,AF16:AH16)</f>
        <v>0.2416615003099814</v>
      </c>
      <c r="AG20" s="48">
        <f>AG16/SUM(AE17,AF16:AH16)</f>
        <v>0.25108493490390577</v>
      </c>
      <c r="AH20" s="2">
        <f>AH16/SUM(AE17,AF16:AH16)</f>
        <v>0.26236825790452573</v>
      </c>
      <c r="AI20" s="6"/>
      <c r="AJ20" s="6"/>
      <c r="AK20" s="11"/>
    </row>
    <row r="21" spans="1:37" x14ac:dyDescent="0.2">
      <c r="A21" s="17" t="s">
        <v>17</v>
      </c>
      <c r="B21" s="13"/>
      <c r="C21" s="13"/>
      <c r="D21" s="13"/>
      <c r="E21" s="13"/>
      <c r="F21" s="12"/>
      <c r="G21" s="13"/>
      <c r="H21" s="13"/>
      <c r="I21" s="13"/>
      <c r="J21" s="12"/>
      <c r="K21" s="13">
        <v>87.3</v>
      </c>
      <c r="L21" s="13">
        <v>90.9</v>
      </c>
      <c r="M21" s="6">
        <v>99.5</v>
      </c>
      <c r="N21" s="12">
        <v>107.1</v>
      </c>
      <c r="O21" s="13">
        <v>114.8</v>
      </c>
      <c r="P21" s="13">
        <v>113.8</v>
      </c>
      <c r="Q21" s="13">
        <v>127.8</v>
      </c>
      <c r="R21" s="12">
        <v>137.5</v>
      </c>
      <c r="S21" s="13">
        <v>145.69999999999999</v>
      </c>
      <c r="T21" s="13">
        <v>144.69999999999999</v>
      </c>
      <c r="U21" s="13">
        <v>162.6</v>
      </c>
      <c r="V21" s="12">
        <v>179.6</v>
      </c>
      <c r="W21" s="13">
        <v>174.4</v>
      </c>
      <c r="X21" s="13">
        <v>166.2</v>
      </c>
      <c r="Y21" s="13">
        <v>180.4</v>
      </c>
      <c r="Z21" s="12">
        <v>164.6</v>
      </c>
      <c r="AA21" s="13">
        <v>113.3</v>
      </c>
      <c r="AB21" s="13">
        <v>161.6</v>
      </c>
      <c r="AC21" s="13">
        <v>176.9</v>
      </c>
      <c r="AD21" s="12">
        <v>177.5</v>
      </c>
      <c r="AE21" s="13">
        <v>189.1</v>
      </c>
      <c r="AF21" s="12">
        <v>185.8</v>
      </c>
      <c r="AG21" s="14">
        <v>197.1</v>
      </c>
      <c r="AH21" s="12">
        <v>206.1</v>
      </c>
      <c r="AI21" s="13"/>
      <c r="AJ21" s="13"/>
      <c r="AK21" s="14"/>
    </row>
    <row r="22" spans="1:37" x14ac:dyDescent="0.2">
      <c r="I22" s="113" t="s">
        <v>7</v>
      </c>
      <c r="J22" s="128"/>
      <c r="K22" s="7">
        <f t="shared" ref="K22" si="3">IF(K17&gt;K21,1,0)</f>
        <v>1</v>
      </c>
      <c r="L22" s="8">
        <f t="shared" ref="L22" si="4">IF(L17&gt;L21,1,0)</f>
        <v>0</v>
      </c>
      <c r="M22" s="8">
        <f t="shared" ref="M22:AE22" si="5">IF(M17&gt;M21,1,0)</f>
        <v>1</v>
      </c>
      <c r="N22" s="8">
        <f t="shared" si="5"/>
        <v>1</v>
      </c>
      <c r="O22" s="8">
        <f t="shared" si="5"/>
        <v>0</v>
      </c>
      <c r="P22" s="8">
        <f t="shared" si="5"/>
        <v>0</v>
      </c>
      <c r="Q22" s="8">
        <f t="shared" si="5"/>
        <v>1</v>
      </c>
      <c r="R22" s="8">
        <f t="shared" si="5"/>
        <v>1</v>
      </c>
      <c r="S22" s="8">
        <f t="shared" si="5"/>
        <v>1</v>
      </c>
      <c r="T22" s="8">
        <f t="shared" si="5"/>
        <v>1</v>
      </c>
      <c r="U22" s="8">
        <f t="shared" si="5"/>
        <v>1</v>
      </c>
      <c r="V22" s="8">
        <f t="shared" si="5"/>
        <v>0</v>
      </c>
      <c r="W22" s="8">
        <f t="shared" si="5"/>
        <v>0</v>
      </c>
      <c r="X22" s="8">
        <f t="shared" si="5"/>
        <v>0</v>
      </c>
      <c r="Y22" s="8">
        <f t="shared" si="5"/>
        <v>0</v>
      </c>
      <c r="Z22" s="8">
        <f t="shared" si="5"/>
        <v>0</v>
      </c>
      <c r="AA22" s="8">
        <f t="shared" si="5"/>
        <v>1</v>
      </c>
      <c r="AB22" s="8">
        <f t="shared" si="5"/>
        <v>1</v>
      </c>
      <c r="AC22" s="8">
        <f t="shared" si="5"/>
        <v>1</v>
      </c>
      <c r="AD22" s="8">
        <f t="shared" si="5"/>
        <v>1</v>
      </c>
      <c r="AE22" s="9">
        <f t="shared" si="5"/>
        <v>1</v>
      </c>
      <c r="AF22" s="54" t="s">
        <v>8</v>
      </c>
      <c r="AG22" s="50">
        <f>AVERAGE(K22:AE22)</f>
        <v>0.61904761904761907</v>
      </c>
    </row>
    <row r="23" spans="1:37" x14ac:dyDescent="0.2">
      <c r="I23" s="129" t="s">
        <v>9</v>
      </c>
      <c r="J23" s="130"/>
      <c r="K23" s="10"/>
      <c r="L23" s="6"/>
      <c r="M23" s="6"/>
      <c r="N23" s="6">
        <f t="shared" ref="N23" si="6">AVERAGE(K22:N22)</f>
        <v>0.75</v>
      </c>
      <c r="O23" s="6">
        <f t="shared" ref="O23" si="7">AVERAGE(L22:O22)</f>
        <v>0.5</v>
      </c>
      <c r="P23" s="6">
        <f t="shared" ref="P23:AE23" si="8">AVERAGE(M22:P22)</f>
        <v>0.5</v>
      </c>
      <c r="Q23" s="6">
        <f t="shared" si="8"/>
        <v>0.5</v>
      </c>
      <c r="R23" s="6">
        <f t="shared" si="8"/>
        <v>0.5</v>
      </c>
      <c r="S23" s="6">
        <f t="shared" si="8"/>
        <v>0.75</v>
      </c>
      <c r="T23" s="6">
        <f t="shared" si="8"/>
        <v>1</v>
      </c>
      <c r="U23" s="6">
        <f t="shared" si="8"/>
        <v>1</v>
      </c>
      <c r="V23" s="6">
        <f t="shared" si="8"/>
        <v>0.75</v>
      </c>
      <c r="W23" s="6">
        <f t="shared" si="8"/>
        <v>0.5</v>
      </c>
      <c r="X23" s="6">
        <f t="shared" si="8"/>
        <v>0.25</v>
      </c>
      <c r="Y23" s="6">
        <f t="shared" si="8"/>
        <v>0</v>
      </c>
      <c r="Z23" s="6">
        <f t="shared" si="8"/>
        <v>0</v>
      </c>
      <c r="AA23" s="6">
        <f t="shared" si="8"/>
        <v>0.25</v>
      </c>
      <c r="AB23" s="6">
        <f t="shared" si="8"/>
        <v>0.5</v>
      </c>
      <c r="AC23" s="6">
        <f t="shared" si="8"/>
        <v>0.75</v>
      </c>
      <c r="AD23" s="6">
        <f>AVERAGE(AA22:AD22)</f>
        <v>1</v>
      </c>
      <c r="AE23" s="11">
        <f t="shared" si="8"/>
        <v>1</v>
      </c>
      <c r="AF23" s="49" t="s">
        <v>10</v>
      </c>
      <c r="AG23" s="50">
        <f>AVERAGE(N23:AE23)</f>
        <v>0.58333333333333337</v>
      </c>
    </row>
    <row r="24" spans="1:37" x14ac:dyDescent="0.2">
      <c r="I24" s="117" t="s">
        <v>11</v>
      </c>
      <c r="J24" s="118"/>
      <c r="K24" s="55">
        <f t="shared" ref="K24:AE24" si="9">K17/K21-1</f>
        <v>2.6345933562428314E-2</v>
      </c>
      <c r="L24" s="19">
        <f t="shared" si="9"/>
        <v>-1.7601760176017667E-2</v>
      </c>
      <c r="M24" s="19">
        <f t="shared" si="9"/>
        <v>8.040201005025116E-3</v>
      </c>
      <c r="N24" s="19">
        <f t="shared" si="9"/>
        <v>1.0270774976657515E-2</v>
      </c>
      <c r="O24" s="19">
        <f t="shared" si="9"/>
        <v>-8.7108013937275963E-4</v>
      </c>
      <c r="P24" s="19">
        <f t="shared" si="9"/>
        <v>-1.7574692442882123E-3</v>
      </c>
      <c r="Q24" s="19">
        <f t="shared" si="9"/>
        <v>2.2691705790297334E-2</v>
      </c>
      <c r="R24" s="19">
        <f t="shared" si="9"/>
        <v>6.3272727272727147E-2</v>
      </c>
      <c r="S24" s="19">
        <f t="shared" si="9"/>
        <v>4.1180507892930596E-2</v>
      </c>
      <c r="T24" s="19">
        <f t="shared" si="9"/>
        <v>5.183137525915682E-2</v>
      </c>
      <c r="U24" s="19">
        <f t="shared" si="9"/>
        <v>1.9065190651906594E-2</v>
      </c>
      <c r="V24" s="19">
        <f t="shared" si="9"/>
        <v>-5.512249443207129E-2</v>
      </c>
      <c r="W24" s="19">
        <f t="shared" si="9"/>
        <v>-3.4977064220183429E-2</v>
      </c>
      <c r="X24" s="19">
        <f t="shared" si="9"/>
        <v>-1.2033694344163681E-2</v>
      </c>
      <c r="Y24" s="19">
        <f t="shared" si="9"/>
        <v>-1.8292682926829285E-2</v>
      </c>
      <c r="Z24" s="19">
        <f t="shared" si="9"/>
        <v>-3.6452004860266785E-3</v>
      </c>
      <c r="AA24" s="19">
        <f t="shared" si="9"/>
        <v>0.11385701676963822</v>
      </c>
      <c r="AB24" s="19">
        <f t="shared" si="9"/>
        <v>9.9009900990099098E-3</v>
      </c>
      <c r="AC24" s="19">
        <f t="shared" si="9"/>
        <v>1.5262860373091991E-2</v>
      </c>
      <c r="AD24" s="19">
        <f t="shared" si="9"/>
        <v>4.8450704225352137E-2</v>
      </c>
      <c r="AE24" s="48">
        <f t="shared" si="9"/>
        <v>4.4420941300899131E-2</v>
      </c>
      <c r="AF24" s="49" t="s">
        <v>13</v>
      </c>
      <c r="AG24" s="51">
        <f>MEDIAN(K24:AE24)</f>
        <v>1.0270774976657515E-2</v>
      </c>
    </row>
    <row r="25" spans="1:37" x14ac:dyDescent="0.2">
      <c r="I25" s="129" t="s">
        <v>12</v>
      </c>
      <c r="J25" s="130"/>
      <c r="K25" s="12"/>
      <c r="L25" s="13"/>
      <c r="M25" s="13"/>
      <c r="N25" s="37">
        <f t="shared" ref="N25:O25" si="10">AVERAGE(K24:N24)</f>
        <v>6.7637873420233197E-3</v>
      </c>
      <c r="O25" s="37">
        <f t="shared" si="10"/>
        <v>-4.0466083426948796E-5</v>
      </c>
      <c r="P25" s="37">
        <f>AVERAGE(M24:P24)</f>
        <v>3.9206066495054148E-3</v>
      </c>
      <c r="Q25" s="37">
        <f t="shared" ref="Q25:AE25" si="11">AVERAGE(N24:Q24)</f>
        <v>7.5834828458234693E-3</v>
      </c>
      <c r="R25" s="37">
        <f t="shared" si="11"/>
        <v>2.0833970919840877E-2</v>
      </c>
      <c r="S25" s="37">
        <f t="shared" si="11"/>
        <v>3.1346867927916716E-2</v>
      </c>
      <c r="T25" s="37">
        <f t="shared" si="11"/>
        <v>4.4744079053777974E-2</v>
      </c>
      <c r="U25" s="37">
        <f t="shared" si="11"/>
        <v>4.3837450269180289E-2</v>
      </c>
      <c r="V25" s="37">
        <f t="shared" si="11"/>
        <v>1.423864484298068E-2</v>
      </c>
      <c r="W25" s="37">
        <f t="shared" si="11"/>
        <v>-4.8007481852978262E-3</v>
      </c>
      <c r="X25" s="37">
        <f t="shared" si="11"/>
        <v>-2.0767015586127952E-2</v>
      </c>
      <c r="Y25" s="37">
        <f t="shared" si="11"/>
        <v>-3.0106483980811921E-2</v>
      </c>
      <c r="Z25" s="37">
        <f t="shared" si="11"/>
        <v>-1.7237160494300768E-2</v>
      </c>
      <c r="AA25" s="37">
        <f t="shared" si="11"/>
        <v>1.9971359753154644E-2</v>
      </c>
      <c r="AB25" s="37">
        <f t="shared" si="11"/>
        <v>2.5455030863948042E-2</v>
      </c>
      <c r="AC25" s="37">
        <f t="shared" si="11"/>
        <v>3.384391668892836E-2</v>
      </c>
      <c r="AD25" s="37">
        <f t="shared" si="11"/>
        <v>4.6867892866773064E-2</v>
      </c>
      <c r="AE25" s="38">
        <f t="shared" si="11"/>
        <v>2.9508873999588292E-2</v>
      </c>
      <c r="AF25" s="20" t="s">
        <v>14</v>
      </c>
      <c r="AG25" s="38">
        <f>MEDIAN(M25:AE25)</f>
        <v>1.7105002298067662E-2</v>
      </c>
    </row>
    <row r="26" spans="1:37" x14ac:dyDescent="0.2">
      <c r="I26" s="113" t="s">
        <v>25</v>
      </c>
      <c r="J26" s="114"/>
      <c r="K26" s="97">
        <f>AVERAGE(M24:N24,Q24:U24,AA24:AE24,K24)</f>
        <v>3.650699455224006E-2</v>
      </c>
      <c r="L26" s="113" t="s">
        <v>29</v>
      </c>
      <c r="M26" s="114"/>
      <c r="N26" s="56">
        <f>MEDIAN(M24:N24,Q24:U24,AA24:AE24,K24)</f>
        <v>2.6345933562428314E-2</v>
      </c>
      <c r="AC26" s="154" t="s">
        <v>23</v>
      </c>
      <c r="AD26" s="155"/>
      <c r="AE26" s="155"/>
      <c r="AF26" s="156"/>
      <c r="AG26" s="52">
        <f>AVERAGE(AC19:AF19)</f>
        <v>0.77798195885352461</v>
      </c>
    </row>
    <row r="27" spans="1:37" x14ac:dyDescent="0.2">
      <c r="I27" s="115" t="s">
        <v>26</v>
      </c>
      <c r="J27" s="116"/>
      <c r="K27" s="38">
        <f>AVERAGE(L24,V24:Z24,O24:P24)</f>
        <v>-1.8037680746119125E-2</v>
      </c>
      <c r="L27" s="115" t="s">
        <v>30</v>
      </c>
      <c r="M27" s="116"/>
      <c r="N27" s="38">
        <f>MEDIAN(L24,V24:Z24,O24:P24)</f>
        <v>-1.4817727260090674E-2</v>
      </c>
      <c r="AC27" s="157" t="s">
        <v>27</v>
      </c>
      <c r="AD27" s="158"/>
      <c r="AE27" s="158"/>
      <c r="AF27" s="158"/>
      <c r="AG27" s="56">
        <f>AVERAGE(H20,T20,X20,AF20)</f>
        <v>0.23893539449360579</v>
      </c>
      <c r="AH27" s="152"/>
      <c r="AI27" s="153"/>
      <c r="AJ27" s="153"/>
      <c r="AK27" s="153"/>
    </row>
    <row r="28" spans="1:37" x14ac:dyDescent="0.2">
      <c r="AC28" s="159" t="s">
        <v>28</v>
      </c>
      <c r="AD28" s="160"/>
      <c r="AE28" s="160"/>
      <c r="AF28" s="160"/>
      <c r="AG28" s="57">
        <f>_xlfn.STDEV.S(D20,H20,L20,P20,AF20,X20)</f>
        <v>9.4725871475283639E-3</v>
      </c>
      <c r="AH28" s="152"/>
      <c r="AI28" s="153"/>
      <c r="AJ28" s="153"/>
      <c r="AK28" s="153"/>
    </row>
    <row r="29" spans="1:37" ht="18" customHeight="1" x14ac:dyDescent="0.2"/>
  </sheetData>
  <mergeCells count="30">
    <mergeCell ref="I25:J25"/>
    <mergeCell ref="AH27:AK27"/>
    <mergeCell ref="AH28:AK28"/>
    <mergeCell ref="AC26:AF26"/>
    <mergeCell ref="AC27:AF27"/>
    <mergeCell ref="AC28:AF28"/>
    <mergeCell ref="D12:E12"/>
    <mergeCell ref="AC12:AE12"/>
    <mergeCell ref="A1:C3"/>
    <mergeCell ref="F1:G1"/>
    <mergeCell ref="K1:L1"/>
    <mergeCell ref="K2:L2"/>
    <mergeCell ref="K3:L3"/>
    <mergeCell ref="K4:L4"/>
    <mergeCell ref="AH13:AK13"/>
    <mergeCell ref="L26:M26"/>
    <mergeCell ref="L27:M27"/>
    <mergeCell ref="I24:J24"/>
    <mergeCell ref="B13:E13"/>
    <mergeCell ref="F13:I13"/>
    <mergeCell ref="J13:M13"/>
    <mergeCell ref="N13:Q13"/>
    <mergeCell ref="V13:Y13"/>
    <mergeCell ref="Z13:AC13"/>
    <mergeCell ref="AD13:AG13"/>
    <mergeCell ref="I22:J22"/>
    <mergeCell ref="I23:J23"/>
    <mergeCell ref="R13:U13"/>
    <mergeCell ref="I26:J26"/>
    <mergeCell ref="I27:J27"/>
  </mergeCells>
  <conditionalFormatting sqref="K22:AE22 AG2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3:AE23 AG2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4:AE24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{56CFC7B0-C261-494B-BB2F-961FC5395604}</x14:id>
        </ext>
      </extLst>
    </cfRule>
  </conditionalFormatting>
  <conditionalFormatting sqref="N25:AE25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{41DE4205-EE7F-4DBF-8BBA-9EEAD7B09998}</x14:id>
        </ext>
      </extLst>
    </cfRule>
  </conditionalFormatting>
  <conditionalFormatting sqref="AG24:AG25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{8C038067-089E-49FF-8126-BD91D38602DD}</x14:id>
        </ext>
      </extLst>
    </cfRule>
  </conditionalFormatting>
  <conditionalFormatting sqref="AG22:AG23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{B86A584F-5630-40E1-B995-7746D53887D9}</x14:id>
        </ext>
      </extLst>
    </cfRule>
  </conditionalFormatting>
  <conditionalFormatting sqref="AG22:AG23 AG2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{62207A90-4DCB-469A-A9CB-D988FA8A2AE2}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CFC7B0-C261-494B-BB2F-961FC53956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K24:AE24</xm:sqref>
        </x14:conditionalFormatting>
        <x14:conditionalFormatting xmlns:xm="http://schemas.microsoft.com/office/excel/2006/main">
          <x14:cfRule type="dataBar" id="{41DE4205-EE7F-4DBF-8BBA-9EEAD7B099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N25:AE25</xm:sqref>
        </x14:conditionalFormatting>
        <x14:conditionalFormatting xmlns:xm="http://schemas.microsoft.com/office/excel/2006/main">
          <x14:cfRule type="dataBar" id="{8C038067-089E-49FF-8126-BD91D38602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AG24:AG25</xm:sqref>
        </x14:conditionalFormatting>
        <x14:conditionalFormatting xmlns:xm="http://schemas.microsoft.com/office/excel/2006/main">
          <x14:cfRule type="dataBar" id="{B86A584F-5630-40E1-B995-7746D53887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AG22:AG23</xm:sqref>
        </x14:conditionalFormatting>
        <x14:conditionalFormatting xmlns:xm="http://schemas.microsoft.com/office/excel/2006/main">
          <x14:cfRule type="dataBar" id="{62207A90-4DCB-469A-A9CB-D988FA8A2A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AG22:AG23 AG26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49C6-FF3D-4DBB-B370-A9A55622C4B9}">
  <dimension ref="A1:U44"/>
  <sheetViews>
    <sheetView zoomScale="85" zoomScaleNormal="85" workbookViewId="0">
      <selection activeCell="E21" sqref="E21"/>
    </sheetView>
  </sheetViews>
  <sheetFormatPr defaultRowHeight="12.75" x14ac:dyDescent="0.2"/>
  <cols>
    <col min="1" max="1" width="7.5703125" bestFit="1" customWidth="1"/>
    <col min="2" max="2" width="16" bestFit="1" customWidth="1"/>
    <col min="3" max="3" width="12.7109375" bestFit="1" customWidth="1"/>
    <col min="4" max="4" width="11.5703125" customWidth="1"/>
    <col min="5" max="5" width="17.85546875" bestFit="1" customWidth="1"/>
    <col min="6" max="6" width="12" bestFit="1" customWidth="1"/>
    <col min="7" max="7" width="10.5703125" bestFit="1" customWidth="1"/>
    <col min="8" max="8" width="19.5703125" bestFit="1" customWidth="1"/>
    <col min="9" max="9" width="13.42578125" bestFit="1" customWidth="1"/>
    <col min="10" max="10" width="7.5703125" bestFit="1" customWidth="1"/>
    <col min="11" max="11" width="21.7109375" bestFit="1" customWidth="1"/>
    <col min="12" max="12" width="16.28515625" bestFit="1" customWidth="1"/>
    <col min="13" max="13" width="14.42578125" bestFit="1" customWidth="1"/>
    <col min="14" max="14" width="23.42578125" bestFit="1" customWidth="1"/>
    <col min="15" max="15" width="17.7109375" bestFit="1" customWidth="1"/>
    <col min="16" max="16" width="11.28515625" bestFit="1" customWidth="1"/>
    <col min="17" max="17" width="13.85546875" bestFit="1" customWidth="1"/>
    <col min="18" max="18" width="10.28515625" bestFit="1" customWidth="1"/>
    <col min="19" max="19" width="16.140625" bestFit="1" customWidth="1"/>
  </cols>
  <sheetData>
    <row r="1" spans="1:21" x14ac:dyDescent="0.2">
      <c r="A1" t="s">
        <v>83</v>
      </c>
      <c r="B1" t="s">
        <v>84</v>
      </c>
    </row>
    <row r="4" spans="1:21" x14ac:dyDescent="0.2">
      <c r="A4" s="163" t="s">
        <v>79</v>
      </c>
      <c r="B4" s="163"/>
      <c r="T4" s="91" t="s">
        <v>216</v>
      </c>
    </row>
    <row r="5" spans="1:21" x14ac:dyDescent="0.2">
      <c r="A5" s="18" t="s">
        <v>59</v>
      </c>
      <c r="B5" s="18" t="s">
        <v>60</v>
      </c>
      <c r="C5" s="18" t="s">
        <v>71</v>
      </c>
      <c r="D5" s="18" t="s">
        <v>61</v>
      </c>
      <c r="E5" s="18" t="s">
        <v>62</v>
      </c>
      <c r="F5" s="18" t="s">
        <v>72</v>
      </c>
      <c r="G5" s="18" t="s">
        <v>63</v>
      </c>
      <c r="H5" s="18" t="s">
        <v>64</v>
      </c>
      <c r="I5" s="18" t="s">
        <v>73</v>
      </c>
      <c r="J5" s="18" t="s">
        <v>65</v>
      </c>
      <c r="K5" s="18" t="s">
        <v>66</v>
      </c>
      <c r="L5" s="18" t="s">
        <v>76</v>
      </c>
      <c r="M5" s="18" t="s">
        <v>67</v>
      </c>
      <c r="N5" s="18" t="s">
        <v>68</v>
      </c>
      <c r="O5" s="18" t="s">
        <v>77</v>
      </c>
      <c r="P5" s="18" t="s">
        <v>69</v>
      </c>
      <c r="Q5" s="18" t="s">
        <v>70</v>
      </c>
      <c r="R5" s="18" t="s">
        <v>0</v>
      </c>
      <c r="S5" s="18" t="s">
        <v>75</v>
      </c>
      <c r="T5" s="41" t="s">
        <v>0</v>
      </c>
      <c r="U5" s="41" t="s">
        <v>75</v>
      </c>
    </row>
    <row r="6" spans="1:21" x14ac:dyDescent="0.2">
      <c r="A6" s="10" t="s">
        <v>199</v>
      </c>
      <c r="B6" s="6" t="s">
        <v>200</v>
      </c>
      <c r="C6" s="6" t="s">
        <v>44</v>
      </c>
      <c r="D6" s="6">
        <v>20180125</v>
      </c>
      <c r="E6" s="72">
        <v>140.715326</v>
      </c>
      <c r="F6" s="72">
        <v>136.21435</v>
      </c>
      <c r="G6" s="72">
        <v>127.795591</v>
      </c>
      <c r="H6" s="72">
        <v>133.37105299999999</v>
      </c>
      <c r="I6" s="72">
        <v>144.575706</v>
      </c>
      <c r="J6" s="72">
        <v>136.53440519999998</v>
      </c>
      <c r="K6" s="72"/>
      <c r="L6" s="72"/>
      <c r="M6" s="72"/>
      <c r="N6" s="72"/>
      <c r="O6" s="72"/>
      <c r="P6" s="72"/>
      <c r="Q6" s="72"/>
      <c r="R6" s="6">
        <v>127.8</v>
      </c>
      <c r="S6" s="72">
        <v>130.69999999999999</v>
      </c>
      <c r="T6" s="10">
        <v>127.8</v>
      </c>
      <c r="U6" s="72">
        <v>130.69999999999999</v>
      </c>
    </row>
    <row r="7" spans="1:21" x14ac:dyDescent="0.2">
      <c r="A7" s="10" t="s">
        <v>199</v>
      </c>
      <c r="B7" s="6" t="s">
        <v>200</v>
      </c>
      <c r="C7" s="6" t="s">
        <v>45</v>
      </c>
      <c r="D7" s="6">
        <v>20180426</v>
      </c>
      <c r="E7" s="72">
        <v>153.50818699999999</v>
      </c>
      <c r="F7" s="72">
        <v>152.758419</v>
      </c>
      <c r="G7" s="72">
        <v>148.12324100000001</v>
      </c>
      <c r="H7" s="72">
        <v>141.67813799999999</v>
      </c>
      <c r="I7" s="72">
        <v>165.56297699999999</v>
      </c>
      <c r="J7" s="72">
        <v>152.3261924</v>
      </c>
      <c r="K7" s="72">
        <v>142.58233705758528</v>
      </c>
      <c r="L7" s="72">
        <v>146.57431734101436</v>
      </c>
      <c r="M7" s="72">
        <v>151.48963627939244</v>
      </c>
      <c r="N7" s="72">
        <v>138.84071708273908</v>
      </c>
      <c r="O7" s="72">
        <v>149.67301002770134</v>
      </c>
      <c r="P7" s="72">
        <v>145.81697058347018</v>
      </c>
      <c r="Q7" s="72">
        <v>145.82949806198377</v>
      </c>
      <c r="R7" s="6">
        <v>137.5</v>
      </c>
      <c r="S7" s="72">
        <v>146.19999999999999</v>
      </c>
      <c r="T7" s="10">
        <v>137.5</v>
      </c>
      <c r="U7" s="72">
        <v>146.19999999999999</v>
      </c>
    </row>
    <row r="8" spans="1:21" x14ac:dyDescent="0.2">
      <c r="A8" s="10" t="s">
        <v>199</v>
      </c>
      <c r="B8" s="6" t="s">
        <v>200</v>
      </c>
      <c r="C8" s="6" t="s">
        <v>46</v>
      </c>
      <c r="D8" s="6">
        <v>20180719</v>
      </c>
      <c r="E8" s="72">
        <v>144.10797099999999</v>
      </c>
      <c r="F8" s="72">
        <v>143.14409800000001</v>
      </c>
      <c r="G8" s="72">
        <v>124.15147399999999</v>
      </c>
      <c r="H8" s="72">
        <v>133.38551699999999</v>
      </c>
      <c r="I8" s="72">
        <v>148.53522699999999</v>
      </c>
      <c r="J8" s="72">
        <f>AVERAGE(E8:I8)</f>
        <v>138.66485740000002</v>
      </c>
      <c r="K8" s="72">
        <f>(E8/E7)*$S7</f>
        <v>137.24730759930088</v>
      </c>
      <c r="L8" s="72">
        <f t="shared" ref="L8:P8" si="0">(F8/F7)*$S7</f>
        <v>136.99845327412038</v>
      </c>
      <c r="M8" s="72">
        <f t="shared" si="0"/>
        <v>122.53948385317869</v>
      </c>
      <c r="N8" s="72">
        <f t="shared" si="0"/>
        <v>137.64270804716531</v>
      </c>
      <c r="O8" s="72">
        <f t="shared" si="0"/>
        <v>131.16368514803887</v>
      </c>
      <c r="P8" s="72">
        <f t="shared" si="0"/>
        <v>133.08809097416921</v>
      </c>
      <c r="Q8" s="72">
        <f>AVERAGE(K8:P8)</f>
        <v>133.11328814932889</v>
      </c>
      <c r="R8" s="6">
        <v>145.69999999999999</v>
      </c>
      <c r="S8" s="72">
        <v>151.69999999999999</v>
      </c>
      <c r="T8" s="10">
        <v>145.69999999999999</v>
      </c>
      <c r="U8" s="72">
        <v>151.69999999999999</v>
      </c>
    </row>
    <row r="9" spans="1:21" x14ac:dyDescent="0.2">
      <c r="A9" s="10" t="s">
        <v>199</v>
      </c>
      <c r="B9" s="6" t="s">
        <v>200</v>
      </c>
      <c r="C9" s="6" t="s">
        <v>47</v>
      </c>
      <c r="D9" s="6">
        <v>20181025</v>
      </c>
      <c r="E9" s="72">
        <v>166.345471</v>
      </c>
      <c r="F9" s="72">
        <v>165.52516499999999</v>
      </c>
      <c r="G9" s="72">
        <v>138.73668900000001</v>
      </c>
      <c r="H9" s="72">
        <v>152.44333399999999</v>
      </c>
      <c r="I9" s="72">
        <v>168.97422299999999</v>
      </c>
      <c r="J9" s="72">
        <v>158.40497639999998</v>
      </c>
      <c r="K9" s="72">
        <v>178.49440751533749</v>
      </c>
      <c r="L9" s="72">
        <v>177.10912946330012</v>
      </c>
      <c r="M9" s="72">
        <v>166.48197721700296</v>
      </c>
      <c r="N9" s="72">
        <v>173.55575295464402</v>
      </c>
      <c r="O9" s="72">
        <v>170.14692676428155</v>
      </c>
      <c r="P9" s="72">
        <v>173.25896022573579</v>
      </c>
      <c r="Q9" s="72">
        <v>173.17452569005033</v>
      </c>
      <c r="R9" s="6">
        <v>144.69999999999999</v>
      </c>
      <c r="S9" s="72">
        <v>152.19999999999999</v>
      </c>
      <c r="T9" s="10">
        <v>144.69999999999999</v>
      </c>
      <c r="U9" s="72">
        <v>152.19999999999999</v>
      </c>
    </row>
    <row r="10" spans="1:21" x14ac:dyDescent="0.2">
      <c r="A10" s="10" t="s">
        <v>199</v>
      </c>
      <c r="B10" s="6" t="s">
        <v>200</v>
      </c>
      <c r="C10" s="6" t="s">
        <v>48</v>
      </c>
      <c r="D10" s="6">
        <v>20190124</v>
      </c>
      <c r="E10" s="72">
        <v>161.64708899999999</v>
      </c>
      <c r="F10" s="72">
        <v>166.63912999999999</v>
      </c>
      <c r="G10" s="72">
        <v>145.45917900000001</v>
      </c>
      <c r="H10" s="72">
        <v>155.814964</v>
      </c>
      <c r="I10" s="72">
        <v>169.74404899999999</v>
      </c>
      <c r="J10" s="72">
        <v>159.86088219999999</v>
      </c>
      <c r="K10" s="72">
        <v>147.90115293129921</v>
      </c>
      <c r="L10" s="72">
        <v>153.22428819811174</v>
      </c>
      <c r="M10" s="72">
        <v>159.57485509690949</v>
      </c>
      <c r="N10" s="72">
        <v>155.56624811682485</v>
      </c>
      <c r="O10" s="72">
        <v>152.89340468102046</v>
      </c>
      <c r="P10" s="72">
        <v>153.59887564012161</v>
      </c>
      <c r="Q10" s="72">
        <v>153.79313744404791</v>
      </c>
      <c r="R10" s="6">
        <v>162.6</v>
      </c>
      <c r="S10" s="72">
        <v>165.7</v>
      </c>
      <c r="T10" s="10">
        <v>162.6</v>
      </c>
      <c r="U10" s="72">
        <v>165.7</v>
      </c>
    </row>
    <row r="11" spans="1:21" x14ac:dyDescent="0.2">
      <c r="A11" s="10" t="s">
        <v>199</v>
      </c>
      <c r="B11" s="6" t="s">
        <v>200</v>
      </c>
      <c r="C11" s="6" t="s">
        <v>49</v>
      </c>
      <c r="D11" s="6">
        <v>20190425</v>
      </c>
      <c r="E11" s="72">
        <v>151.80422300000001</v>
      </c>
      <c r="F11" s="72">
        <v>153.08991900000001</v>
      </c>
      <c r="G11" s="72">
        <v>124.646545</v>
      </c>
      <c r="H11" s="72">
        <v>144.01084</v>
      </c>
      <c r="I11" s="72">
        <v>141.42193599999999</v>
      </c>
      <c r="J11" s="72">
        <v>142.99469259999998</v>
      </c>
      <c r="K11" s="72">
        <v>155.61034786775528</v>
      </c>
      <c r="L11" s="72">
        <v>152.22714843926514</v>
      </c>
      <c r="M11" s="72">
        <v>141.99126276176767</v>
      </c>
      <c r="N11" s="72">
        <v>153.14701217015329</v>
      </c>
      <c r="O11" s="72">
        <v>138.05264416191696</v>
      </c>
      <c r="P11" s="72">
        <v>148.21775182108931</v>
      </c>
      <c r="Q11" s="72">
        <v>148.20769453699128</v>
      </c>
      <c r="R11" s="6">
        <v>179.6</v>
      </c>
      <c r="S11" s="72">
        <v>169.7</v>
      </c>
      <c r="T11" s="10">
        <v>179.6</v>
      </c>
      <c r="U11" s="72">
        <v>169.7</v>
      </c>
    </row>
    <row r="12" spans="1:21" x14ac:dyDescent="0.2">
      <c r="A12" s="10" t="s">
        <v>199</v>
      </c>
      <c r="B12" s="6" t="s">
        <v>200</v>
      </c>
      <c r="C12" s="6" t="s">
        <v>50</v>
      </c>
      <c r="D12" s="6">
        <v>20190725</v>
      </c>
      <c r="E12" s="72">
        <v>182.08345700000001</v>
      </c>
      <c r="F12" s="72">
        <v>182.55376699999999</v>
      </c>
      <c r="G12" s="72">
        <v>172.093504</v>
      </c>
      <c r="H12" s="72">
        <v>172.655351</v>
      </c>
      <c r="I12" s="72">
        <v>179.598342</v>
      </c>
      <c r="J12" s="72">
        <v>177.79688419999999</v>
      </c>
      <c r="K12" s="72">
        <v>203.54876855369164</v>
      </c>
      <c r="L12" s="72">
        <v>202.36064178660905</v>
      </c>
      <c r="M12" s="72">
        <v>234.29664760302822</v>
      </c>
      <c r="N12" s="72">
        <v>203.45421958999751</v>
      </c>
      <c r="O12" s="72">
        <v>215.50998027208453</v>
      </c>
      <c r="P12" s="72">
        <v>211.0017560801414</v>
      </c>
      <c r="Q12" s="72">
        <v>211.69533564759206</v>
      </c>
      <c r="R12" s="6">
        <v>174.4</v>
      </c>
      <c r="S12" s="72">
        <v>168.3</v>
      </c>
      <c r="T12" s="10">
        <v>174.4</v>
      </c>
      <c r="U12" s="72">
        <v>168.3</v>
      </c>
    </row>
    <row r="13" spans="1:21" x14ac:dyDescent="0.2">
      <c r="A13" s="10" t="s">
        <v>199</v>
      </c>
      <c r="B13" s="6" t="s">
        <v>200</v>
      </c>
      <c r="C13" s="6" t="s">
        <v>51</v>
      </c>
      <c r="D13" s="6">
        <v>20191024</v>
      </c>
      <c r="E13" s="72">
        <v>172.38423900000001</v>
      </c>
      <c r="F13" s="72">
        <v>174.24580700000001</v>
      </c>
      <c r="G13" s="72">
        <v>158.50054800000001</v>
      </c>
      <c r="H13" s="72">
        <v>164.020342</v>
      </c>
      <c r="I13" s="72">
        <v>167.76855</v>
      </c>
      <c r="J13" s="72">
        <v>167.38389720000001</v>
      </c>
      <c r="K13" s="72">
        <v>159.33499891590921</v>
      </c>
      <c r="L13" s="72">
        <v>160.64072410020444</v>
      </c>
      <c r="M13" s="72">
        <v>155.0066772328606</v>
      </c>
      <c r="N13" s="72">
        <v>159.88281509213115</v>
      </c>
      <c r="O13" s="72">
        <v>157.21440771986639</v>
      </c>
      <c r="P13" s="72">
        <v>158.44321471388307</v>
      </c>
      <c r="Q13" s="72">
        <v>158.42047296247583</v>
      </c>
      <c r="R13" s="6">
        <v>166.2</v>
      </c>
      <c r="S13" s="72">
        <v>164</v>
      </c>
      <c r="T13" s="10">
        <v>166.2</v>
      </c>
      <c r="U13" s="72">
        <v>164</v>
      </c>
    </row>
    <row r="14" spans="1:21" x14ac:dyDescent="0.2">
      <c r="A14" s="10" t="s">
        <v>199</v>
      </c>
      <c r="B14" s="6" t="s">
        <v>200</v>
      </c>
      <c r="C14" s="6" t="s">
        <v>52</v>
      </c>
      <c r="D14" s="6">
        <v>20200130</v>
      </c>
      <c r="E14" s="72">
        <v>185.00628599999999</v>
      </c>
      <c r="F14" s="72">
        <v>182.421402</v>
      </c>
      <c r="G14" s="72">
        <v>174.327943</v>
      </c>
      <c r="H14" s="72">
        <v>182.43732299999999</v>
      </c>
      <c r="I14" s="72">
        <v>172.040188</v>
      </c>
      <c r="J14" s="72">
        <v>179.24662840000002</v>
      </c>
      <c r="K14" s="72">
        <v>176.00814946893141</v>
      </c>
      <c r="L14" s="72">
        <v>171.69486280952515</v>
      </c>
      <c r="M14" s="72">
        <v>180.37655397885436</v>
      </c>
      <c r="N14" s="72">
        <v>182.41469690387549</v>
      </c>
      <c r="O14" s="72">
        <v>168.17568508519622</v>
      </c>
      <c r="P14" s="72">
        <v>175.62290966660564</v>
      </c>
      <c r="Q14" s="72">
        <v>175.71547631883138</v>
      </c>
      <c r="R14" s="6">
        <v>180.4</v>
      </c>
      <c r="S14" s="72">
        <v>177</v>
      </c>
      <c r="T14" s="10">
        <v>180.4</v>
      </c>
      <c r="U14" s="72">
        <v>177</v>
      </c>
    </row>
    <row r="15" spans="1:21" x14ac:dyDescent="0.2">
      <c r="A15" s="10" t="s">
        <v>199</v>
      </c>
      <c r="B15" s="6" t="s">
        <v>200</v>
      </c>
      <c r="C15" s="6" t="s">
        <v>53</v>
      </c>
      <c r="D15" s="6">
        <v>20200423</v>
      </c>
      <c r="E15" s="72">
        <v>180.42843500000001</v>
      </c>
      <c r="F15" s="72">
        <v>182.71895699999999</v>
      </c>
      <c r="G15" s="72">
        <v>176.46961899999999</v>
      </c>
      <c r="H15" s="72">
        <v>171.297528</v>
      </c>
      <c r="I15" s="72">
        <v>165.28673000000001</v>
      </c>
      <c r="J15" s="72">
        <v>175.24025379999998</v>
      </c>
      <c r="K15" s="72">
        <v>172.62025894082325</v>
      </c>
      <c r="L15" s="72">
        <v>177.28871192975481</v>
      </c>
      <c r="M15" s="72">
        <v>179.17450309730322</v>
      </c>
      <c r="N15" s="72">
        <v>166.19221307034857</v>
      </c>
      <c r="O15" s="72">
        <v>170.05184399124232</v>
      </c>
      <c r="P15" s="72">
        <v>173.0438402075963</v>
      </c>
      <c r="Q15" s="72">
        <v>173.06189520617806</v>
      </c>
      <c r="R15" s="6">
        <v>164.6</v>
      </c>
      <c r="S15" s="72">
        <v>164</v>
      </c>
      <c r="T15" s="10">
        <v>164.6</v>
      </c>
      <c r="U15" s="72">
        <v>164</v>
      </c>
    </row>
    <row r="16" spans="1:21" x14ac:dyDescent="0.2">
      <c r="A16" s="10" t="s">
        <v>199</v>
      </c>
      <c r="B16" s="6" t="s">
        <v>200</v>
      </c>
      <c r="C16" s="6" t="s">
        <v>54</v>
      </c>
      <c r="D16" s="6">
        <v>20200730</v>
      </c>
      <c r="E16" s="72">
        <v>153.968446</v>
      </c>
      <c r="F16" s="72">
        <v>154.92055300000001</v>
      </c>
      <c r="G16" s="72">
        <v>124.90430000000001</v>
      </c>
      <c r="H16" s="72">
        <v>146.99766500000001</v>
      </c>
      <c r="I16" s="72">
        <v>140.887213</v>
      </c>
      <c r="J16" s="72">
        <v>144.3356354</v>
      </c>
      <c r="K16" s="72">
        <v>139.94925547073552</v>
      </c>
      <c r="L16" s="72">
        <v>139.04945118529767</v>
      </c>
      <c r="M16" s="72">
        <v>116.07836700775108</v>
      </c>
      <c r="N16" s="72">
        <v>140.73534709736151</v>
      </c>
      <c r="O16" s="72">
        <v>139.79042922562508</v>
      </c>
      <c r="P16" s="72">
        <v>135.0776644766535</v>
      </c>
      <c r="Q16" s="72">
        <v>135.11341907723738</v>
      </c>
      <c r="R16" s="6">
        <v>113.3</v>
      </c>
      <c r="S16" s="72">
        <v>126.2</v>
      </c>
      <c r="T16" s="10">
        <v>161.6</v>
      </c>
      <c r="U16" s="72">
        <v>163.19999999999999</v>
      </c>
    </row>
    <row r="17" spans="1:21" x14ac:dyDescent="0.2">
      <c r="A17" s="10" t="s">
        <v>199</v>
      </c>
      <c r="B17" s="6" t="s">
        <v>200</v>
      </c>
      <c r="C17" s="6" t="s">
        <v>55</v>
      </c>
      <c r="D17" s="6">
        <v>20201022</v>
      </c>
      <c r="E17" s="72">
        <v>164.75369499999999</v>
      </c>
      <c r="F17" s="72">
        <v>167.79207299999999</v>
      </c>
      <c r="G17" s="72">
        <v>165.083438</v>
      </c>
      <c r="H17" s="72">
        <v>154.27746500000001</v>
      </c>
      <c r="I17" s="72">
        <v>153.62370000000001</v>
      </c>
      <c r="J17" s="72">
        <v>161.10607419999999</v>
      </c>
      <c r="K17" s="72">
        <v>135.04011275790884</v>
      </c>
      <c r="L17" s="72">
        <v>136.68528289206404</v>
      </c>
      <c r="M17" s="72">
        <v>166.79593797491358</v>
      </c>
      <c r="N17" s="72">
        <v>132.44983233577213</v>
      </c>
      <c r="O17" s="72">
        <v>137.60873344836486</v>
      </c>
      <c r="P17" s="72">
        <v>140.86324910473218</v>
      </c>
      <c r="Q17" s="72">
        <v>141.57385808562594</v>
      </c>
      <c r="R17" s="6">
        <v>161.6</v>
      </c>
      <c r="S17" s="72">
        <v>163.19999999999999</v>
      </c>
      <c r="T17" s="10">
        <v>176.9</v>
      </c>
      <c r="U17" s="72">
        <v>179.6</v>
      </c>
    </row>
    <row r="18" spans="1:21" x14ac:dyDescent="0.2">
      <c r="A18" s="10" t="s">
        <v>199</v>
      </c>
      <c r="B18" s="6" t="s">
        <v>200</v>
      </c>
      <c r="C18" s="6" t="s">
        <v>56</v>
      </c>
      <c r="D18" s="6">
        <v>20210121</v>
      </c>
      <c r="E18" s="72">
        <v>163.75921700000001</v>
      </c>
      <c r="F18" s="72">
        <v>161.84546499999999</v>
      </c>
      <c r="G18" s="72">
        <v>163.217333</v>
      </c>
      <c r="H18" s="72">
        <v>156.65654000000001</v>
      </c>
      <c r="I18" s="72">
        <v>151.56568999999999</v>
      </c>
      <c r="J18" s="72">
        <v>159.408849</v>
      </c>
      <c r="K18" s="72">
        <v>162.21490033592266</v>
      </c>
      <c r="L18" s="72">
        <v>157.41613662523855</v>
      </c>
      <c r="M18" s="72">
        <v>161.35518540388043</v>
      </c>
      <c r="N18" s="72">
        <v>165.71666722680462</v>
      </c>
      <c r="O18" s="72">
        <v>161.0137017139933</v>
      </c>
      <c r="P18" s="72">
        <v>161.48071564641231</v>
      </c>
      <c r="Q18" s="72">
        <v>161.53288449204197</v>
      </c>
      <c r="R18" s="6">
        <v>176.9</v>
      </c>
      <c r="S18" s="72">
        <v>179.6</v>
      </c>
      <c r="T18">
        <v>177.5</v>
      </c>
      <c r="U18">
        <v>186.1</v>
      </c>
    </row>
    <row r="19" spans="1:21" x14ac:dyDescent="0.2">
      <c r="A19" s="10" t="s">
        <v>199</v>
      </c>
      <c r="B19" s="6" t="s">
        <v>200</v>
      </c>
      <c r="C19" s="6" t="s">
        <v>57</v>
      </c>
      <c r="D19" s="6">
        <v>20210422</v>
      </c>
      <c r="E19" s="72">
        <v>178.97609800000001</v>
      </c>
      <c r="F19" s="72">
        <v>174.44408999999999</v>
      </c>
      <c r="G19" s="72">
        <v>183.74498299999999</v>
      </c>
      <c r="H19" s="72">
        <v>166.25650300000001</v>
      </c>
      <c r="I19" s="72">
        <v>152.09663800000001</v>
      </c>
      <c r="J19" s="72">
        <v>171.10366239999999</v>
      </c>
      <c r="K19" s="72">
        <v>196.28884278800624</v>
      </c>
      <c r="L19" s="72">
        <v>193.58070097299296</v>
      </c>
      <c r="M19" s="72">
        <v>202.1880785590339</v>
      </c>
      <c r="N19" s="72">
        <v>190.60594558516357</v>
      </c>
      <c r="O19" s="72">
        <v>180.22915466422515</v>
      </c>
      <c r="P19" s="72">
        <v>192.77610973177528</v>
      </c>
      <c r="Q19" s="72">
        <v>192.6114720501995</v>
      </c>
      <c r="R19" s="6">
        <v>177.5</v>
      </c>
      <c r="S19" s="73">
        <v>186.1</v>
      </c>
      <c r="T19">
        <v>189.1</v>
      </c>
      <c r="U19">
        <v>197.5</v>
      </c>
    </row>
    <row r="20" spans="1:21" x14ac:dyDescent="0.2">
      <c r="A20" s="10" t="s">
        <v>199</v>
      </c>
      <c r="B20" s="6" t="s">
        <v>200</v>
      </c>
      <c r="C20" s="6" t="s">
        <v>58</v>
      </c>
      <c r="D20" s="6">
        <v>20210729</v>
      </c>
      <c r="E20" s="72">
        <v>195.03527600000001</v>
      </c>
      <c r="F20" s="72">
        <v>191.393238</v>
      </c>
      <c r="G20" s="72">
        <v>193.143676</v>
      </c>
      <c r="H20" s="72">
        <v>183.909907</v>
      </c>
      <c r="I20" s="72">
        <v>162.694265</v>
      </c>
      <c r="J20" s="72">
        <v>185.23527239999999</v>
      </c>
      <c r="K20" s="72">
        <v>202.79839190370546</v>
      </c>
      <c r="L20" s="72">
        <v>204.18164692079853</v>
      </c>
      <c r="M20" s="72">
        <v>195.6191538769796</v>
      </c>
      <c r="N20" s="72">
        <v>205.86042094666215</v>
      </c>
      <c r="O20" s="72">
        <v>199.06687691873896</v>
      </c>
      <c r="P20" s="72">
        <v>201.4701714160386</v>
      </c>
      <c r="Q20" s="72">
        <v>201.49944366382053</v>
      </c>
      <c r="R20" s="6">
        <v>189.1</v>
      </c>
      <c r="S20" s="73">
        <v>197.5</v>
      </c>
    </row>
    <row r="21" spans="1:21" x14ac:dyDescent="0.2">
      <c r="A21" s="78" t="s">
        <v>199</v>
      </c>
      <c r="B21" s="79" t="s">
        <v>200</v>
      </c>
      <c r="C21" s="13" t="s">
        <v>74</v>
      </c>
      <c r="D21" s="13">
        <v>20211021</v>
      </c>
      <c r="E21">
        <v>211.00810304800001</v>
      </c>
      <c r="F21">
        <v>200.37474519657241</v>
      </c>
      <c r="G21">
        <v>175.2806061353362</v>
      </c>
      <c r="H21">
        <v>193.52979146499999</v>
      </c>
      <c r="I21">
        <v>166.71595997949521</v>
      </c>
      <c r="J21" s="74">
        <f>AVERAGE(E21:I21)</f>
        <v>189.38184116488077</v>
      </c>
      <c r="K21" s="74">
        <f>(E21/E20)*$S$20</f>
        <v>213.67468084071109</v>
      </c>
      <c r="L21" s="74">
        <f t="shared" ref="L21:P21" si="1">(F21/F20)*$S$20</f>
        <v>206.76807911219441</v>
      </c>
      <c r="M21" s="74">
        <f t="shared" si="1"/>
        <v>179.23403151822015</v>
      </c>
      <c r="N21" s="74">
        <f t="shared" si="1"/>
        <v>207.83074951115873</v>
      </c>
      <c r="O21" s="74">
        <f t="shared" si="1"/>
        <v>202.38206980406042</v>
      </c>
      <c r="P21" s="74">
        <f t="shared" si="1"/>
        <v>201.92111980322792</v>
      </c>
      <c r="Q21" s="74">
        <f>AVERAGE(K21:P21)</f>
        <v>201.9684550982621</v>
      </c>
      <c r="R21" s="13">
        <v>194.9</v>
      </c>
      <c r="S21" s="11"/>
    </row>
    <row r="22" spans="1:21" x14ac:dyDescent="0.2">
      <c r="A22" s="161" t="s">
        <v>78</v>
      </c>
      <c r="B22" s="162"/>
      <c r="C22" s="162"/>
      <c r="D22" s="162"/>
      <c r="E22" s="81">
        <f t="shared" ref="E22:R22" si="2">CORREL(E$6:E$20,$S$6:$S$20)</f>
        <v>0.75736132254513822</v>
      </c>
      <c r="F22" s="80">
        <f t="shared" si="2"/>
        <v>0.73001180157727452</v>
      </c>
      <c r="G22" s="81">
        <f t="shared" si="2"/>
        <v>0.78411480734921446</v>
      </c>
      <c r="H22" s="80">
        <f t="shared" si="2"/>
        <v>0.74184230349367386</v>
      </c>
      <c r="I22" s="80">
        <f t="shared" si="2"/>
        <v>0.33354382747402184</v>
      </c>
      <c r="J22" s="80">
        <f t="shared" si="2"/>
        <v>0.74788247029753419</v>
      </c>
      <c r="K22" s="80">
        <f t="shared" si="2"/>
        <v>0.66742058937049042</v>
      </c>
      <c r="L22" s="80">
        <f t="shared" si="2"/>
        <v>0.65322915649360691</v>
      </c>
      <c r="M22" s="80">
        <f t="shared" si="2"/>
        <v>0.65696599250771714</v>
      </c>
      <c r="N22" s="82">
        <f t="shared" si="2"/>
        <v>0.70323801927623986</v>
      </c>
      <c r="O22" s="80">
        <f t="shared" si="2"/>
        <v>0.5635112427336586</v>
      </c>
      <c r="P22" s="82">
        <f t="shared" si="2"/>
        <v>0.6717401239558155</v>
      </c>
      <c r="Q22" s="82">
        <f t="shared" si="2"/>
        <v>0.6708937915730343</v>
      </c>
      <c r="R22" s="81">
        <f t="shared" si="2"/>
        <v>0.96106755206727945</v>
      </c>
      <c r="S22" s="5"/>
    </row>
    <row r="24" spans="1:21" x14ac:dyDescent="0.2">
      <c r="A24" s="164" t="s">
        <v>80</v>
      </c>
      <c r="B24" s="165"/>
    </row>
    <row r="25" spans="1:21" x14ac:dyDescent="0.2">
      <c r="A25" s="18" t="s">
        <v>59</v>
      </c>
      <c r="B25" s="18" t="s">
        <v>60</v>
      </c>
      <c r="C25" s="18" t="s">
        <v>71</v>
      </c>
      <c r="D25" s="18" t="s">
        <v>61</v>
      </c>
      <c r="E25" s="18" t="s">
        <v>62</v>
      </c>
      <c r="F25" s="18" t="s">
        <v>72</v>
      </c>
      <c r="G25" s="18" t="s">
        <v>63</v>
      </c>
      <c r="H25" s="18" t="s">
        <v>64</v>
      </c>
      <c r="I25" s="18" t="s">
        <v>73</v>
      </c>
      <c r="J25" s="18" t="s">
        <v>65</v>
      </c>
      <c r="K25" s="18" t="s">
        <v>66</v>
      </c>
      <c r="L25" s="18" t="s">
        <v>76</v>
      </c>
      <c r="M25" s="18" t="s">
        <v>67</v>
      </c>
      <c r="N25" s="18" t="s">
        <v>68</v>
      </c>
      <c r="O25" s="18" t="s">
        <v>77</v>
      </c>
      <c r="P25" s="18" t="s">
        <v>69</v>
      </c>
      <c r="Q25" s="18" t="s">
        <v>70</v>
      </c>
      <c r="R25" s="18" t="s">
        <v>0</v>
      </c>
    </row>
    <row r="26" spans="1:21" x14ac:dyDescent="0.2">
      <c r="A26" s="10" t="s">
        <v>42</v>
      </c>
      <c r="B26" s="6" t="s">
        <v>43</v>
      </c>
      <c r="C26" s="6" t="s">
        <v>44</v>
      </c>
      <c r="D26" s="6">
        <f>D6</f>
        <v>20180125</v>
      </c>
      <c r="E26" s="19">
        <f t="shared" ref="E26:J26" si="3">$S6/E6-1</f>
        <v>-7.1174379399156718E-2</v>
      </c>
      <c r="F26" s="19">
        <f t="shared" si="3"/>
        <v>-4.0482885980808958E-2</v>
      </c>
      <c r="G26" s="19">
        <f t="shared" si="3"/>
        <v>2.2726989071164327E-2</v>
      </c>
      <c r="H26" s="19">
        <f t="shared" si="3"/>
        <v>-2.0027231846178828E-2</v>
      </c>
      <c r="I26" s="19">
        <f t="shared" si="3"/>
        <v>-9.5975363938392344E-2</v>
      </c>
      <c r="J26" s="19">
        <f t="shared" si="3"/>
        <v>-4.2732124488721879E-2</v>
      </c>
      <c r="K26" s="19"/>
      <c r="L26" s="19"/>
      <c r="M26" s="19"/>
      <c r="N26" s="19"/>
      <c r="O26" s="19"/>
      <c r="P26" s="19"/>
      <c r="Q26" s="19"/>
      <c r="R26" s="48">
        <f t="shared" ref="R26:R35" si="4">$S6/R6-1</f>
        <v>2.2691705790297334E-2</v>
      </c>
    </row>
    <row r="27" spans="1:21" x14ac:dyDescent="0.2">
      <c r="A27" s="10" t="s">
        <v>42</v>
      </c>
      <c r="B27" s="6" t="s">
        <v>43</v>
      </c>
      <c r="C27" s="6" t="s">
        <v>45</v>
      </c>
      <c r="D27" s="6">
        <f t="shared" ref="D27:D40" si="5">D7</f>
        <v>20180426</v>
      </c>
      <c r="E27" s="19">
        <f t="shared" ref="E27:J27" si="6">$S7/E7-1</f>
        <v>-4.7607799576188103E-2</v>
      </c>
      <c r="F27" s="19">
        <f t="shared" si="6"/>
        <v>-4.2933273615511913E-2</v>
      </c>
      <c r="G27" s="19">
        <f t="shared" si="6"/>
        <v>-1.2984059672310422E-2</v>
      </c>
      <c r="H27" s="19">
        <f t="shared" si="6"/>
        <v>3.1916441476665947E-2</v>
      </c>
      <c r="I27" s="19">
        <f t="shared" si="6"/>
        <v>-0.11695233651180359</v>
      </c>
      <c r="J27" s="19">
        <f t="shared" si="6"/>
        <v>-4.0217590313772034E-2</v>
      </c>
      <c r="K27" s="19">
        <f t="shared" ref="K27:Q27" si="7">$S7/K7-1</f>
        <v>2.5372448068049502E-2</v>
      </c>
      <c r="L27" s="19">
        <f t="shared" si="7"/>
        <v>-2.5537716825485557E-3</v>
      </c>
      <c r="M27" s="19">
        <f t="shared" si="7"/>
        <v>-3.4917479566963783E-2</v>
      </c>
      <c r="N27" s="19">
        <f t="shared" si="7"/>
        <v>5.3005221176402495E-2</v>
      </c>
      <c r="O27" s="19">
        <f t="shared" si="7"/>
        <v>-2.3203983317089505E-2</v>
      </c>
      <c r="P27" s="19">
        <f t="shared" si="7"/>
        <v>2.6267821570915562E-3</v>
      </c>
      <c r="Q27" s="19">
        <f t="shared" si="7"/>
        <v>2.5406515344292835E-3</v>
      </c>
      <c r="R27" s="48">
        <f t="shared" si="4"/>
        <v>6.3272727272727147E-2</v>
      </c>
    </row>
    <row r="28" spans="1:21" x14ac:dyDescent="0.2">
      <c r="A28" s="10" t="s">
        <v>42</v>
      </c>
      <c r="B28" s="6" t="s">
        <v>43</v>
      </c>
      <c r="C28" s="6" t="s">
        <v>46</v>
      </c>
      <c r="D28" s="6">
        <f t="shared" si="5"/>
        <v>20180719</v>
      </c>
      <c r="E28" s="19">
        <f t="shared" ref="E28:J28" si="8">$S8/E8-1</f>
        <v>5.2682922029344104E-2</v>
      </c>
      <c r="F28" s="19">
        <f t="shared" si="8"/>
        <v>5.9771252322257551E-2</v>
      </c>
      <c r="G28" s="19">
        <f t="shared" si="8"/>
        <v>0.22189447384249328</v>
      </c>
      <c r="H28" s="19">
        <f t="shared" si="8"/>
        <v>0.13730488445758326</v>
      </c>
      <c r="I28" s="19">
        <f t="shared" si="8"/>
        <v>2.1306548378587697E-2</v>
      </c>
      <c r="J28" s="19">
        <f t="shared" si="8"/>
        <v>9.4004658746362102E-2</v>
      </c>
      <c r="K28" s="19">
        <f t="shared" ref="K28:Q28" si="9">$S8/K8-1</f>
        <v>0.10530401399854283</v>
      </c>
      <c r="L28" s="19">
        <f t="shared" si="9"/>
        <v>0.1073117715895906</v>
      </c>
      <c r="M28" s="19">
        <f t="shared" si="9"/>
        <v>0.23796832849206484</v>
      </c>
      <c r="N28" s="19">
        <f t="shared" si="9"/>
        <v>0.10212885340804068</v>
      </c>
      <c r="O28" s="19">
        <f t="shared" si="9"/>
        <v>0.1565701270803932</v>
      </c>
      <c r="P28" s="19">
        <f t="shared" si="9"/>
        <v>0.13984653990899254</v>
      </c>
      <c r="Q28" s="19">
        <f t="shared" si="9"/>
        <v>0.13963077698013282</v>
      </c>
      <c r="R28" s="48">
        <f t="shared" si="4"/>
        <v>4.1180507892930596E-2</v>
      </c>
    </row>
    <row r="29" spans="1:21" x14ac:dyDescent="0.2">
      <c r="A29" s="10" t="s">
        <v>42</v>
      </c>
      <c r="B29" s="6" t="s">
        <v>43</v>
      </c>
      <c r="C29" s="6" t="s">
        <v>47</v>
      </c>
      <c r="D29" s="6">
        <f t="shared" si="5"/>
        <v>20181025</v>
      </c>
      <c r="E29" s="19">
        <f t="shared" ref="E29:J29" si="10">$S9/E9-1</f>
        <v>-8.5036706529870054E-2</v>
      </c>
      <c r="F29" s="19">
        <f t="shared" si="10"/>
        <v>-8.050235140982942E-2</v>
      </c>
      <c r="G29" s="19">
        <f t="shared" si="10"/>
        <v>9.7042181826899165E-2</v>
      </c>
      <c r="H29" s="19">
        <f t="shared" si="10"/>
        <v>-1.5962259130334333E-3</v>
      </c>
      <c r="I29" s="19">
        <f t="shared" si="10"/>
        <v>-9.9270898851832601E-2</v>
      </c>
      <c r="J29" s="19">
        <f t="shared" si="10"/>
        <v>-3.9171600166975518E-2</v>
      </c>
      <c r="K29" s="19">
        <f t="shared" ref="K29:Q29" si="11">$S9/K9-1</f>
        <v>-0.1473122204855527</v>
      </c>
      <c r="L29" s="19">
        <f t="shared" si="11"/>
        <v>-0.14064283156256896</v>
      </c>
      <c r="M29" s="19">
        <f t="shared" si="11"/>
        <v>-8.5786926943971609E-2</v>
      </c>
      <c r="N29" s="19">
        <f t="shared" si="11"/>
        <v>-0.12304837258967161</v>
      </c>
      <c r="O29" s="19">
        <f t="shared" si="11"/>
        <v>-0.10547899457005705</v>
      </c>
      <c r="P29" s="19">
        <f t="shared" si="11"/>
        <v>-0.12154615379371136</v>
      </c>
      <c r="Q29" s="19">
        <f t="shared" si="11"/>
        <v>-0.12111784690313387</v>
      </c>
      <c r="R29" s="48">
        <f t="shared" si="4"/>
        <v>5.183137525915682E-2</v>
      </c>
    </row>
    <row r="30" spans="1:21" x14ac:dyDescent="0.2">
      <c r="A30" s="10" t="s">
        <v>42</v>
      </c>
      <c r="B30" s="6" t="s">
        <v>43</v>
      </c>
      <c r="C30" s="6" t="s">
        <v>48</v>
      </c>
      <c r="D30" s="6">
        <f t="shared" si="5"/>
        <v>20190124</v>
      </c>
      <c r="E30" s="19">
        <f t="shared" ref="E30:J30" si="12">$S10/E10-1</f>
        <v>2.507258884198027E-2</v>
      </c>
      <c r="F30" s="19">
        <f t="shared" si="12"/>
        <v>-5.6357111321932996E-3</v>
      </c>
      <c r="G30" s="19">
        <f t="shared" si="12"/>
        <v>0.13915121162618393</v>
      </c>
      <c r="H30" s="19">
        <f t="shared" si="12"/>
        <v>6.3440864383217832E-2</v>
      </c>
      <c r="I30" s="19">
        <f t="shared" si="12"/>
        <v>-2.3824393395965204E-2</v>
      </c>
      <c r="J30" s="19">
        <f t="shared" si="12"/>
        <v>3.652624531806814E-2</v>
      </c>
      <c r="K30" s="19">
        <f t="shared" ref="K30:Q30" si="13">$S10/K10-1</f>
        <v>0.1203428554540642</v>
      </c>
      <c r="L30" s="19">
        <f t="shared" si="13"/>
        <v>8.1421241688248269E-2</v>
      </c>
      <c r="M30" s="19">
        <f t="shared" si="13"/>
        <v>3.8384148300624865E-2</v>
      </c>
      <c r="N30" s="19">
        <f t="shared" si="13"/>
        <v>6.5141070160444015E-2</v>
      </c>
      <c r="O30" s="19">
        <f t="shared" si="13"/>
        <v>8.3761594201514189E-2</v>
      </c>
      <c r="P30" s="19">
        <f t="shared" si="13"/>
        <v>7.8783938420428523E-2</v>
      </c>
      <c r="Q30" s="19">
        <f t="shared" si="13"/>
        <v>7.7421286501057063E-2</v>
      </c>
      <c r="R30" s="48">
        <f t="shared" si="4"/>
        <v>1.9065190651906594E-2</v>
      </c>
    </row>
    <row r="31" spans="1:21" x14ac:dyDescent="0.2">
      <c r="A31" s="10" t="s">
        <v>42</v>
      </c>
      <c r="B31" s="6" t="s">
        <v>43</v>
      </c>
      <c r="C31" s="6" t="s">
        <v>49</v>
      </c>
      <c r="D31" s="6">
        <f t="shared" si="5"/>
        <v>20190425</v>
      </c>
      <c r="E31" s="19">
        <f t="shared" ref="E31:J31" si="14">$S11/E11-1</f>
        <v>0.11788721450785977</v>
      </c>
      <c r="F31" s="19">
        <f t="shared" si="14"/>
        <v>0.10849885549942706</v>
      </c>
      <c r="G31" s="19">
        <f t="shared" si="14"/>
        <v>0.36144968960030122</v>
      </c>
      <c r="H31" s="19">
        <f t="shared" si="14"/>
        <v>0.178383516129758</v>
      </c>
      <c r="I31" s="19">
        <f t="shared" si="14"/>
        <v>0.19995528840730903</v>
      </c>
      <c r="J31" s="19">
        <f t="shared" si="14"/>
        <v>0.18675733283823992</v>
      </c>
      <c r="K31" s="19">
        <f t="shared" ref="K31:Q31" si="15">$S11/K11-1</f>
        <v>9.0544442097248767E-2</v>
      </c>
      <c r="L31" s="19">
        <f t="shared" si="15"/>
        <v>0.11478144168026705</v>
      </c>
      <c r="M31" s="19">
        <f t="shared" si="15"/>
        <v>0.19514395955983521</v>
      </c>
      <c r="N31" s="19">
        <f t="shared" si="15"/>
        <v>0.10808560738655215</v>
      </c>
      <c r="O31" s="19">
        <f t="shared" si="15"/>
        <v>0.22924121468448644</v>
      </c>
      <c r="P31" s="19">
        <f t="shared" si="15"/>
        <v>0.14493708017405016</v>
      </c>
      <c r="Q31" s="19">
        <f t="shared" si="15"/>
        <v>0.14501477490862946</v>
      </c>
      <c r="R31" s="48">
        <f t="shared" si="4"/>
        <v>-5.512249443207129E-2</v>
      </c>
    </row>
    <row r="32" spans="1:21" x14ac:dyDescent="0.2">
      <c r="A32" s="10" t="s">
        <v>42</v>
      </c>
      <c r="B32" s="6" t="s">
        <v>43</v>
      </c>
      <c r="C32" s="6" t="s">
        <v>50</v>
      </c>
      <c r="D32" s="6">
        <f t="shared" si="5"/>
        <v>20190725</v>
      </c>
      <c r="E32" s="19">
        <f t="shared" ref="E32:J32" si="16">$S12/E12-1</f>
        <v>-7.5698568266967858E-2</v>
      </c>
      <c r="F32" s="19">
        <f t="shared" si="16"/>
        <v>-7.8079829489357988E-2</v>
      </c>
      <c r="G32" s="19">
        <f t="shared" si="16"/>
        <v>-2.2043272475874454E-2</v>
      </c>
      <c r="H32" s="19">
        <f t="shared" si="16"/>
        <v>-2.5225693700046348E-2</v>
      </c>
      <c r="I32" s="19">
        <f t="shared" si="16"/>
        <v>-6.2908943780783821E-2</v>
      </c>
      <c r="J32" s="19">
        <f t="shared" si="16"/>
        <v>-5.3414233003752365E-2</v>
      </c>
      <c r="K32" s="19">
        <f t="shared" ref="K32:Q32" si="17">$S12/K12-1</f>
        <v>-0.173171121614493</v>
      </c>
      <c r="L32" s="19">
        <f t="shared" si="17"/>
        <v>-0.16831653371867772</v>
      </c>
      <c r="M32" s="19">
        <f t="shared" si="17"/>
        <v>-0.28167986302069148</v>
      </c>
      <c r="N32" s="19">
        <f t="shared" si="17"/>
        <v>-0.17278687884105104</v>
      </c>
      <c r="O32" s="19">
        <f t="shared" si="17"/>
        <v>-0.2190616889875876</v>
      </c>
      <c r="P32" s="19">
        <f t="shared" si="17"/>
        <v>-0.20237630659302508</v>
      </c>
      <c r="Q32" s="19">
        <f t="shared" si="17"/>
        <v>-0.20498956916004984</v>
      </c>
      <c r="R32" s="48">
        <f t="shared" si="4"/>
        <v>-3.4977064220183429E-2</v>
      </c>
    </row>
    <row r="33" spans="1:18" x14ac:dyDescent="0.2">
      <c r="A33" s="10" t="s">
        <v>42</v>
      </c>
      <c r="B33" s="6" t="s">
        <v>43</v>
      </c>
      <c r="C33" s="6" t="s">
        <v>51</v>
      </c>
      <c r="D33" s="6">
        <f t="shared" si="5"/>
        <v>20191024</v>
      </c>
      <c r="E33" s="19">
        <f t="shared" ref="E33:J33" si="18">$S13/E13-1</f>
        <v>-4.863692323983293E-2</v>
      </c>
      <c r="F33" s="19">
        <f t="shared" si="18"/>
        <v>-5.8800881217187739E-2</v>
      </c>
      <c r="G33" s="19">
        <f t="shared" si="18"/>
        <v>3.469673808320195E-2</v>
      </c>
      <c r="H33" s="19">
        <f t="shared" si="18"/>
        <v>-1.2402120219945356E-4</v>
      </c>
      <c r="I33" s="19">
        <f t="shared" si="18"/>
        <v>-2.2462791744936705E-2</v>
      </c>
      <c r="J33" s="19">
        <f t="shared" si="18"/>
        <v>-2.0216384351218308E-2</v>
      </c>
      <c r="K33" s="19">
        <f t="shared" ref="K33:Q33" si="19">$S13/K13-1</f>
        <v>2.927794342630774E-2</v>
      </c>
      <c r="L33" s="19">
        <f t="shared" si="19"/>
        <v>2.0911732803819527E-2</v>
      </c>
      <c r="M33" s="19">
        <f t="shared" si="19"/>
        <v>5.8018937814072968E-2</v>
      </c>
      <c r="N33" s="19">
        <f t="shared" si="19"/>
        <v>2.5751266047550736E-2</v>
      </c>
      <c r="O33" s="19">
        <f t="shared" si="19"/>
        <v>4.3161389458812094E-2</v>
      </c>
      <c r="P33" s="19">
        <f t="shared" si="19"/>
        <v>3.5071147074056785E-2</v>
      </c>
      <c r="Q33" s="19">
        <f t="shared" si="19"/>
        <v>3.5219734755152388E-2</v>
      </c>
      <c r="R33" s="48">
        <f t="shared" si="4"/>
        <v>-1.3237063778579916E-2</v>
      </c>
    </row>
    <row r="34" spans="1:18" x14ac:dyDescent="0.2">
      <c r="A34" s="10" t="s">
        <v>42</v>
      </c>
      <c r="B34" s="6" t="s">
        <v>43</v>
      </c>
      <c r="C34" s="6" t="s">
        <v>52</v>
      </c>
      <c r="D34" s="6">
        <f t="shared" si="5"/>
        <v>20200130</v>
      </c>
      <c r="E34" s="19">
        <f t="shared" ref="E34:J34" si="20">$S14/E14-1</f>
        <v>-4.3275751181773292E-2</v>
      </c>
      <c r="F34" s="19">
        <f t="shared" si="20"/>
        <v>-2.9719111576612001E-2</v>
      </c>
      <c r="G34" s="19">
        <f t="shared" si="20"/>
        <v>1.5327760736556062E-2</v>
      </c>
      <c r="H34" s="19">
        <f t="shared" si="20"/>
        <v>-2.9803786366674467E-2</v>
      </c>
      <c r="I34" s="19">
        <f t="shared" si="20"/>
        <v>2.8829380260849247E-2</v>
      </c>
      <c r="J34" s="19">
        <f t="shared" si="20"/>
        <v>-1.2533727524216109E-2</v>
      </c>
      <c r="K34" s="19">
        <f t="shared" ref="K34:Q34" si="21">$S14/K14-1</f>
        <v>5.6352534474186644E-3</v>
      </c>
      <c r="L34" s="19">
        <f t="shared" si="21"/>
        <v>3.0898636707379357E-2</v>
      </c>
      <c r="M34" s="19">
        <f t="shared" si="21"/>
        <v>-1.8719472705139961E-2</v>
      </c>
      <c r="N34" s="19">
        <f t="shared" si="21"/>
        <v>-2.9683446541200587E-2</v>
      </c>
      <c r="O34" s="19">
        <f t="shared" si="21"/>
        <v>5.247081294976419E-2</v>
      </c>
      <c r="P34" s="19">
        <f t="shared" si="21"/>
        <v>7.841177076547412E-3</v>
      </c>
      <c r="Q34" s="19">
        <f t="shared" si="21"/>
        <v>7.3102478397399917E-3</v>
      </c>
      <c r="R34" s="48">
        <f t="shared" si="4"/>
        <v>-1.8847006651884768E-2</v>
      </c>
    </row>
    <row r="35" spans="1:18" x14ac:dyDescent="0.2">
      <c r="A35" s="10" t="s">
        <v>42</v>
      </c>
      <c r="B35" s="6" t="s">
        <v>43</v>
      </c>
      <c r="C35" s="6" t="s">
        <v>53</v>
      </c>
      <c r="D35" s="6">
        <f t="shared" si="5"/>
        <v>20200423</v>
      </c>
      <c r="E35" s="19">
        <f t="shared" ref="E35:J35" si="22">$S15/E15-1</f>
        <v>-9.1052361009504978E-2</v>
      </c>
      <c r="F35" s="19">
        <f t="shared" si="22"/>
        <v>-0.10244671547681827</v>
      </c>
      <c r="G35" s="19">
        <f t="shared" si="22"/>
        <v>-7.0661562430188063E-2</v>
      </c>
      <c r="H35" s="19">
        <f t="shared" si="22"/>
        <v>-4.2601478755723732E-2</v>
      </c>
      <c r="I35" s="19">
        <f t="shared" si="22"/>
        <v>-7.7848354795331254E-3</v>
      </c>
      <c r="J35" s="19">
        <f t="shared" si="22"/>
        <v>-6.4141962570017585E-2</v>
      </c>
      <c r="K35" s="19">
        <f t="shared" ref="K35:Q35" si="23">$S15/K15-1</f>
        <v>-4.9937701366665199E-2</v>
      </c>
      <c r="L35" s="19">
        <f t="shared" si="23"/>
        <v>-7.4955206031504407E-2</v>
      </c>
      <c r="M35" s="19">
        <f t="shared" si="23"/>
        <v>-8.4691196766218946E-2</v>
      </c>
      <c r="N35" s="19">
        <f t="shared" si="23"/>
        <v>-1.3190829039749441E-2</v>
      </c>
      <c r="O35" s="19">
        <f t="shared" si="23"/>
        <v>-3.5588229149423389E-2</v>
      </c>
      <c r="P35" s="19">
        <f t="shared" si="23"/>
        <v>-5.2263288867992252E-2</v>
      </c>
      <c r="Q35" s="19">
        <f t="shared" si="23"/>
        <v>-5.2362163232883452E-2</v>
      </c>
      <c r="R35" s="48">
        <f t="shared" si="4"/>
        <v>-3.6452004860266785E-3</v>
      </c>
    </row>
    <row r="36" spans="1:18" x14ac:dyDescent="0.2">
      <c r="A36" s="10" t="s">
        <v>42</v>
      </c>
      <c r="B36" s="6" t="s">
        <v>43</v>
      </c>
      <c r="C36" s="6" t="s">
        <v>54</v>
      </c>
      <c r="D36" s="6">
        <f t="shared" si="5"/>
        <v>20200730</v>
      </c>
      <c r="E36" s="19">
        <f t="shared" ref="E36:J36" si="24">$S16/E16-1</f>
        <v>-0.18035153774299961</v>
      </c>
      <c r="F36" s="19">
        <f t="shared" si="24"/>
        <v>-0.18538891350329745</v>
      </c>
      <c r="G36" s="19">
        <f t="shared" si="24"/>
        <v>1.037354198374274E-2</v>
      </c>
      <c r="H36" s="19">
        <f t="shared" si="24"/>
        <v>-0.14148296165112562</v>
      </c>
      <c r="I36" s="19">
        <f t="shared" si="24"/>
        <v>-0.10424802001016231</v>
      </c>
      <c r="J36" s="19">
        <f t="shared" si="24"/>
        <v>-0.1256490495208642</v>
      </c>
      <c r="K36" s="19">
        <f t="shared" ref="K36:Q36" si="25">$S16/K16-1</f>
        <v>-9.8244577468371008E-2</v>
      </c>
      <c r="L36" s="19">
        <f t="shared" si="25"/>
        <v>-9.2409218991986175E-2</v>
      </c>
      <c r="M36" s="19">
        <f t="shared" si="25"/>
        <v>8.7196548789948425E-2</v>
      </c>
      <c r="N36" s="19">
        <f t="shared" si="25"/>
        <v>-0.10328142429851594</v>
      </c>
      <c r="O36" s="19">
        <f t="shared" si="25"/>
        <v>-9.7220026441794505E-2</v>
      </c>
      <c r="P36" s="19">
        <f t="shared" si="25"/>
        <v>-6.5722667852225802E-2</v>
      </c>
      <c r="Q36" s="19">
        <f t="shared" si="25"/>
        <v>-6.5969902457594043E-2</v>
      </c>
      <c r="R36" s="48">
        <f t="shared" ref="R36" si="26">$S16/R16-1</f>
        <v>0.11385701676963822</v>
      </c>
    </row>
    <row r="37" spans="1:18" x14ac:dyDescent="0.2">
      <c r="A37" s="10" t="s">
        <v>42</v>
      </c>
      <c r="B37" s="6" t="s">
        <v>43</v>
      </c>
      <c r="C37" s="6" t="s">
        <v>55</v>
      </c>
      <c r="D37" s="6">
        <f t="shared" si="5"/>
        <v>20201022</v>
      </c>
      <c r="E37" s="19">
        <f t="shared" ref="E37:J37" si="27">$S17/E17-1</f>
        <v>-9.430410650274057E-3</v>
      </c>
      <c r="F37" s="19">
        <f t="shared" si="27"/>
        <v>-2.7367639709654168E-2</v>
      </c>
      <c r="G37" s="19">
        <f t="shared" si="27"/>
        <v>-1.1409006395905141E-2</v>
      </c>
      <c r="H37" s="19">
        <f t="shared" si="27"/>
        <v>5.7834337633172694E-2</v>
      </c>
      <c r="I37" s="19">
        <f t="shared" si="27"/>
        <v>6.2336084861905894E-2</v>
      </c>
      <c r="J37" s="19">
        <f t="shared" si="27"/>
        <v>1.2997187166267521E-2</v>
      </c>
      <c r="K37" s="19">
        <f t="shared" ref="K37:Q37" si="28">$S17/K17-1</f>
        <v>0.20852979656921922</v>
      </c>
      <c r="L37" s="19">
        <f t="shared" si="28"/>
        <v>0.19398370144116961</v>
      </c>
      <c r="M37" s="19">
        <f t="shared" si="28"/>
        <v>-2.1558906161458391E-2</v>
      </c>
      <c r="N37" s="19">
        <f t="shared" si="28"/>
        <v>0.23216464016559457</v>
      </c>
      <c r="O37" s="19">
        <f t="shared" si="28"/>
        <v>0.1859712382371268</v>
      </c>
      <c r="P37" s="19">
        <f t="shared" si="28"/>
        <v>0.15857046488158444</v>
      </c>
      <c r="Q37" s="19">
        <f t="shared" si="28"/>
        <v>0.15275519228482315</v>
      </c>
      <c r="R37" s="48">
        <f>$S17/R17-1</f>
        <v>9.9009900990099098E-3</v>
      </c>
    </row>
    <row r="38" spans="1:18" x14ac:dyDescent="0.2">
      <c r="A38" s="10" t="s">
        <v>42</v>
      </c>
      <c r="B38" s="6" t="s">
        <v>43</v>
      </c>
      <c r="C38" s="6" t="s">
        <v>56</v>
      </c>
      <c r="D38" s="6">
        <f t="shared" si="5"/>
        <v>20210121</v>
      </c>
      <c r="E38" s="19">
        <f t="shared" ref="E38:J38" si="29">$S18/E18-1</f>
        <v>9.6732161341489542E-2</v>
      </c>
      <c r="F38" s="19">
        <f t="shared" si="29"/>
        <v>0.10970054057430656</v>
      </c>
      <c r="G38" s="19">
        <f t="shared" si="29"/>
        <v>0.10037332860965198</v>
      </c>
      <c r="H38" s="19">
        <f t="shared" si="29"/>
        <v>0.14645708375788202</v>
      </c>
      <c r="I38" s="19">
        <f t="shared" si="29"/>
        <v>0.18496475026768922</v>
      </c>
      <c r="J38" s="19">
        <f t="shared" si="29"/>
        <v>0.12666267353828009</v>
      </c>
      <c r="K38" s="19">
        <f t="shared" ref="K38:Q38" si="30">$S18/K18-1</f>
        <v>0.10717325984280968</v>
      </c>
      <c r="L38" s="19">
        <f t="shared" si="30"/>
        <v>0.14092496392269283</v>
      </c>
      <c r="M38" s="19">
        <f t="shared" si="30"/>
        <v>0.11307237849500673</v>
      </c>
      <c r="N38" s="19">
        <f t="shared" si="30"/>
        <v>8.3777528268742296E-2</v>
      </c>
      <c r="O38" s="19">
        <f t="shared" si="30"/>
        <v>0.1154330227064857</v>
      </c>
      <c r="P38" s="19">
        <f t="shared" si="30"/>
        <v>0.11220710956757673</v>
      </c>
      <c r="Q38" s="19">
        <f t="shared" si="30"/>
        <v>0.11184790988393511</v>
      </c>
      <c r="R38" s="48">
        <f>$S18/R18-1</f>
        <v>1.5262860373091991E-2</v>
      </c>
    </row>
    <row r="39" spans="1:18" x14ac:dyDescent="0.2">
      <c r="A39" s="10" t="s">
        <v>42</v>
      </c>
      <c r="B39" s="6" t="s">
        <v>43</v>
      </c>
      <c r="C39" s="6" t="s">
        <v>57</v>
      </c>
      <c r="D39" s="6">
        <f t="shared" si="5"/>
        <v>20210422</v>
      </c>
      <c r="E39" s="19">
        <f t="shared" ref="E39:J39" si="31">$S19/E19-1</f>
        <v>3.9803650205850305E-2</v>
      </c>
      <c r="F39" s="19">
        <f t="shared" si="31"/>
        <v>6.6817454234190388E-2</v>
      </c>
      <c r="G39" s="19">
        <f t="shared" si="31"/>
        <v>1.2816768989006855E-2</v>
      </c>
      <c r="H39" s="19">
        <f t="shared" si="31"/>
        <v>0.11935471179734836</v>
      </c>
      <c r="I39" s="19">
        <f t="shared" si="31"/>
        <v>0.22356419212895418</v>
      </c>
      <c r="J39" s="19">
        <f t="shared" si="31"/>
        <v>8.7644749327119076E-2</v>
      </c>
      <c r="K39" s="19">
        <f t="shared" ref="K39:Q39" si="32">$S19/K19-1</f>
        <v>-5.1907396484120572E-2</v>
      </c>
      <c r="L39" s="19">
        <f t="shared" si="32"/>
        <v>-3.8643836577679447E-2</v>
      </c>
      <c r="M39" s="19">
        <f t="shared" si="32"/>
        <v>-7.9569867193414079E-2</v>
      </c>
      <c r="N39" s="19">
        <f t="shared" si="32"/>
        <v>-2.3640110340368725E-2</v>
      </c>
      <c r="O39" s="19">
        <f t="shared" si="32"/>
        <v>3.2574337635397965E-2</v>
      </c>
      <c r="P39" s="19">
        <f t="shared" si="32"/>
        <v>-3.463141641910028E-2</v>
      </c>
      <c r="Q39" s="19">
        <f t="shared" si="32"/>
        <v>-3.3806252456771824E-2</v>
      </c>
      <c r="R39" s="48">
        <f>$S19/R19-1</f>
        <v>4.8450704225352137E-2</v>
      </c>
    </row>
    <row r="40" spans="1:18" x14ac:dyDescent="0.2">
      <c r="A40" s="10" t="s">
        <v>42</v>
      </c>
      <c r="B40" s="6" t="s">
        <v>43</v>
      </c>
      <c r="C40" s="6" t="s">
        <v>58</v>
      </c>
      <c r="D40" s="6">
        <f t="shared" si="5"/>
        <v>20210729</v>
      </c>
      <c r="E40" s="19">
        <f>$S20/E20-1</f>
        <v>1.2637324132071415E-2</v>
      </c>
      <c r="F40" s="19">
        <f t="shared" ref="F40:J40" si="33">$S20/F20-1</f>
        <v>3.1906884818992509E-2</v>
      </c>
      <c r="G40" s="19">
        <f t="shared" si="33"/>
        <v>2.2554836328164241E-2</v>
      </c>
      <c r="H40" s="19">
        <f t="shared" si="33"/>
        <v>7.3895382917027908E-2</v>
      </c>
      <c r="I40" s="19">
        <f t="shared" si="33"/>
        <v>0.21393338603545731</v>
      </c>
      <c r="J40" s="19">
        <f t="shared" si="33"/>
        <v>6.6211620719381026E-2</v>
      </c>
      <c r="K40" s="19">
        <f t="shared" ref="K40:Q40" si="34">$S20/K20-1</f>
        <v>-2.6126399987536852E-2</v>
      </c>
      <c r="L40" s="19">
        <f t="shared" si="34"/>
        <v>-3.2724032848017504E-2</v>
      </c>
      <c r="M40" s="19">
        <f t="shared" si="34"/>
        <v>9.6148362046553082E-3</v>
      </c>
      <c r="N40" s="19">
        <f t="shared" si="34"/>
        <v>-4.0612085160499634E-2</v>
      </c>
      <c r="O40" s="19">
        <f t="shared" si="34"/>
        <v>-7.8711081571776198E-3</v>
      </c>
      <c r="P40" s="19">
        <f t="shared" si="34"/>
        <v>-1.9706001082612556E-2</v>
      </c>
      <c r="Q40" s="19">
        <f t="shared" si="34"/>
        <v>-1.9848410452651954E-2</v>
      </c>
      <c r="R40" s="48">
        <f>$S20/R20-1</f>
        <v>4.4420941300899131E-2</v>
      </c>
    </row>
    <row r="41" spans="1:18" x14ac:dyDescent="0.2">
      <c r="A41" s="170" t="s">
        <v>81</v>
      </c>
      <c r="B41" s="170"/>
      <c r="C41" s="166" t="s">
        <v>201</v>
      </c>
      <c r="D41" s="167"/>
      <c r="E41" s="100" cm="1">
        <f t="array" ref="E41">SUM(ABS(E26:E35),ABS(E37:E40))/COUNT(E26:E35,E37:E40)</f>
        <v>5.8337768636583097E-2</v>
      </c>
      <c r="F41" s="100" cm="1">
        <f t="array" ref="F41">SUM(ABS(F26:F35),ABS(F37:F40))/COUNT(F26:F35,F37:F40)</f>
        <v>6.0190241932653418E-2</v>
      </c>
      <c r="G41" s="98" cm="1">
        <f t="array" ref="G41">SUM(ABS(G26:G35),ABS(G37:G40))/COUNT(G26:G35,G37:G40)</f>
        <v>8.1795134263421512E-2</v>
      </c>
      <c r="H41" s="98" cm="1">
        <f t="array" ref="H41">SUM(ABS(H26:H35),ABS(H37:H40))/COUNT(H26:H35,H37:H40)</f>
        <v>6.6283261452608017E-2</v>
      </c>
      <c r="I41" s="98" cm="1">
        <f t="array" ref="I41">SUM(ABS(I26:I35),ABS(I37:I40))/COUNT(I26:I35,I37:I40)</f>
        <v>9.7433513860285717E-2</v>
      </c>
      <c r="J41" s="98" cm="1">
        <f t="array" ref="J41">SUM(ABS(J26:J35),ABS(J37:J40))/COUNT(J26:J35,J37:J40)</f>
        <v>6.3088006433742266E-2</v>
      </c>
      <c r="K41" s="98" cm="1">
        <f t="array" ref="K41">SUM(ABS(K26:K35),ABS(K37:K40))/COUNT(K26:K35,K37:K40)</f>
        <v>8.774114252630992E-2</v>
      </c>
      <c r="L41" s="98" cm="1">
        <f t="array" ref="L41">SUM(ABS(L26:L35),ABS(L37:L40))/COUNT(L26:L35,L37:L40)</f>
        <v>8.8313054019551085E-2</v>
      </c>
      <c r="M41" s="98" cm="1">
        <f t="array" ref="M41">SUM(ABS(M26:M35),ABS(M37:M40))/COUNT(M26:M35,M37:M40)</f>
        <v>9.6855869324932176E-2</v>
      </c>
      <c r="N41" s="98" cm="1">
        <f t="array" ref="N41">SUM(ABS(N26:N35),ABS(N37:N40))/COUNT(N26:N35,N37:N40)</f>
        <v>8.2539685317374462E-2</v>
      </c>
      <c r="O41" s="98" cm="1">
        <f t="array" ref="O41">SUM(ABS(O26:O35),ABS(O37:O40))/COUNT(O26:O35,O37:O40)</f>
        <v>9.9260595471947363E-2</v>
      </c>
      <c r="P41" s="98" cm="1">
        <f t="array" ref="P41">SUM(ABS(P26:P35),ABS(P37:P40))/COUNT(P26:P35,P37:P40)</f>
        <v>8.5415954308982273E-2</v>
      </c>
      <c r="Q41" s="98" cm="1">
        <f t="array" ref="Q41">SUM(ABS(Q26:Q35),ABS(Q37:Q40))/COUNT(Q26:Q35,Q37:Q40)</f>
        <v>8.4912678222568455E-2</v>
      </c>
      <c r="R41" s="102" cm="1">
        <f t="array" ref="R41">SUM(ABS(R26:R35),ABS(R37:R40))/COUNT(R26:R35,R37:R40)</f>
        <v>3.1564702316722697E-2</v>
      </c>
    </row>
    <row r="42" spans="1:18" x14ac:dyDescent="0.2">
      <c r="A42" s="171" t="s">
        <v>82</v>
      </c>
      <c r="B42" s="171"/>
      <c r="C42" s="168" t="s">
        <v>201</v>
      </c>
      <c r="D42" s="169"/>
      <c r="E42" s="101" cm="1">
        <f t="array" ref="E42">SQRT(SUM(POWER(E26:E35,2),POWER(E37:E40,2))/COUNT(E26:E35,E37:E40))</f>
        <v>6.6178481337222553E-2</v>
      </c>
      <c r="F42" s="101" cm="1">
        <f t="array" ref="F42">SQRT(SUM(POWER(F26:F35,2),POWER(F37:F40,2))/COUNT(F26:F35,F37:F40))</f>
        <v>6.7895665976067776E-2</v>
      </c>
      <c r="G42" s="99" cm="1">
        <f t="array" ref="G42">SQRT(SUM(POWER(G26:G35,2),POWER(G37:G40,2))/COUNT(G26:G35,G37:G40))</f>
        <v>0.12737574031864746</v>
      </c>
      <c r="H42" s="99" cm="1">
        <f t="array" ref="H42">SQRT(SUM(POWER(H26:H35,2),POWER(H37:H40,2))/COUNT(H26:H35,H37:H40))</f>
        <v>8.6172756757416633E-2</v>
      </c>
      <c r="I42" s="99" cm="1">
        <f t="array" ref="I42">SQRT(SUM(POWER(I26:I35,2),POWER(I37:I40,2))/COUNT(I26:I35,I37:I40))</f>
        <v>0.1233310168306353</v>
      </c>
      <c r="J42" s="99" cm="1">
        <f t="array" ref="J42">SQRT(SUM(POWER(J26:J35,2),POWER(J37:J40,2))/COUNT(J26:J35,J37:J40))</f>
        <v>7.8302643561521237E-2</v>
      </c>
      <c r="K42" s="99" cm="1">
        <f t="array" ref="K42">SQRT(SUM(POWER(K26:K35,2),POWER(K37:K40,2))/COUNT(K26:K35,K37:K40))</f>
        <v>0.10663849836765057</v>
      </c>
      <c r="L42" s="99" cm="1">
        <f t="array" ref="L42">SQRT(SUM(POWER(L26:L35,2),POWER(L37:L40,2))/COUNT(L26:L35,L37:L40))</f>
        <v>0.10615715388043821</v>
      </c>
      <c r="M42" s="99" cm="1">
        <f t="array" ref="M42">SQRT(SUM(POWER(M26:M35,2),POWER(M37:M40,2))/COUNT(M26:M35,M37:M40))</f>
        <v>0.12850285189019081</v>
      </c>
      <c r="N42" s="99" cm="1">
        <f t="array" ref="N42">SQRT(SUM(POWER(N26:N35,2),POWER(N37:N40,2))/COUNT(N26:N35,N37:N40))</f>
        <v>0.1034063844737642</v>
      </c>
      <c r="O42" s="99" cm="1">
        <f t="array" ref="O42">SQRT(SUM(POWER(O26:O35,2),POWER(O37:O40,2))/COUNT(O26:O35,O37:O40))</f>
        <v>0.12361533088601984</v>
      </c>
      <c r="P42" s="99" cm="1">
        <f t="array" ref="P42">SQRT(SUM(POWER(P26:P35,2),POWER(P37:P40,2))/COUNT(P26:P35,P37:P40))</f>
        <v>0.10592191168467818</v>
      </c>
      <c r="Q42" s="99" cm="1">
        <f t="array" ref="Q42">SQRT(SUM(POWER(Q26:Q35,2),POWER(Q37:Q40,2))/COUNT(Q26:Q35,Q37:Q40))</f>
        <v>0.10547817748586782</v>
      </c>
      <c r="R42" s="103" cm="1">
        <f t="array" ref="R42">SQRT(SUM(POWER(R26:R35,2),POWER(R37:R40,2))/COUNT(R26:R35,R37:R40))</f>
        <v>3.6568365924803947E-2</v>
      </c>
    </row>
    <row r="44" spans="1:18" x14ac:dyDescent="0.2">
      <c r="B44" t="s">
        <v>202</v>
      </c>
    </row>
  </sheetData>
  <mergeCells count="7">
    <mergeCell ref="A22:D22"/>
    <mergeCell ref="A4:B4"/>
    <mergeCell ref="A24:B24"/>
    <mergeCell ref="C41:D41"/>
    <mergeCell ref="C42:D42"/>
    <mergeCell ref="A41:B41"/>
    <mergeCell ref="A42:B4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6E01-FCEE-49F0-80B2-AA1066C7B862}">
  <dimension ref="A1:AA46"/>
  <sheetViews>
    <sheetView zoomScale="85" zoomScaleNormal="85" workbookViewId="0">
      <selection activeCell="F16" sqref="F16"/>
    </sheetView>
  </sheetViews>
  <sheetFormatPr defaultRowHeight="12.75" x14ac:dyDescent="0.2"/>
  <cols>
    <col min="1" max="1" width="9.140625" style="84"/>
    <col min="3" max="3" width="12.7109375" bestFit="1" customWidth="1"/>
    <col min="4" max="4" width="8.85546875" customWidth="1"/>
    <col min="5" max="5" width="6.42578125" customWidth="1"/>
    <col min="6" max="6" width="8.28515625" bestFit="1" customWidth="1"/>
    <col min="7" max="7" width="14.28515625" bestFit="1" customWidth="1"/>
    <col min="8" max="8" width="8" bestFit="1" customWidth="1"/>
    <col min="9" max="9" width="7.28515625" bestFit="1" customWidth="1"/>
    <col min="10" max="10" width="11.7109375" bestFit="1" customWidth="1"/>
    <col min="11" max="11" width="12.28515625" bestFit="1" customWidth="1"/>
    <col min="12" max="12" width="6.28515625" bestFit="1" customWidth="1"/>
    <col min="13" max="13" width="6.5703125" bestFit="1" customWidth="1"/>
  </cols>
  <sheetData>
    <row r="1" spans="1:27" x14ac:dyDescent="0.2">
      <c r="A1" s="84" t="s">
        <v>108</v>
      </c>
      <c r="B1" t="s">
        <v>88</v>
      </c>
    </row>
    <row r="2" spans="1:27" x14ac:dyDescent="0.2">
      <c r="A2" s="84" t="s">
        <v>103</v>
      </c>
      <c r="B2" t="s">
        <v>85</v>
      </c>
      <c r="P2" t="s">
        <v>113</v>
      </c>
      <c r="Q2" t="s">
        <v>109</v>
      </c>
    </row>
    <row r="3" spans="1:27" x14ac:dyDescent="0.2">
      <c r="A3" s="84" t="s">
        <v>104</v>
      </c>
      <c r="B3" t="s">
        <v>186</v>
      </c>
    </row>
    <row r="4" spans="1:27" x14ac:dyDescent="0.2">
      <c r="A4" s="84" t="s">
        <v>105</v>
      </c>
      <c r="B4" t="s">
        <v>185</v>
      </c>
      <c r="O4" s="104" t="s">
        <v>203</v>
      </c>
      <c r="P4" t="s">
        <v>115</v>
      </c>
      <c r="Y4" s="6"/>
      <c r="Z4" s="6"/>
      <c r="AA4" s="6"/>
    </row>
    <row r="5" spans="1:27" ht="13.5" thickBot="1" x14ac:dyDescent="0.25">
      <c r="A5" s="84" t="s">
        <v>106</v>
      </c>
      <c r="B5" t="s">
        <v>86</v>
      </c>
      <c r="Y5" s="6"/>
      <c r="Z5" s="6"/>
      <c r="AA5" s="6"/>
    </row>
    <row r="6" spans="1:27" x14ac:dyDescent="0.2">
      <c r="P6" s="89" t="s">
        <v>116</v>
      </c>
      <c r="Q6" s="89"/>
      <c r="Y6" s="6"/>
      <c r="Z6" s="6"/>
      <c r="AA6" s="6"/>
    </row>
    <row r="7" spans="1:27" x14ac:dyDescent="0.2">
      <c r="P7" s="86" t="s">
        <v>117</v>
      </c>
      <c r="Q7" s="86">
        <v>0.94804537038381376</v>
      </c>
      <c r="Y7" s="6"/>
      <c r="Z7" s="6"/>
      <c r="AA7" s="6"/>
    </row>
    <row r="8" spans="1:27" x14ac:dyDescent="0.2">
      <c r="A8" s="84" t="s">
        <v>107</v>
      </c>
      <c r="B8" s="153" t="s">
        <v>87</v>
      </c>
      <c r="C8" s="153"/>
      <c r="D8" s="153" t="s">
        <v>148</v>
      </c>
      <c r="E8" s="153"/>
      <c r="F8" s="153"/>
      <c r="G8" s="153"/>
      <c r="H8" s="153"/>
      <c r="I8" s="153"/>
      <c r="J8" s="153"/>
      <c r="K8" s="153"/>
      <c r="L8" s="153"/>
      <c r="M8" s="153"/>
      <c r="N8" s="153"/>
      <c r="P8" s="86" t="s">
        <v>118</v>
      </c>
      <c r="Q8" s="86">
        <v>0.8987900243061826</v>
      </c>
      <c r="Y8" s="6"/>
      <c r="Z8" s="6"/>
      <c r="AA8" s="6"/>
    </row>
    <row r="9" spans="1:27" x14ac:dyDescent="0.2">
      <c r="C9" t="s">
        <v>89</v>
      </c>
      <c r="D9" t="s">
        <v>90</v>
      </c>
      <c r="E9" t="s">
        <v>91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  <c r="P9" s="86" t="s">
        <v>119</v>
      </c>
      <c r="Q9" s="86">
        <v>0.89035585966503117</v>
      </c>
      <c r="Y9" s="6"/>
      <c r="Z9" s="6"/>
      <c r="AA9" s="6"/>
    </row>
    <row r="10" spans="1:27" x14ac:dyDescent="0.2">
      <c r="B10" t="s">
        <v>204</v>
      </c>
      <c r="C10" s="105"/>
      <c r="D10" s="96"/>
      <c r="E10" s="96"/>
      <c r="F10" s="105"/>
      <c r="G10" s="105"/>
      <c r="H10" s="96"/>
      <c r="I10" s="96"/>
      <c r="J10" s="96"/>
      <c r="K10" s="105"/>
      <c r="L10" s="96"/>
      <c r="M10" s="96"/>
      <c r="P10" s="86" t="s">
        <v>120</v>
      </c>
      <c r="Q10" s="86">
        <v>5.6355014930591931</v>
      </c>
      <c r="Y10" s="6"/>
      <c r="Z10" s="6"/>
      <c r="AA10" s="6"/>
    </row>
    <row r="11" spans="1:27" ht="13.5" thickBot="1" x14ac:dyDescent="0.25">
      <c r="B11" t="s">
        <v>100</v>
      </c>
      <c r="C11" s="83">
        <v>2.7160660448128902E-2</v>
      </c>
      <c r="D11" s="2">
        <v>5.9151520557264602E-2</v>
      </c>
      <c r="E11" s="2">
        <v>5.66231435643881E-2</v>
      </c>
      <c r="F11" s="83">
        <v>3.2790745292385098E-2</v>
      </c>
      <c r="G11" s="2">
        <v>3.5830493348458899E-2</v>
      </c>
      <c r="H11" s="2">
        <v>5.64227798913201E-2</v>
      </c>
      <c r="I11" s="2">
        <v>5.5081812130792697E-2</v>
      </c>
      <c r="J11" s="2">
        <v>3.5372684079879403E-2</v>
      </c>
      <c r="K11" s="2">
        <v>3.4042393282070003E-2</v>
      </c>
      <c r="L11" s="2">
        <v>9.9706816362848505E-2</v>
      </c>
      <c r="M11" s="2">
        <v>8.8723205608821007E-2</v>
      </c>
      <c r="P11" s="87" t="s">
        <v>121</v>
      </c>
      <c r="Q11" s="87">
        <v>14</v>
      </c>
      <c r="Y11" s="6"/>
      <c r="Z11" s="6"/>
      <c r="AA11" s="6"/>
    </row>
    <row r="12" spans="1:27" x14ac:dyDescent="0.2">
      <c r="B12" t="s">
        <v>101</v>
      </c>
      <c r="C12" s="83">
        <v>3.2567783029523303E-2</v>
      </c>
      <c r="D12" s="2">
        <v>6.8324008322953905E-2</v>
      </c>
      <c r="E12" s="2">
        <v>6.9690924625796596E-2</v>
      </c>
      <c r="F12" s="83">
        <v>4.3724973700599398E-2</v>
      </c>
      <c r="G12" s="2">
        <v>4.3695805614910203E-2</v>
      </c>
      <c r="H12" s="2">
        <v>6.9671683001831602E-2</v>
      </c>
      <c r="I12" s="2">
        <v>6.9427021818401796E-2</v>
      </c>
      <c r="J12" s="2">
        <v>4.2946888743057701E-2</v>
      </c>
      <c r="K12" s="2">
        <v>4.1971950267062602E-2</v>
      </c>
      <c r="L12" s="2">
        <v>0.13908407607452</v>
      </c>
      <c r="M12" s="2">
        <v>0.131135988348968</v>
      </c>
      <c r="Y12" s="6"/>
      <c r="Z12" s="6"/>
      <c r="AA12" s="6"/>
    </row>
    <row r="13" spans="1:27" ht="13.5" thickBot="1" x14ac:dyDescent="0.25">
      <c r="B13" t="s">
        <v>102</v>
      </c>
      <c r="C13" s="83">
        <v>3.65853658536585E-3</v>
      </c>
      <c r="D13" s="2">
        <v>9.5201899509804698E-3</v>
      </c>
      <c r="E13" s="2">
        <v>-3.09164249336022E-2</v>
      </c>
      <c r="F13" s="83">
        <v>-1.1646777005923901E-2</v>
      </c>
      <c r="G13" s="2">
        <v>-9.1379255309516003E-3</v>
      </c>
      <c r="H13" s="2">
        <v>-3.1494760320211999E-2</v>
      </c>
      <c r="I13" s="2">
        <v>-3.6975532296239101E-2</v>
      </c>
      <c r="J13" s="2">
        <v>-9.3622060427422903E-3</v>
      </c>
      <c r="K13" s="2">
        <v>-1.14334471241008E-2</v>
      </c>
      <c r="L13" s="2">
        <v>-9.0048787799774793E-2</v>
      </c>
      <c r="M13" s="2">
        <v>-5.6459078298403E-2</v>
      </c>
      <c r="P13" t="s">
        <v>122</v>
      </c>
      <c r="Y13" s="6"/>
      <c r="Z13" s="6"/>
      <c r="AA13" s="6"/>
    </row>
    <row r="14" spans="1:27" x14ac:dyDescent="0.2">
      <c r="P14" s="88"/>
      <c r="Q14" s="88" t="s">
        <v>126</v>
      </c>
      <c r="R14" s="88" t="s">
        <v>127</v>
      </c>
      <c r="S14" s="88" t="s">
        <v>128</v>
      </c>
      <c r="T14" s="88" t="s">
        <v>129</v>
      </c>
      <c r="U14" s="88" t="s">
        <v>130</v>
      </c>
      <c r="Y14" s="6"/>
      <c r="Z14" s="6"/>
      <c r="AA14" s="6"/>
    </row>
    <row r="15" spans="1:27" x14ac:dyDescent="0.2">
      <c r="B15" t="s">
        <v>205</v>
      </c>
      <c r="P15" s="86" t="s">
        <v>123</v>
      </c>
      <c r="Q15" s="86">
        <v>1</v>
      </c>
      <c r="R15" s="86">
        <v>3384.3970464893046</v>
      </c>
      <c r="S15" s="86">
        <v>3384.3970464893046</v>
      </c>
      <c r="T15" s="86">
        <v>106.56538762841572</v>
      </c>
      <c r="U15" s="86">
        <v>2.5373923479930886E-7</v>
      </c>
      <c r="Y15" s="6"/>
      <c r="Z15" s="6"/>
      <c r="AA15" s="6"/>
    </row>
    <row r="16" spans="1:27" x14ac:dyDescent="0.2">
      <c r="B16" t="s">
        <v>100</v>
      </c>
      <c r="C16" s="83">
        <v>2.7160660448128902E-2</v>
      </c>
      <c r="D16" s="2">
        <v>6.1129216496358801E-2</v>
      </c>
      <c r="E16" s="2">
        <v>6.7562525719033595E-2</v>
      </c>
      <c r="F16" s="83">
        <v>3.2790745292385098E-2</v>
      </c>
      <c r="G16" s="2">
        <v>3.5762045696877201E-2</v>
      </c>
      <c r="H16" s="2">
        <v>6.7526877574592595E-2</v>
      </c>
      <c r="I16" s="2">
        <v>6.80624621989427E-2</v>
      </c>
      <c r="J16" s="2">
        <v>3.5168408973015E-2</v>
      </c>
      <c r="K16" s="2">
        <v>3.4232741856791801E-2</v>
      </c>
      <c r="L16" s="2">
        <v>0.100618687633307</v>
      </c>
      <c r="M16" s="2">
        <v>1.2467110387456799</v>
      </c>
      <c r="P16" s="86" t="s">
        <v>124</v>
      </c>
      <c r="Q16" s="86">
        <v>12</v>
      </c>
      <c r="R16" s="86">
        <v>381.10652493926875</v>
      </c>
      <c r="S16" s="86">
        <v>31.758877078272395</v>
      </c>
      <c r="T16" s="86"/>
      <c r="U16" s="86"/>
      <c r="Y16" s="6"/>
      <c r="Z16" s="6"/>
      <c r="AA16" s="6"/>
    </row>
    <row r="17" spans="1:27" ht="13.5" thickBot="1" x14ac:dyDescent="0.25">
      <c r="B17" t="s">
        <v>101</v>
      </c>
      <c r="C17" s="83">
        <v>3.2567783029523303E-2</v>
      </c>
      <c r="D17" s="2">
        <v>9.8447083259686999E-2</v>
      </c>
      <c r="E17" s="2">
        <v>8.00922465984234E-2</v>
      </c>
      <c r="F17" s="83">
        <v>4.3724973700599398E-2</v>
      </c>
      <c r="G17" s="2">
        <v>4.5259740647735497E-2</v>
      </c>
      <c r="H17" s="2">
        <v>7.9901814464368406E-2</v>
      </c>
      <c r="I17" s="2">
        <v>7.98504351629169E-2</v>
      </c>
      <c r="J17" s="2">
        <v>4.4271604685953397E-2</v>
      </c>
      <c r="K17" s="2">
        <v>4.2179111161631498E-2</v>
      </c>
      <c r="L17" s="2">
        <v>0.15625336258985101</v>
      </c>
      <c r="M17" s="2">
        <v>3.5141296114774598</v>
      </c>
      <c r="P17" s="87" t="s">
        <v>40</v>
      </c>
      <c r="Q17" s="87">
        <v>13</v>
      </c>
      <c r="R17" s="87">
        <v>3765.5035714285732</v>
      </c>
      <c r="S17" s="87"/>
      <c r="T17" s="87"/>
      <c r="U17" s="87"/>
      <c r="Y17" s="6"/>
      <c r="Z17" s="6"/>
      <c r="AA17" s="6"/>
    </row>
    <row r="18" spans="1:27" ht="13.5" thickBot="1" x14ac:dyDescent="0.25">
      <c r="B18" t="s">
        <v>102</v>
      </c>
      <c r="C18" s="83">
        <v>3.65853658536585E-3</v>
      </c>
      <c r="D18" s="2">
        <v>-1.5096367231638401E-2</v>
      </c>
      <c r="E18" s="2">
        <v>-6.2291224799965399E-2</v>
      </c>
      <c r="F18" s="83">
        <v>-1.1646777005923901E-2</v>
      </c>
      <c r="G18" s="2">
        <v>-6.4620600483429299E-3</v>
      </c>
      <c r="H18" s="2">
        <v>-6.2468977686290499E-2</v>
      </c>
      <c r="I18" s="2">
        <v>-6.2296305836790501E-2</v>
      </c>
      <c r="J18" s="2">
        <v>-6.4022593518366904E-3</v>
      </c>
      <c r="K18" s="2">
        <v>-7.7195350316209199E-3</v>
      </c>
      <c r="L18" s="2">
        <v>-2.6963808727427901E-2</v>
      </c>
      <c r="M18" s="2">
        <v>-6.8185255559925897E-2</v>
      </c>
      <c r="Y18" s="6"/>
      <c r="Z18" s="6"/>
      <c r="AA18" s="6"/>
    </row>
    <row r="19" spans="1:27" x14ac:dyDescent="0.2">
      <c r="P19" s="88"/>
      <c r="Q19" s="88" t="s">
        <v>131</v>
      </c>
      <c r="R19" s="88" t="s">
        <v>120</v>
      </c>
      <c r="S19" s="88" t="s">
        <v>132</v>
      </c>
      <c r="T19" s="88" t="s">
        <v>133</v>
      </c>
      <c r="U19" s="88" t="s">
        <v>134</v>
      </c>
      <c r="V19" s="88" t="s">
        <v>135</v>
      </c>
      <c r="W19" s="88" t="s">
        <v>136</v>
      </c>
      <c r="X19" s="88" t="s">
        <v>137</v>
      </c>
      <c r="Y19" s="6"/>
      <c r="Z19" s="6"/>
      <c r="AA19" s="6"/>
    </row>
    <row r="20" spans="1:27" x14ac:dyDescent="0.2">
      <c r="A20" s="84" t="s">
        <v>110</v>
      </c>
      <c r="B20" t="s">
        <v>111</v>
      </c>
      <c r="P20" s="86" t="s">
        <v>125</v>
      </c>
      <c r="Q20" s="86">
        <v>20.8683258739966</v>
      </c>
      <c r="R20" s="86">
        <v>14.083710981864922</v>
      </c>
      <c r="S20" s="86">
        <v>1.4817348851355983</v>
      </c>
      <c r="T20" s="86">
        <v>0.16418716523770593</v>
      </c>
      <c r="U20" s="86">
        <v>-9.8174443026159466</v>
      </c>
      <c r="V20" s="86">
        <v>51.554096050609111</v>
      </c>
      <c r="W20" s="86">
        <v>-9.8174443026159466</v>
      </c>
      <c r="X20" s="86">
        <v>51.554096050609111</v>
      </c>
      <c r="Y20" s="6"/>
      <c r="Z20" s="6"/>
      <c r="AA20" s="6"/>
    </row>
    <row r="21" spans="1:27" ht="13.5" thickBot="1" x14ac:dyDescent="0.25">
      <c r="B21" t="s">
        <v>177</v>
      </c>
      <c r="H21" s="85" t="s">
        <v>112</v>
      </c>
      <c r="P21" s="87" t="s">
        <v>0</v>
      </c>
      <c r="Q21" s="87">
        <v>0.88427136142796803</v>
      </c>
      <c r="R21" s="87">
        <v>8.5659882709349752E-2</v>
      </c>
      <c r="S21" s="87">
        <v>10.323051275103488</v>
      </c>
      <c r="T21" s="87">
        <v>2.537392347993079E-7</v>
      </c>
      <c r="U21" s="87">
        <v>0.69763450999304688</v>
      </c>
      <c r="V21" s="87">
        <v>1.0709082128628893</v>
      </c>
      <c r="W21" s="87">
        <v>0.69763450999304688</v>
      </c>
      <c r="X21" s="87">
        <v>1.0709082128628893</v>
      </c>
      <c r="Y21" s="6"/>
      <c r="Z21" s="6"/>
      <c r="AA21" s="6"/>
    </row>
    <row r="22" spans="1:27" x14ac:dyDescent="0.2">
      <c r="B22" t="s">
        <v>178</v>
      </c>
      <c r="H22" s="85"/>
      <c r="Y22" s="6"/>
      <c r="Z22" s="6"/>
      <c r="AA22" s="6"/>
    </row>
    <row r="23" spans="1:27" x14ac:dyDescent="0.2">
      <c r="Y23" s="6"/>
      <c r="Z23" s="6"/>
      <c r="AA23" s="6"/>
    </row>
    <row r="24" spans="1:27" x14ac:dyDescent="0.2">
      <c r="A24" s="84" t="s">
        <v>114</v>
      </c>
      <c r="B24" t="s">
        <v>149</v>
      </c>
      <c r="Y24" s="6"/>
      <c r="Z24" s="6"/>
      <c r="AA24" s="6"/>
    </row>
    <row r="25" spans="1:27" x14ac:dyDescent="0.2">
      <c r="P25" t="s">
        <v>138</v>
      </c>
      <c r="Y25" s="6"/>
      <c r="Z25" s="6"/>
      <c r="AA25" s="6"/>
    </row>
    <row r="26" spans="1:27" ht="13.5" thickBot="1" x14ac:dyDescent="0.25">
      <c r="A26" s="84" t="s">
        <v>142</v>
      </c>
      <c r="B26" s="172" t="s">
        <v>143</v>
      </c>
      <c r="C26" s="172"/>
      <c r="D26" s="172"/>
      <c r="E26" s="172"/>
      <c r="F26" s="77">
        <f>Q20+Q21*'2. Past Proj &amp; Candidate Model'!R20</f>
        <v>188.08404032002537</v>
      </c>
      <c r="G26" s="90" t="s">
        <v>144</v>
      </c>
      <c r="H26" s="2">
        <f>'2. Past Proj &amp; Candidate Model'!S20/'3. Improved Alpha Model'!F26-1</f>
        <v>5.0062512821148264E-2</v>
      </c>
      <c r="Y26" s="6"/>
      <c r="Z26" s="6"/>
      <c r="AA26" s="6"/>
    </row>
    <row r="27" spans="1:27" x14ac:dyDescent="0.2">
      <c r="B27" t="s">
        <v>206</v>
      </c>
      <c r="P27" s="88" t="s">
        <v>139</v>
      </c>
      <c r="Q27" s="88" t="s">
        <v>141</v>
      </c>
      <c r="R27" s="88" t="s">
        <v>140</v>
      </c>
      <c r="Y27" s="6"/>
      <c r="Z27" s="6"/>
      <c r="AA27" s="6"/>
    </row>
    <row r="28" spans="1:27" x14ac:dyDescent="0.2">
      <c r="B28" t="s">
        <v>147</v>
      </c>
      <c r="P28" s="86">
        <v>1</v>
      </c>
      <c r="Q28" s="86">
        <v>133.87820586449089</v>
      </c>
      <c r="R28" s="86">
        <v>-3.1782058644909057</v>
      </c>
      <c r="Y28" s="6"/>
      <c r="Z28" s="6"/>
      <c r="AA28" s="6"/>
    </row>
    <row r="29" spans="1:27" x14ac:dyDescent="0.2">
      <c r="B29" t="s">
        <v>207</v>
      </c>
      <c r="P29" s="86">
        <v>2</v>
      </c>
      <c r="Q29" s="86">
        <v>142.45563807034222</v>
      </c>
      <c r="R29" s="86">
        <v>3.7443619296577708</v>
      </c>
      <c r="Y29" s="6"/>
      <c r="Z29" s="6"/>
      <c r="AA29" s="6"/>
    </row>
    <row r="30" spans="1:27" x14ac:dyDescent="0.2">
      <c r="B30" s="173" t="s">
        <v>208</v>
      </c>
      <c r="C30" s="173"/>
      <c r="D30" s="173"/>
      <c r="E30" s="3">
        <f>C11</f>
        <v>2.7160660448128902E-2</v>
      </c>
      <c r="F30" t="s">
        <v>145</v>
      </c>
      <c r="G30" s="173" t="s">
        <v>146</v>
      </c>
      <c r="H30" s="173"/>
      <c r="I30" s="3">
        <f>F11</f>
        <v>3.2790745292385098E-2</v>
      </c>
      <c r="P30" s="86">
        <v>3</v>
      </c>
      <c r="Q30" s="86">
        <v>149.70666323405152</v>
      </c>
      <c r="R30" s="86">
        <v>1.9933367659484702</v>
      </c>
      <c r="Y30" s="6"/>
      <c r="Z30" s="6"/>
      <c r="AA30" s="6"/>
    </row>
    <row r="31" spans="1:27" x14ac:dyDescent="0.2">
      <c r="P31" s="86">
        <v>4</v>
      </c>
      <c r="Q31" s="86">
        <v>148.82239187262354</v>
      </c>
      <c r="R31" s="86">
        <v>3.3776081273764476</v>
      </c>
      <c r="Y31" s="6"/>
      <c r="Z31" s="6"/>
      <c r="AA31" s="6"/>
    </row>
    <row r="32" spans="1:27" x14ac:dyDescent="0.2">
      <c r="P32" s="86">
        <v>5</v>
      </c>
      <c r="Q32" s="86">
        <v>164.65084924218419</v>
      </c>
      <c r="R32" s="86">
        <v>1.049150757815795</v>
      </c>
      <c r="Y32" s="6"/>
      <c r="Z32" s="6"/>
      <c r="AA32" s="6"/>
    </row>
    <row r="33" spans="1:27" x14ac:dyDescent="0.2">
      <c r="A33" s="84" t="s">
        <v>150</v>
      </c>
      <c r="B33" t="s">
        <v>151</v>
      </c>
      <c r="P33" s="86">
        <v>6</v>
      </c>
      <c r="Q33" s="86">
        <v>179.68346238645967</v>
      </c>
      <c r="R33" s="86">
        <v>-9.9834623864596779</v>
      </c>
      <c r="Y33" s="6"/>
      <c r="Z33" s="6"/>
      <c r="AA33" s="6"/>
    </row>
    <row r="34" spans="1:27" x14ac:dyDescent="0.2">
      <c r="B34" t="s">
        <v>152</v>
      </c>
      <c r="P34" s="86">
        <v>7</v>
      </c>
      <c r="Q34" s="86">
        <v>175.08525130703424</v>
      </c>
      <c r="R34" s="86">
        <v>-6.7852513070342297</v>
      </c>
      <c r="Y34" s="6"/>
      <c r="Z34" s="6"/>
      <c r="AA34" s="6"/>
    </row>
    <row r="35" spans="1:27" x14ac:dyDescent="0.2">
      <c r="B35" t="s">
        <v>153</v>
      </c>
      <c r="P35" s="86">
        <v>8</v>
      </c>
      <c r="Q35" s="86">
        <v>167.83422614332488</v>
      </c>
      <c r="R35" s="86">
        <v>-3.8342261433248837</v>
      </c>
      <c r="Y35" s="6"/>
      <c r="Z35" s="6"/>
      <c r="AA35" s="6"/>
    </row>
    <row r="36" spans="1:27" x14ac:dyDescent="0.2">
      <c r="B36" t="s">
        <v>154</v>
      </c>
      <c r="P36" s="86">
        <v>9</v>
      </c>
      <c r="Q36" s="86">
        <v>180.39087947560205</v>
      </c>
      <c r="R36" s="86">
        <v>-3.3908794756020484</v>
      </c>
      <c r="Y36" s="6"/>
      <c r="Z36" s="6"/>
      <c r="AA36" s="6"/>
    </row>
    <row r="37" spans="1:27" x14ac:dyDescent="0.2">
      <c r="B37" t="s">
        <v>155</v>
      </c>
      <c r="P37" s="86">
        <v>10</v>
      </c>
      <c r="Q37" s="86">
        <v>166.41939196504012</v>
      </c>
      <c r="R37" s="86">
        <v>-2.4193919650401199</v>
      </c>
      <c r="Y37" s="6"/>
      <c r="Z37" s="6"/>
      <c r="AA37" s="6"/>
    </row>
    <row r="38" spans="1:27" x14ac:dyDescent="0.2">
      <c r="B38" t="s">
        <v>156</v>
      </c>
      <c r="P38" s="86">
        <v>11</v>
      </c>
      <c r="Q38" s="86">
        <v>163.76657788075622</v>
      </c>
      <c r="R38" s="86">
        <v>-0.56657788075622761</v>
      </c>
      <c r="Y38" s="6"/>
      <c r="Z38" s="6"/>
      <c r="AA38" s="6"/>
    </row>
    <row r="39" spans="1:27" x14ac:dyDescent="0.2">
      <c r="B39" t="s">
        <v>157</v>
      </c>
      <c r="P39" s="86">
        <v>12</v>
      </c>
      <c r="Q39" s="86">
        <v>177.29592971060416</v>
      </c>
      <c r="R39" s="86">
        <v>2.3040702893958382</v>
      </c>
      <c r="Y39" s="6"/>
      <c r="Z39" s="6"/>
      <c r="AA39" s="6"/>
    </row>
    <row r="40" spans="1:27" x14ac:dyDescent="0.2">
      <c r="B40" t="s">
        <v>158</v>
      </c>
      <c r="P40" s="86">
        <v>13</v>
      </c>
      <c r="Q40" s="86">
        <v>177.82649252746091</v>
      </c>
      <c r="R40" s="86">
        <v>8.2735074725390803</v>
      </c>
      <c r="Y40" s="6"/>
      <c r="Z40" s="6"/>
      <c r="AA40" s="6"/>
    </row>
    <row r="41" spans="1:27" ht="13.5" thickBot="1" x14ac:dyDescent="0.25">
      <c r="B41" t="s">
        <v>159</v>
      </c>
      <c r="P41" s="87">
        <v>14</v>
      </c>
      <c r="Q41" s="87">
        <v>188.08404032002537</v>
      </c>
      <c r="R41" s="87">
        <v>9.4159596799746339</v>
      </c>
      <c r="Y41" s="6"/>
      <c r="Z41" s="6"/>
      <c r="AA41" s="6"/>
    </row>
    <row r="42" spans="1:27" ht="13.5" thickBot="1" x14ac:dyDescent="0.25">
      <c r="B42" t="s">
        <v>160</v>
      </c>
      <c r="P42" s="92"/>
      <c r="Q42" s="87"/>
      <c r="R42" s="87"/>
      <c r="Y42" s="6"/>
      <c r="Z42" s="6"/>
      <c r="AA42" s="6"/>
    </row>
    <row r="43" spans="1:27" x14ac:dyDescent="0.2">
      <c r="P43" s="6"/>
      <c r="Q43" s="86"/>
      <c r="R43" s="86"/>
      <c r="Y43" s="6"/>
      <c r="Z43" s="6"/>
      <c r="AA43" s="6"/>
    </row>
    <row r="44" spans="1:27" x14ac:dyDescent="0.2">
      <c r="P44" s="86"/>
      <c r="Q44" s="86"/>
      <c r="R44" s="86"/>
      <c r="S44" s="6"/>
      <c r="T44" s="6"/>
      <c r="U44" s="6"/>
      <c r="V44" s="6"/>
      <c r="W44" s="6"/>
      <c r="X44" s="6"/>
      <c r="Y44" s="6"/>
      <c r="Z44" s="6"/>
      <c r="AA44" s="6"/>
    </row>
    <row r="45" spans="1:27" x14ac:dyDescent="0.2"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7" x14ac:dyDescent="0.2"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</sheetData>
  <mergeCells count="5">
    <mergeCell ref="D8:N8"/>
    <mergeCell ref="B8:C8"/>
    <mergeCell ref="B26:E26"/>
    <mergeCell ref="B30:D30"/>
    <mergeCell ref="G30:H3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F763-2C58-4893-AC1B-19A7BE0B0DA5}">
  <dimension ref="A1:Y47"/>
  <sheetViews>
    <sheetView tabSelected="1" zoomScale="85" zoomScaleNormal="85" workbookViewId="0">
      <selection activeCell="K29" sqref="K29:N29"/>
    </sheetView>
  </sheetViews>
  <sheetFormatPr defaultRowHeight="12.75" x14ac:dyDescent="0.2"/>
  <cols>
    <col min="1" max="1" width="9.140625" style="84"/>
    <col min="3" max="3" width="18.5703125" customWidth="1"/>
    <col min="4" max="13" width="14.7109375" customWidth="1"/>
  </cols>
  <sheetData>
    <row r="1" spans="1:25" x14ac:dyDescent="0.2">
      <c r="A1" s="84" t="s">
        <v>162</v>
      </c>
      <c r="B1" t="s">
        <v>88</v>
      </c>
    </row>
    <row r="2" spans="1:25" x14ac:dyDescent="0.2">
      <c r="A2" s="84" t="s">
        <v>103</v>
      </c>
      <c r="B2" s="104" t="s">
        <v>209</v>
      </c>
      <c r="C2" s="106" t="str">
        <f>'3. Improved Alpha Model'!B10</f>
        <v>ABMD SS 12_12 RM 2020Q2</v>
      </c>
      <c r="E2" s="106" t="s">
        <v>89</v>
      </c>
      <c r="F2" t="s">
        <v>210</v>
      </c>
    </row>
    <row r="4" spans="1:25" x14ac:dyDescent="0.2">
      <c r="A4" s="84" t="s">
        <v>104</v>
      </c>
      <c r="B4" t="s">
        <v>161</v>
      </c>
    </row>
    <row r="5" spans="1:25" ht="15" x14ac:dyDescent="0.2">
      <c r="A5" s="84" t="s">
        <v>218</v>
      </c>
      <c r="C5" s="93" t="s">
        <v>89</v>
      </c>
      <c r="D5" s="93" t="s">
        <v>90</v>
      </c>
      <c r="E5" s="93" t="s">
        <v>91</v>
      </c>
      <c r="F5" s="93" t="s">
        <v>92</v>
      </c>
      <c r="G5" s="93" t="s">
        <v>93</v>
      </c>
      <c r="H5" s="93" t="s">
        <v>94</v>
      </c>
      <c r="I5" s="93" t="s">
        <v>95</v>
      </c>
      <c r="J5" s="93" t="s">
        <v>96</v>
      </c>
      <c r="K5" s="93" t="s">
        <v>97</v>
      </c>
      <c r="L5" s="93" t="s">
        <v>98</v>
      </c>
      <c r="M5" s="93" t="s">
        <v>99</v>
      </c>
    </row>
    <row r="6" spans="1:25" ht="15" x14ac:dyDescent="0.2">
      <c r="B6" s="93" t="s">
        <v>100</v>
      </c>
      <c r="C6" s="2">
        <v>2.444459440331603E-2</v>
      </c>
      <c r="D6" s="2">
        <v>6.1501172528218503E-2</v>
      </c>
      <c r="E6" s="2">
        <v>5.3908009165632612E-2</v>
      </c>
      <c r="F6" s="2">
        <v>3.0377338173968729E-2</v>
      </c>
      <c r="G6" s="2">
        <v>3.3361369690909949E-2</v>
      </c>
      <c r="H6" s="2">
        <v>5.3708108656667773E-2</v>
      </c>
      <c r="I6" s="2">
        <v>5.2519906272681618E-2</v>
      </c>
      <c r="J6" s="2">
        <v>3.2946035352522843E-2</v>
      </c>
      <c r="K6" s="2">
        <v>3.0879358727718919E-2</v>
      </c>
      <c r="L6" s="2">
        <v>9.3950558559408648E-2</v>
      </c>
      <c r="M6" s="2">
        <v>0.120902555107155</v>
      </c>
    </row>
    <row r="7" spans="1:25" ht="15" x14ac:dyDescent="0.2">
      <c r="B7" s="93" t="s">
        <v>101</v>
      </c>
      <c r="C7" s="2">
        <v>3.0896511814641779E-2</v>
      </c>
      <c r="D7" s="2">
        <v>6.9888646846092917E-2</v>
      </c>
      <c r="E7" s="2">
        <v>6.6768264727401203E-2</v>
      </c>
      <c r="F7" s="2">
        <v>4.157138190231232E-2</v>
      </c>
      <c r="G7" s="2">
        <v>4.1602877179923933E-2</v>
      </c>
      <c r="H7" s="2">
        <v>6.6741575379711329E-2</v>
      </c>
      <c r="I7" s="2">
        <v>6.6519963976151453E-2</v>
      </c>
      <c r="J7" s="2">
        <v>4.089408867046411E-2</v>
      </c>
      <c r="K7" s="2">
        <v>3.9825393227537767E-2</v>
      </c>
      <c r="L7" s="2">
        <v>0.13261808277222689</v>
      </c>
      <c r="M7" s="2">
        <v>0.17980372310589729</v>
      </c>
    </row>
    <row r="8" spans="1:25" ht="15" x14ac:dyDescent="0.2">
      <c r="B8" s="93" t="s">
        <v>102</v>
      </c>
      <c r="C8" s="2">
        <v>1.829268292682928E-3</v>
      </c>
      <c r="D8" s="2">
        <v>2.737672209413422E-2</v>
      </c>
      <c r="E8" s="2">
        <v>-2.6216469538563329E-2</v>
      </c>
      <c r="F8" s="2">
        <v>-1.0151725557072611E-2</v>
      </c>
      <c r="G8" s="2">
        <v>-1.157203427123443E-3</v>
      </c>
      <c r="H8" s="2">
        <v>-2.651490015910218E-2</v>
      </c>
      <c r="I8" s="2">
        <v>-2.9246177522433359E-2</v>
      </c>
      <c r="J8" s="2">
        <v>-1.2446684481588479E-3</v>
      </c>
      <c r="K8" s="2">
        <v>-4.5106996927709586E-3</v>
      </c>
      <c r="L8" s="2">
        <v>-7.8619945267617675E-2</v>
      </c>
      <c r="M8" s="2">
        <v>-4.0719805256885837E-2</v>
      </c>
    </row>
    <row r="10" spans="1:25" ht="15" x14ac:dyDescent="0.2">
      <c r="A10" s="84" t="s">
        <v>105</v>
      </c>
      <c r="B10" s="94" t="s">
        <v>211</v>
      </c>
    </row>
    <row r="12" spans="1:25" x14ac:dyDescent="0.2">
      <c r="A12" s="84" t="s">
        <v>106</v>
      </c>
      <c r="B12" t="s">
        <v>176</v>
      </c>
    </row>
    <row r="13" spans="1:25" ht="15" x14ac:dyDescent="0.2">
      <c r="B13" s="93" t="s">
        <v>163</v>
      </c>
      <c r="C13" s="93" t="s">
        <v>164</v>
      </c>
      <c r="D13" s="93" t="s">
        <v>89</v>
      </c>
      <c r="E13" s="93" t="s">
        <v>90</v>
      </c>
      <c r="F13" s="93" t="s">
        <v>91</v>
      </c>
      <c r="G13" s="93" t="s">
        <v>92</v>
      </c>
      <c r="H13" s="93" t="s">
        <v>93</v>
      </c>
      <c r="I13" s="93" t="s">
        <v>94</v>
      </c>
      <c r="J13" s="93" t="s">
        <v>95</v>
      </c>
      <c r="K13" s="93" t="s">
        <v>96</v>
      </c>
      <c r="L13" s="93" t="s">
        <v>97</v>
      </c>
      <c r="M13" s="93" t="s">
        <v>98</v>
      </c>
      <c r="N13" s="93" t="s">
        <v>99</v>
      </c>
      <c r="O13" s="93" t="s">
        <v>165</v>
      </c>
      <c r="P13" s="93" t="s">
        <v>166</v>
      </c>
      <c r="Q13" s="93" t="s">
        <v>167</v>
      </c>
      <c r="R13" s="93" t="s">
        <v>168</v>
      </c>
      <c r="S13" s="93" t="s">
        <v>169</v>
      </c>
      <c r="T13" s="93" t="s">
        <v>170</v>
      </c>
      <c r="U13" s="93" t="s">
        <v>171</v>
      </c>
      <c r="V13" s="93" t="s">
        <v>172</v>
      </c>
      <c r="W13" s="93" t="s">
        <v>173</v>
      </c>
      <c r="X13" s="93" t="s">
        <v>174</v>
      </c>
      <c r="Y13" s="93" t="s">
        <v>175</v>
      </c>
    </row>
    <row r="14" spans="1:25" x14ac:dyDescent="0.2">
      <c r="B14" t="s">
        <v>44</v>
      </c>
      <c r="C14">
        <v>130.69999999999999</v>
      </c>
      <c r="D14">
        <v>127.8</v>
      </c>
      <c r="E14">
        <v>140.715326</v>
      </c>
      <c r="O14" s="2">
        <f>D14/C14-1</f>
        <v>-2.2188217291507217E-2</v>
      </c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B15" t="s">
        <v>45</v>
      </c>
      <c r="C15">
        <v>146.19999999999999</v>
      </c>
      <c r="D15">
        <v>137.5</v>
      </c>
      <c r="E15">
        <v>153.50818699999999</v>
      </c>
      <c r="O15" s="2">
        <f>D15/C15-1</f>
        <v>-5.9507523939808404E-2</v>
      </c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B16" t="s">
        <v>46</v>
      </c>
      <c r="C16">
        <v>151.69999999999999</v>
      </c>
      <c r="D16">
        <v>145.69999999999999</v>
      </c>
      <c r="E16">
        <v>141.37478200000001</v>
      </c>
      <c r="O16" s="2">
        <f>D16/C16-1</f>
        <v>-3.9551746868820015E-2</v>
      </c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">
      <c r="B17" t="s">
        <v>47</v>
      </c>
      <c r="C17">
        <v>152.19999999999999</v>
      </c>
      <c r="D17">
        <v>144.69999999999999</v>
      </c>
      <c r="E17">
        <v>166.345471</v>
      </c>
      <c r="O17" s="2">
        <f>D17/C17-1</f>
        <v>-4.9277266754270688E-2</v>
      </c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">
      <c r="B18" t="s">
        <v>48</v>
      </c>
      <c r="C18">
        <v>165.7</v>
      </c>
      <c r="D18">
        <v>162.6</v>
      </c>
      <c r="E18">
        <v>161.64708899999999</v>
      </c>
      <c r="O18" s="2">
        <f>D18/C18-1</f>
        <v>-1.870850935425461E-2</v>
      </c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">
      <c r="B19" t="s">
        <v>49</v>
      </c>
      <c r="C19">
        <v>169.7</v>
      </c>
      <c r="D19">
        <v>179.6</v>
      </c>
      <c r="E19">
        <v>151.80422300000001</v>
      </c>
      <c r="F19">
        <v>148.65620344674869</v>
      </c>
      <c r="G19">
        <v>184.0942355368106</v>
      </c>
      <c r="H19">
        <v>181.58059249272179</v>
      </c>
      <c r="I19">
        <v>148.66792304912499</v>
      </c>
      <c r="J19">
        <v>148.74093290206059</v>
      </c>
      <c r="K19">
        <v>180.9100331108169</v>
      </c>
      <c r="L19">
        <v>180.16684091835921</v>
      </c>
      <c r="M19">
        <v>151.66032787381681</v>
      </c>
      <c r="N19">
        <v>144.8790449825683</v>
      </c>
      <c r="O19" s="2">
        <v>5.8338243959929398E-2</v>
      </c>
      <c r="P19" s="2">
        <v>-0.1054553741897465</v>
      </c>
      <c r="Q19" s="2">
        <v>-0.1240058724410802</v>
      </c>
      <c r="R19" s="2">
        <v>8.482165902658001E-2</v>
      </c>
      <c r="S19" s="2">
        <v>7.0009384164536614E-2</v>
      </c>
      <c r="T19" s="2">
        <v>-0.1239368117317327</v>
      </c>
      <c r="U19" s="2">
        <v>-0.1235065827810214</v>
      </c>
      <c r="V19" s="2">
        <v>6.6057944082597908E-2</v>
      </c>
      <c r="W19" s="2">
        <v>6.1678496867172861E-2</v>
      </c>
      <c r="X19" s="2">
        <v>-0.1063033124701428</v>
      </c>
      <c r="Y19" s="2">
        <v>-0.14626373021468289</v>
      </c>
    </row>
    <row r="20" spans="1:25" x14ac:dyDescent="0.2">
      <c r="B20" t="s">
        <v>50</v>
      </c>
      <c r="C20">
        <v>168.3</v>
      </c>
      <c r="D20">
        <v>174.4</v>
      </c>
      <c r="E20">
        <v>182.08345700000001</v>
      </c>
      <c r="F20">
        <v>172.61565441485129</v>
      </c>
      <c r="G20">
        <v>170.49287859387039</v>
      </c>
      <c r="H20">
        <v>177.5102057827805</v>
      </c>
      <c r="I20">
        <v>172.25357128048819</v>
      </c>
      <c r="J20">
        <v>169.33610138513299</v>
      </c>
      <c r="K20">
        <v>177.33456384173451</v>
      </c>
      <c r="L20">
        <v>174.11387131107301</v>
      </c>
      <c r="M20">
        <v>109.63690257345711</v>
      </c>
      <c r="N20">
        <v>113.60655005503141</v>
      </c>
      <c r="O20" s="2">
        <v>3.6244800950683297E-2</v>
      </c>
      <c r="P20" s="2">
        <v>8.189814022578723E-2</v>
      </c>
      <c r="Q20" s="2">
        <v>2.5642628727577499E-2</v>
      </c>
      <c r="R20" s="2">
        <v>1.3029581662926001E-2</v>
      </c>
      <c r="S20" s="2">
        <v>5.4724930378968972E-2</v>
      </c>
      <c r="T20" s="2">
        <v>2.3491213787808499E-2</v>
      </c>
      <c r="U20" s="2">
        <v>6.1562767981755417E-3</v>
      </c>
      <c r="V20" s="2">
        <v>5.3681306249165228E-2</v>
      </c>
      <c r="W20" s="2">
        <v>3.4544689905365633E-2</v>
      </c>
      <c r="X20" s="2">
        <v>-0.34856267038944111</v>
      </c>
      <c r="Y20" s="2">
        <v>-0.32497593550189291</v>
      </c>
    </row>
    <row r="21" spans="1:25" x14ac:dyDescent="0.2">
      <c r="B21" t="s">
        <v>51</v>
      </c>
      <c r="C21">
        <v>164</v>
      </c>
      <c r="D21">
        <v>166.2</v>
      </c>
      <c r="E21">
        <v>172.38423900000001</v>
      </c>
      <c r="F21">
        <v>164.13067428437091</v>
      </c>
      <c r="G21">
        <v>164.01610201490601</v>
      </c>
      <c r="H21">
        <v>165.14649382158731</v>
      </c>
      <c r="I21">
        <v>164.05975778504711</v>
      </c>
      <c r="J21">
        <v>163.86153270941259</v>
      </c>
      <c r="K21">
        <v>165.12715054001359</v>
      </c>
      <c r="L21">
        <v>165.038163121032</v>
      </c>
      <c r="M21">
        <v>164.91865777720099</v>
      </c>
      <c r="N21">
        <v>154.7407111590619</v>
      </c>
      <c r="O21" s="2">
        <v>1.3414634146341481E-2</v>
      </c>
      <c r="P21" s="2">
        <v>5.112340853658548E-2</v>
      </c>
      <c r="Q21" s="2">
        <v>7.9679441689584074E-4</v>
      </c>
      <c r="R21" s="2">
        <v>9.8183017719355448E-5</v>
      </c>
      <c r="S21" s="2">
        <v>6.9908159852887231E-3</v>
      </c>
      <c r="T21" s="2">
        <v>3.6437673809208698E-4</v>
      </c>
      <c r="U21" s="2">
        <v>-8.4431274748386631E-4</v>
      </c>
      <c r="V21" s="2">
        <v>6.8728691464245983E-3</v>
      </c>
      <c r="W21" s="2">
        <v>6.3302629331221114E-3</v>
      </c>
      <c r="X21" s="2">
        <v>5.6015718122008904E-3</v>
      </c>
      <c r="Y21" s="2">
        <v>-5.645907829840302E-2</v>
      </c>
    </row>
    <row r="22" spans="1:25" x14ac:dyDescent="0.2">
      <c r="B22" t="s">
        <v>52</v>
      </c>
      <c r="C22">
        <v>177</v>
      </c>
      <c r="D22">
        <v>180.4</v>
      </c>
      <c r="E22">
        <v>185.00628599999999</v>
      </c>
      <c r="F22">
        <v>171.5277927867524</v>
      </c>
      <c r="G22">
        <v>173.9276203168084</v>
      </c>
      <c r="H22">
        <v>175.38258718102159</v>
      </c>
      <c r="I22">
        <v>171.4254274233225</v>
      </c>
      <c r="J22">
        <v>170.4553307835657</v>
      </c>
      <c r="K22">
        <v>175.3428895304346</v>
      </c>
      <c r="L22">
        <v>174.97627985903421</v>
      </c>
      <c r="M22">
        <v>165.1071748158235</v>
      </c>
      <c r="N22">
        <v>175.7966323698183</v>
      </c>
      <c r="O22" s="2">
        <v>1.920903954802267E-2</v>
      </c>
      <c r="P22" s="2">
        <v>4.5233254237287968E-2</v>
      </c>
      <c r="Q22" s="2">
        <v>-3.0916424933602249E-2</v>
      </c>
      <c r="R22" s="2">
        <v>-1.7358077306167119E-2</v>
      </c>
      <c r="S22" s="2">
        <v>-9.1379255309516072E-3</v>
      </c>
      <c r="T22" s="2">
        <v>-3.1494760320212027E-2</v>
      </c>
      <c r="U22" s="2">
        <v>-3.6975532296239177E-2</v>
      </c>
      <c r="V22" s="2">
        <v>-9.3622060427422937E-3</v>
      </c>
      <c r="W22" s="2">
        <v>-1.143344712410088E-2</v>
      </c>
      <c r="X22" s="2">
        <v>-6.7191102735460473E-2</v>
      </c>
      <c r="Y22" s="2">
        <v>-6.798687176167606E-3</v>
      </c>
    </row>
    <row r="23" spans="1:25" x14ac:dyDescent="0.2">
      <c r="B23" t="s">
        <v>53</v>
      </c>
      <c r="C23">
        <v>164</v>
      </c>
      <c r="D23">
        <v>164.6</v>
      </c>
      <c r="E23">
        <v>180.42843500000001</v>
      </c>
      <c r="F23">
        <v>170.5768559728325</v>
      </c>
      <c r="G23">
        <v>163.40004704876921</v>
      </c>
      <c r="H23">
        <v>165.11905706297961</v>
      </c>
      <c r="I23">
        <v>170.5195008889373</v>
      </c>
      <c r="J23">
        <v>170.57605618159349</v>
      </c>
      <c r="K23">
        <v>165.13766087184419</v>
      </c>
      <c r="L23">
        <v>164.72731728106751</v>
      </c>
      <c r="M23">
        <v>170.0654503003841</v>
      </c>
      <c r="N23">
        <v>166.6917681031282</v>
      </c>
      <c r="O23" s="2">
        <v>3.6585365853658569E-3</v>
      </c>
      <c r="P23" s="2">
        <v>0.1001733841463415</v>
      </c>
      <c r="Q23" s="2">
        <v>4.0102780322149423E-2</v>
      </c>
      <c r="R23" s="2">
        <v>-3.6582497026269589E-3</v>
      </c>
      <c r="S23" s="2">
        <v>6.8235186767047207E-3</v>
      </c>
      <c r="T23" s="2">
        <v>3.9753054200837079E-2</v>
      </c>
      <c r="U23" s="2">
        <v>4.0097903546301612E-2</v>
      </c>
      <c r="V23" s="2">
        <v>6.936956535635197E-3</v>
      </c>
      <c r="W23" s="2">
        <v>4.4348614699241118E-3</v>
      </c>
      <c r="X23" s="2">
        <v>3.6984453051122301E-2</v>
      </c>
      <c r="Y23" s="2">
        <v>1.6413220141025638E-2</v>
      </c>
    </row>
    <row r="24" spans="1:25" x14ac:dyDescent="0.2">
      <c r="B24" t="s">
        <v>55</v>
      </c>
      <c r="C24">
        <v>163.19999999999999</v>
      </c>
      <c r="D24">
        <v>161.6</v>
      </c>
      <c r="E24">
        <v>164.75369499999999</v>
      </c>
      <c r="F24">
        <v>159.6885048917768</v>
      </c>
      <c r="G24">
        <v>161.29924599263319</v>
      </c>
      <c r="H24">
        <v>161.22061583116769</v>
      </c>
      <c r="I24">
        <v>159.68548147232761</v>
      </c>
      <c r="J24">
        <v>159.688454527424</v>
      </c>
      <c r="K24">
        <v>161.21194088441021</v>
      </c>
      <c r="L24">
        <v>161.17580679000261</v>
      </c>
      <c r="M24">
        <v>161.38515703934709</v>
      </c>
      <c r="N24">
        <v>159.12317714245179</v>
      </c>
      <c r="O24" s="2">
        <v>-9.8039215686274161E-3</v>
      </c>
      <c r="P24" s="2">
        <v>9.5201899509804733E-3</v>
      </c>
      <c r="Q24" s="2">
        <v>-2.1516514143524401E-2</v>
      </c>
      <c r="R24" s="2">
        <v>-1.1646777005923981E-2</v>
      </c>
      <c r="S24" s="2">
        <v>-1.2128579465884189E-2</v>
      </c>
      <c r="T24" s="2">
        <v>-2.153503999799233E-2</v>
      </c>
      <c r="U24" s="2">
        <v>-2.151682274862754E-2</v>
      </c>
      <c r="V24" s="2">
        <v>-1.218173477689832E-2</v>
      </c>
      <c r="W24" s="2">
        <v>-1.2403144669101749E-2</v>
      </c>
      <c r="X24" s="2">
        <v>-1.1120361278510569E-2</v>
      </c>
      <c r="Y24" s="2">
        <v>-2.4980532215368671E-2</v>
      </c>
    </row>
    <row r="25" spans="1:25" x14ac:dyDescent="0.2">
      <c r="B25" t="s">
        <v>56</v>
      </c>
      <c r="C25">
        <v>179.6</v>
      </c>
      <c r="D25">
        <v>176.9</v>
      </c>
      <c r="E25">
        <v>163.75921700000001</v>
      </c>
      <c r="F25">
        <v>159.40787298213479</v>
      </c>
      <c r="G25">
        <v>172.56531238554399</v>
      </c>
      <c r="H25">
        <v>171.42547039177111</v>
      </c>
      <c r="I25">
        <v>159.4075803880655</v>
      </c>
      <c r="J25">
        <v>159.40786763492761</v>
      </c>
      <c r="K25">
        <v>171.36169671043299</v>
      </c>
      <c r="L25">
        <v>171.3146899879649</v>
      </c>
      <c r="M25">
        <v>161.18034595304411</v>
      </c>
      <c r="N25">
        <v>160.25003766919869</v>
      </c>
      <c r="O25" s="2">
        <v>-1.503340757238303E-2</v>
      </c>
      <c r="P25" s="2">
        <v>-8.820035077950994E-2</v>
      </c>
      <c r="Q25" s="2">
        <v>-0.11242832415292429</v>
      </c>
      <c r="R25" s="2">
        <v>-3.9168639278708062E-2</v>
      </c>
      <c r="S25" s="2">
        <v>-4.5515198264080459E-2</v>
      </c>
      <c r="T25" s="2">
        <v>-0.1124299532958493</v>
      </c>
      <c r="U25" s="2">
        <v>-0.11242835392579301</v>
      </c>
      <c r="V25" s="2">
        <v>-4.5870285576653513E-2</v>
      </c>
      <c r="W25" s="2">
        <v>-4.6132015657210812E-2</v>
      </c>
      <c r="X25" s="2">
        <v>-0.1025593209741418</v>
      </c>
      <c r="Y25" s="2">
        <v>-0.10773921119599821</v>
      </c>
    </row>
    <row r="26" spans="1:25" x14ac:dyDescent="0.2">
      <c r="B26" t="s">
        <v>57</v>
      </c>
      <c r="C26">
        <v>186.1</v>
      </c>
      <c r="D26">
        <v>177.5</v>
      </c>
      <c r="E26">
        <v>178.97609800000001</v>
      </c>
      <c r="F26">
        <v>170.31036051141339</v>
      </c>
      <c r="G26">
        <v>174.19659423526321</v>
      </c>
      <c r="H26">
        <v>174.49426616482069</v>
      </c>
      <c r="I26">
        <v>170.2723678946642</v>
      </c>
      <c r="J26">
        <v>170.30960419443309</v>
      </c>
      <c r="K26">
        <v>174.4707042606164</v>
      </c>
      <c r="L26">
        <v>173.6536299191483</v>
      </c>
      <c r="M26">
        <v>169.34192059046191</v>
      </c>
      <c r="N26">
        <v>165.71025749936231</v>
      </c>
      <c r="O26" s="2">
        <v>-4.6211714132186943E-2</v>
      </c>
      <c r="P26" s="2">
        <v>-3.8279967759269118E-2</v>
      </c>
      <c r="Q26" s="2">
        <v>-8.4844919336843461E-2</v>
      </c>
      <c r="R26" s="2">
        <v>-6.3962416790633081E-2</v>
      </c>
      <c r="S26" s="2">
        <v>-6.2362890033203937E-2</v>
      </c>
      <c r="T26" s="2">
        <v>-8.5049070958279294E-2</v>
      </c>
      <c r="U26" s="2">
        <v>-8.4848983372202702E-2</v>
      </c>
      <c r="V26" s="2">
        <v>-6.2489498868262161E-2</v>
      </c>
      <c r="W26" s="2">
        <v>-6.688001118136333E-2</v>
      </c>
      <c r="X26" s="2">
        <v>-9.0048787799774876E-2</v>
      </c>
      <c r="Y26" s="2">
        <v>-0.1095633664730664</v>
      </c>
    </row>
    <row r="27" spans="1:25" x14ac:dyDescent="0.2">
      <c r="B27" t="s">
        <v>58</v>
      </c>
      <c r="C27">
        <v>197.5</v>
      </c>
      <c r="D27">
        <v>189.1</v>
      </c>
      <c r="E27">
        <v>195.03527600000001</v>
      </c>
      <c r="F27">
        <v>183.80257836303309</v>
      </c>
      <c r="G27">
        <v>185.37880804156421</v>
      </c>
      <c r="H27">
        <v>186.680713466789</v>
      </c>
      <c r="I27">
        <v>183.72422924676209</v>
      </c>
      <c r="J27">
        <v>183.80109566014531</v>
      </c>
      <c r="K27">
        <v>186.65698230049421</v>
      </c>
      <c r="L27">
        <v>185.1474395780744</v>
      </c>
      <c r="M27">
        <v>172.02452106591861</v>
      </c>
      <c r="N27">
        <v>198.5497301293999</v>
      </c>
      <c r="O27" s="2">
        <v>-4.2531645569620302E-2</v>
      </c>
      <c r="P27" s="2">
        <v>-1.2479615189873391E-2</v>
      </c>
      <c r="Q27" s="2">
        <v>-6.9354033604895782E-2</v>
      </c>
      <c r="R27" s="2">
        <v>-6.1373123840181447E-2</v>
      </c>
      <c r="S27" s="2">
        <v>-5.4781197636511347E-2</v>
      </c>
      <c r="T27" s="2">
        <v>-6.9750737991077671E-2</v>
      </c>
      <c r="U27" s="2">
        <v>-6.936154096128988E-2</v>
      </c>
      <c r="V27" s="2">
        <v>-5.4901355440535649E-2</v>
      </c>
      <c r="W27" s="2">
        <v>-6.2544609731268741E-2</v>
      </c>
      <c r="X27" s="2">
        <v>-0.12898976675484231</v>
      </c>
      <c r="Y27" s="2">
        <v>5.3150892627842339E-3</v>
      </c>
    </row>
    <row r="28" spans="1:25" x14ac:dyDescent="0.2">
      <c r="B28" t="s">
        <v>74</v>
      </c>
      <c r="C28">
        <v>194.9</v>
      </c>
      <c r="D28">
        <v>194.9</v>
      </c>
      <c r="E28">
        <v>211.00810304800001</v>
      </c>
      <c r="F28">
        <v>200.64405373752481</v>
      </c>
      <c r="G28">
        <v>193.21281421630769</v>
      </c>
      <c r="H28">
        <v>197.07104114505159</v>
      </c>
      <c r="I28">
        <v>200.60590556448091</v>
      </c>
      <c r="J28">
        <v>200.64229066683291</v>
      </c>
      <c r="K28">
        <v>197.0645977575505</v>
      </c>
      <c r="L28">
        <v>195.37010810424519</v>
      </c>
      <c r="M28">
        <v>203.11391205021479</v>
      </c>
      <c r="N28">
        <v>274.90970494541222</v>
      </c>
      <c r="O28" s="2">
        <v>0</v>
      </c>
      <c r="P28" s="2">
        <v>8.2648040266803502E-2</v>
      </c>
      <c r="Q28" s="2">
        <v>2.9471799576832991E-2</v>
      </c>
      <c r="R28" s="2">
        <v>-8.6566741082212406E-3</v>
      </c>
      <c r="S28" s="2">
        <v>1.1139256772968901E-2</v>
      </c>
      <c r="T28" s="2">
        <v>2.9276067544796721E-2</v>
      </c>
      <c r="U28" s="2">
        <v>2.946275354968142E-2</v>
      </c>
      <c r="V28" s="2">
        <v>1.110619680631353E-2</v>
      </c>
      <c r="W28" s="2">
        <v>2.412047738558964E-3</v>
      </c>
      <c r="X28" s="2">
        <v>4.2144238328449379E-2</v>
      </c>
      <c r="Y28" s="2">
        <v>0.41051670059216078</v>
      </c>
    </row>
    <row r="29" spans="1:25" x14ac:dyDescent="0.2">
      <c r="A29" s="176" t="s">
        <v>187</v>
      </c>
      <c r="B29" s="176"/>
      <c r="C29" s="176"/>
      <c r="D29">
        <f t="shared" ref="D29:D34" si="0">D$28/(1+O29)</f>
        <v>197.32353752389912</v>
      </c>
      <c r="K29" s="114" t="s">
        <v>179</v>
      </c>
      <c r="L29" s="114"/>
      <c r="M29" s="114"/>
      <c r="N29" s="114"/>
      <c r="O29" s="1">
        <f>AVERAGE(O14:O27)</f>
        <v>-1.2282049847223994E-2</v>
      </c>
    </row>
    <row r="30" spans="1:25" x14ac:dyDescent="0.2">
      <c r="A30" s="172" t="s">
        <v>188</v>
      </c>
      <c r="B30" s="172"/>
      <c r="C30" s="172"/>
      <c r="D30">
        <f t="shared" si="0"/>
        <v>198.2445760073991</v>
      </c>
      <c r="K30" s="172" t="s">
        <v>181</v>
      </c>
      <c r="L30" s="172"/>
      <c r="M30" s="172"/>
      <c r="N30" s="172"/>
      <c r="O30" s="1">
        <f>MEDIAN(O14:O27)</f>
        <v>-1.6870958463318819E-2</v>
      </c>
    </row>
    <row r="31" spans="1:25" x14ac:dyDescent="0.2">
      <c r="A31" s="173" t="s">
        <v>189</v>
      </c>
      <c r="B31" s="173"/>
      <c r="C31" s="173"/>
      <c r="D31">
        <f t="shared" si="0"/>
        <v>201.68592353102994</v>
      </c>
      <c r="K31" s="173" t="s">
        <v>180</v>
      </c>
      <c r="L31" s="173"/>
      <c r="M31" s="173"/>
      <c r="N31" s="173"/>
      <c r="O31" s="1">
        <f>AVERAGE(O24:O27,O14:O18)</f>
        <v>-3.3645994783497626E-2</v>
      </c>
    </row>
    <row r="32" spans="1:25" x14ac:dyDescent="0.2">
      <c r="A32" s="177" t="s">
        <v>190</v>
      </c>
      <c r="B32" s="177"/>
      <c r="C32" s="177"/>
      <c r="D32">
        <f t="shared" si="0"/>
        <v>202.92608098833219</v>
      </c>
      <c r="K32" s="177" t="s">
        <v>182</v>
      </c>
      <c r="L32" s="177"/>
      <c r="M32" s="177"/>
      <c r="N32" s="177"/>
      <c r="O32" s="1">
        <f>MEDIAN(O24:O27,O14:O18)</f>
        <v>-3.9551746868820015E-2</v>
      </c>
    </row>
    <row r="33" spans="1:15" x14ac:dyDescent="0.2">
      <c r="A33" s="178" t="s">
        <v>191</v>
      </c>
      <c r="B33" s="178"/>
      <c r="C33" s="178"/>
      <c r="D33">
        <f t="shared" si="0"/>
        <v>189.92897913547887</v>
      </c>
      <c r="K33" s="178" t="s">
        <v>183</v>
      </c>
      <c r="L33" s="178"/>
      <c r="M33" s="178"/>
      <c r="N33" s="178"/>
      <c r="O33" s="1">
        <f>AVERAGE(O19:O23)</f>
        <v>2.6173051038068541E-2</v>
      </c>
    </row>
    <row r="34" spans="1:15" x14ac:dyDescent="0.2">
      <c r="A34" s="175" t="s">
        <v>192</v>
      </c>
      <c r="B34" s="175"/>
      <c r="C34" s="175"/>
      <c r="D34">
        <f t="shared" si="0"/>
        <v>191.22671840354766</v>
      </c>
      <c r="K34" s="175" t="s">
        <v>184</v>
      </c>
      <c r="L34" s="175"/>
      <c r="M34" s="175"/>
      <c r="N34" s="175"/>
      <c r="O34" s="1">
        <f>MEDIAN(O19:O23)</f>
        <v>1.920903954802267E-2</v>
      </c>
    </row>
    <row r="37" spans="1:15" x14ac:dyDescent="0.2">
      <c r="A37" s="84" t="s">
        <v>107</v>
      </c>
      <c r="B37" t="s">
        <v>212</v>
      </c>
    </row>
    <row r="38" spans="1:15" x14ac:dyDescent="0.2">
      <c r="B38" t="s">
        <v>193</v>
      </c>
    </row>
    <row r="39" spans="1:15" x14ac:dyDescent="0.2">
      <c r="B39" t="s">
        <v>194</v>
      </c>
    </row>
    <row r="44" spans="1:15" x14ac:dyDescent="0.2">
      <c r="A44" s="84" t="s">
        <v>110</v>
      </c>
      <c r="B44" s="107" t="s">
        <v>195</v>
      </c>
      <c r="C44" s="108">
        <f>D34</f>
        <v>191.22671840354766</v>
      </c>
      <c r="D44" t="s">
        <v>215</v>
      </c>
    </row>
    <row r="46" spans="1:15" x14ac:dyDescent="0.2">
      <c r="B46" s="174" t="s">
        <v>214</v>
      </c>
      <c r="C46" s="174"/>
      <c r="D46" s="2">
        <f>C44/D28-1</f>
        <v>-1.8847006651884768E-2</v>
      </c>
    </row>
    <row r="47" spans="1:15" x14ac:dyDescent="0.2">
      <c r="B47" s="163" t="s">
        <v>213</v>
      </c>
      <c r="C47" s="163"/>
      <c r="D47" s="2">
        <f>'1. Data &amp; Confidence Interval'!N27</f>
        <v>-1.4817727260090674E-2</v>
      </c>
    </row>
  </sheetData>
  <mergeCells count="14">
    <mergeCell ref="B47:C47"/>
    <mergeCell ref="B46:C46"/>
    <mergeCell ref="K34:N34"/>
    <mergeCell ref="A29:C29"/>
    <mergeCell ref="A30:C30"/>
    <mergeCell ref="A31:C31"/>
    <mergeCell ref="A32:C32"/>
    <mergeCell ref="A33:C33"/>
    <mergeCell ref="A34:C34"/>
    <mergeCell ref="K29:N29"/>
    <mergeCell ref="K30:N30"/>
    <mergeCell ref="K31:N31"/>
    <mergeCell ref="K32:N32"/>
    <mergeCell ref="K33:N33"/>
  </mergeCells>
  <conditionalFormatting sqref="O29:O34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9:W2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K6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  <cfRule type="colorScale" priority="1">
      <colorScale>
        <cfvo type="min"/>
        <cfvo type="max"/>
        <color rgb="FF92D050"/>
        <color rgb="FFFF0000"/>
      </colorScale>
    </cfRule>
  </conditionalFormatting>
  <conditionalFormatting sqref="C7:K7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  <cfRule type="colorScale" priority="2">
      <colorScale>
        <cfvo type="min"/>
        <cfvo type="max"/>
        <color rgb="FF92D050"/>
        <color rgb="FFC000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Data &amp; Confidence Interval</vt:lpstr>
      <vt:lpstr>2. Past Proj &amp; Candidate Model</vt:lpstr>
      <vt:lpstr>3. Improved Alpha Model</vt:lpstr>
      <vt:lpstr>4.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Redmond Xia</dc:creator>
  <cp:lastModifiedBy>Redmond Xia</cp:lastModifiedBy>
  <dcterms:created xsi:type="dcterms:W3CDTF">2021-10-08T16:56:03Z</dcterms:created>
  <dcterms:modified xsi:type="dcterms:W3CDTF">2021-10-21T19:02:26Z</dcterms:modified>
</cp:coreProperties>
</file>