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BT\"/>
    </mc:Choice>
  </mc:AlternateContent>
  <xr:revisionPtr revIDLastSave="0" documentId="13_ncr:1_{B33E449E-317E-4AD4-AF15-6FBB7E11A899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4" l="1"/>
  <c r="G29" i="4" l="1"/>
  <c r="G30" i="4"/>
  <c r="G31" i="4"/>
  <c r="G32" i="4"/>
  <c r="G33" i="4"/>
  <c r="G34" i="4"/>
  <c r="D46" i="4"/>
  <c r="C44" i="4"/>
  <c r="F34" i="4"/>
  <c r="F33" i="4"/>
  <c r="F32" i="4"/>
  <c r="F31" i="4"/>
  <c r="F30" i="4"/>
  <c r="F29" i="4"/>
  <c r="Q29" i="4"/>
  <c r="Q30" i="4"/>
  <c r="Q31" i="4"/>
  <c r="R25" i="1"/>
  <c r="O25" i="1"/>
  <c r="R24" i="1"/>
  <c r="O24" i="1"/>
  <c r="Q34" i="4"/>
  <c r="Q33" i="4"/>
  <c r="Q32" i="4"/>
  <c r="R21" i="2"/>
  <c r="Q21" i="2"/>
  <c r="L21" i="2"/>
  <c r="M21" i="2"/>
  <c r="N21" i="2"/>
  <c r="O21" i="2"/>
  <c r="P21" i="2"/>
  <c r="K21" i="2"/>
  <c r="J21" i="2"/>
  <c r="K38" i="2"/>
  <c r="K37" i="2"/>
  <c r="K36" i="2"/>
  <c r="K35" i="2"/>
  <c r="K34" i="2"/>
  <c r="K33" i="2"/>
  <c r="K32" i="2"/>
  <c r="K30" i="2"/>
  <c r="K29" i="2"/>
  <c r="K28" i="2"/>
  <c r="K27" i="2"/>
  <c r="J41" i="2" l="1" a="1"/>
  <c r="J41" i="2" s="1"/>
  <c r="J40" i="2"/>
  <c r="J39" i="2"/>
  <c r="J38" i="2"/>
  <c r="J37" i="2"/>
  <c r="J36" i="2"/>
  <c r="J35" i="2"/>
  <c r="J34" i="2"/>
  <c r="J33" i="2"/>
  <c r="J32" i="2"/>
  <c r="J30" i="2"/>
  <c r="J29" i="2"/>
  <c r="J28" i="2"/>
  <c r="J27" i="2"/>
  <c r="J26" i="2"/>
  <c r="G40" i="2"/>
  <c r="G41" i="2" a="1"/>
  <c r="G41" i="2" s="1"/>
  <c r="G39" i="2"/>
  <c r="G38" i="2"/>
  <c r="G37" i="2"/>
  <c r="G36" i="2"/>
  <c r="G35" i="2"/>
  <c r="G34" i="2"/>
  <c r="G32" i="2"/>
  <c r="G31" i="2"/>
  <c r="G30" i="2"/>
  <c r="G29" i="2"/>
  <c r="G28" i="2"/>
  <c r="G27" i="2"/>
  <c r="G26" i="2"/>
  <c r="AK24" i="1"/>
  <c r="AK26" i="1"/>
  <c r="AK25" i="1"/>
  <c r="AK23" i="1"/>
  <c r="AK22" i="1"/>
  <c r="AK21" i="1"/>
  <c r="AK20" i="1"/>
  <c r="J17" i="1"/>
  <c r="C2" i="4"/>
  <c r="J22" i="2"/>
  <c r="AJ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Q27" i="2"/>
  <c r="P27" i="2"/>
  <c r="O27" i="2"/>
  <c r="N27" i="2"/>
  <c r="M27" i="2"/>
  <c r="L27" i="2"/>
  <c r="R27" i="2"/>
  <c r="A26" i="2"/>
  <c r="B26" i="2"/>
  <c r="C26" i="2"/>
  <c r="D26" i="2"/>
  <c r="E26" i="2"/>
  <c r="F26" i="2"/>
  <c r="H26" i="2"/>
  <c r="I26" i="2"/>
  <c r="R26" i="2"/>
  <c r="Q22" i="2"/>
  <c r="P22" i="2"/>
  <c r="O22" i="2"/>
  <c r="N22" i="2"/>
  <c r="M22" i="2"/>
  <c r="L22" i="2"/>
  <c r="K22" i="2"/>
  <c r="I22" i="2"/>
  <c r="H22" i="2"/>
  <c r="G22" i="2"/>
  <c r="F22" i="2"/>
  <c r="R22" i="2"/>
  <c r="E22" i="2"/>
  <c r="AJ17" i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K18" i="1"/>
  <c r="AJ18" i="1"/>
  <c r="AI18" i="1"/>
  <c r="AH18" i="1"/>
  <c r="S18" i="1"/>
  <c r="R18" i="1"/>
  <c r="Q18" i="1"/>
  <c r="P18" i="1"/>
  <c r="O18" i="1"/>
  <c r="N18" i="1"/>
  <c r="M18" i="1"/>
  <c r="L18" i="1"/>
  <c r="K18" i="1"/>
  <c r="J18" i="1"/>
  <c r="L17" i="1"/>
  <c r="K17" i="1"/>
  <c r="I27" i="2"/>
  <c r="H27" i="2"/>
  <c r="F27" i="2"/>
  <c r="E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B27" i="2"/>
  <c r="C27" i="2"/>
  <c r="D27" i="2"/>
  <c r="A27" i="2"/>
  <c r="I53" i="3"/>
  <c r="E53" i="3"/>
  <c r="AE17" i="1"/>
  <c r="AD17" i="1"/>
  <c r="AC17" i="1"/>
  <c r="AB17" i="1"/>
  <c r="C7" i="1" l="1"/>
  <c r="B7" i="1"/>
  <c r="U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C18" i="1"/>
  <c r="AB18" i="1"/>
  <c r="AA18" i="1"/>
  <c r="Z18" i="1"/>
  <c r="Y18" i="1"/>
  <c r="X18" i="1"/>
  <c r="W18" i="1"/>
  <c r="V18" i="1"/>
  <c r="U18" i="1"/>
  <c r="T18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F49" i="3"/>
  <c r="N2" i="1" l="1"/>
  <c r="M2" i="1"/>
  <c r="O2" i="1" s="1"/>
  <c r="D47" i="4"/>
  <c r="V21" i="1"/>
  <c r="U23" i="1"/>
  <c r="R40" i="2"/>
  <c r="R39" i="2"/>
  <c r="R38" i="2"/>
  <c r="R37" i="2"/>
  <c r="R35" i="2"/>
  <c r="R34" i="2"/>
  <c r="R33" i="2"/>
  <c r="R32" i="2"/>
  <c r="R31" i="2"/>
  <c r="R30" i="2"/>
  <c r="R29" i="2"/>
  <c r="R28" i="2"/>
  <c r="P2" i="1" l="1"/>
  <c r="N3" i="1"/>
  <c r="M3" i="1"/>
  <c r="H49" i="3"/>
  <c r="O3" i="1" l="1"/>
  <c r="P3" i="1" s="1"/>
  <c r="R36" i="2"/>
  <c r="L28" i="2"/>
  <c r="M28" i="2"/>
  <c r="N28" i="2"/>
  <c r="O28" i="2"/>
  <c r="P28" i="2"/>
  <c r="Q28" i="2"/>
  <c r="L29" i="2"/>
  <c r="M29" i="2"/>
  <c r="N29" i="2"/>
  <c r="O29" i="2"/>
  <c r="P29" i="2"/>
  <c r="Q29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L32" i="2"/>
  <c r="M32" i="2"/>
  <c r="N32" i="2"/>
  <c r="O32" i="2"/>
  <c r="P32" i="2"/>
  <c r="Q32" i="2"/>
  <c r="L33" i="2"/>
  <c r="M33" i="2"/>
  <c r="N33" i="2"/>
  <c r="O33" i="2"/>
  <c r="P33" i="2"/>
  <c r="Q33" i="2"/>
  <c r="L34" i="2"/>
  <c r="M34" i="2"/>
  <c r="N34" i="2"/>
  <c r="O34" i="2"/>
  <c r="P34" i="2"/>
  <c r="Q34" i="2"/>
  <c r="L35" i="2"/>
  <c r="M35" i="2"/>
  <c r="N35" i="2"/>
  <c r="O35" i="2"/>
  <c r="P35" i="2"/>
  <c r="Q35" i="2"/>
  <c r="L36" i="2"/>
  <c r="M36" i="2"/>
  <c r="N36" i="2"/>
  <c r="O36" i="2"/>
  <c r="P36" i="2"/>
  <c r="Q36" i="2"/>
  <c r="L37" i="2"/>
  <c r="M37" i="2"/>
  <c r="N37" i="2"/>
  <c r="O37" i="2"/>
  <c r="P37" i="2"/>
  <c r="Q37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E40" i="2"/>
  <c r="E28" i="2"/>
  <c r="F28" i="2"/>
  <c r="H28" i="2"/>
  <c r="I28" i="2"/>
  <c r="E29" i="2"/>
  <c r="F29" i="2"/>
  <c r="H29" i="2"/>
  <c r="I29" i="2"/>
  <c r="E30" i="2"/>
  <c r="F30" i="2"/>
  <c r="H30" i="2"/>
  <c r="I30" i="2"/>
  <c r="E31" i="2"/>
  <c r="F31" i="2"/>
  <c r="H31" i="2"/>
  <c r="I31" i="2"/>
  <c r="J31" i="2"/>
  <c r="E32" i="2"/>
  <c r="F32" i="2"/>
  <c r="H32" i="2"/>
  <c r="I32" i="2"/>
  <c r="E33" i="2"/>
  <c r="F33" i="2"/>
  <c r="G33" i="2"/>
  <c r="H33" i="2"/>
  <c r="I33" i="2"/>
  <c r="E34" i="2"/>
  <c r="F34" i="2"/>
  <c r="H34" i="2"/>
  <c r="I34" i="2"/>
  <c r="E35" i="2"/>
  <c r="F35" i="2"/>
  <c r="H35" i="2"/>
  <c r="I35" i="2"/>
  <c r="E36" i="2"/>
  <c r="F36" i="2"/>
  <c r="H36" i="2"/>
  <c r="I36" i="2"/>
  <c r="E37" i="2"/>
  <c r="F37" i="2"/>
  <c r="H37" i="2"/>
  <c r="I37" i="2"/>
  <c r="E38" i="2"/>
  <c r="F38" i="2"/>
  <c r="H38" i="2"/>
  <c r="I38" i="2"/>
  <c r="E39" i="2"/>
  <c r="F39" i="2"/>
  <c r="H39" i="2"/>
  <c r="I39" i="2"/>
  <c r="F40" i="2"/>
  <c r="H40" i="2"/>
  <c r="I40" i="2"/>
  <c r="AJ10" i="1"/>
  <c r="E42" i="2" l="1" a="1"/>
  <c r="E42" i="2" s="1"/>
  <c r="E41" i="2" a="1"/>
  <c r="E41" i="2" s="1"/>
  <c r="Q42" i="2" a="1"/>
  <c r="Q42" i="2" s="1"/>
  <c r="Q41" i="2" a="1"/>
  <c r="Q41" i="2" s="1"/>
  <c r="H41" i="2" a="1"/>
  <c r="H41" i="2" s="1"/>
  <c r="H42" i="2" a="1"/>
  <c r="H42" i="2" s="1"/>
  <c r="R41" i="2" a="1"/>
  <c r="R41" i="2" s="1"/>
  <c r="R42" i="2" a="1"/>
  <c r="R42" i="2" s="1"/>
  <c r="G42" i="2" a="1"/>
  <c r="G42" i="2" s="1"/>
  <c r="P42" i="2" a="1"/>
  <c r="P42" i="2" s="1"/>
  <c r="P41" i="2" a="1"/>
  <c r="P41" i="2" s="1"/>
  <c r="O42" i="2" a="1"/>
  <c r="O42" i="2" s="1"/>
  <c r="O41" i="2" a="1"/>
  <c r="O41" i="2" s="1"/>
  <c r="N42" i="2" a="1"/>
  <c r="N42" i="2" s="1"/>
  <c r="N41" i="2" a="1"/>
  <c r="N41" i="2" s="1"/>
  <c r="F42" i="2" a="1"/>
  <c r="F42" i="2" s="1"/>
  <c r="F41" i="2" a="1"/>
  <c r="F41" i="2" s="1"/>
  <c r="M42" i="2" a="1"/>
  <c r="M42" i="2" s="1"/>
  <c r="M41" i="2" a="1"/>
  <c r="M41" i="2" s="1"/>
  <c r="J42" i="2" a="1"/>
  <c r="J42" i="2" s="1"/>
  <c r="L42" i="2" a="1"/>
  <c r="L42" i="2" s="1"/>
  <c r="L41" i="2" a="1"/>
  <c r="L41" i="2" s="1"/>
  <c r="I41" i="2" a="1"/>
  <c r="I41" i="2" s="1"/>
  <c r="I42" i="2" a="1"/>
  <c r="I42" i="2" s="1"/>
  <c r="K41" i="2" a="1"/>
  <c r="K41" i="2" s="1"/>
  <c r="K42" i="2" a="1"/>
  <c r="K42" i="2" s="1"/>
  <c r="J10" i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<sst xmlns="http://schemas.openxmlformats.org/spreadsheetml/2006/main" count="364" uniqueCount="176">
  <si>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</si>
  <si>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</si>
  <si>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</si>
  <si>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</si>
  <si>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</si>
  <si>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</si>
  <si>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</si>
  <si>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</si>
  <si>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</si>
  <si>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</si>
  <si>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</si>
  <si>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</si>
  <si>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</si>
  <si>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</si>
  <si>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</si>
  <si>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</si>
  <si>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</si>
  <si>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</si>
  <si>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</si>
  <si>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</si>
  <si>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</si>
  <si>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</si>
  <si>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</si>
  <si>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</si>
  <si>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</si>
  <si>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</si>
  <si>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</si>
  <si>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</si>
  <si>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</si>
  <si>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</si>
  <si>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</si>
  <si>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</si>
  <si>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</si>
  <si>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</si>
  <si>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</si>
  <si>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</si>
  <si>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</si>
  <si>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</si>
  <si>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</si>
  <si>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</si>
  <si>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</si>
  <si>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</si>
  <si>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</si>
  <si>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</si>
  <si>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</si>
  <si>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</si>
  <si>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</si>
  <si>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</si>
  <si>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</si>
  <si>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</si>
  <si>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</si>
  <si>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</si>
  <si>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</si>
  <si>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</si>
  <si>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</si>
  <si>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</si>
  <si>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</si>
  <si>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</si>
  <si>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</si>
  <si>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</si>
  <si>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</si>
  <si>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</si>
  <si>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</si>
  <si>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</si>
  <si>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</si>
  <si>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</si>
  <si>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</si>
  <si>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</si>
  <si>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</si>
  <si>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</si>
  <si>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</si>
  <si>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</si>
  <si>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</si>
  <si>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</si>
  <si>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</si>
  <si>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</si>
  <si>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</si>
  <si>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</si>
  <si>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</si>
  <si>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</si>
  <si>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</si>
  <si>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</si>
  <si>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</si>
  <si>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</si>
  <si>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</si>
  <si>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</si>
  <si>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</si>
  <si>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</si>
  <si>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</si>
  <si>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</si>
  <si>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</si>
  <si>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</si>
  <si>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</si>
  <si>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</si>
  <si>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</si>
  <si>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</si>
  <si>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</si>
  <si>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</si>
  <si>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</si>
  <si>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</si>
  <si>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</si>
  <si>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</si>
  <si>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</si>
  <si>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</si>
  <si>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</si>
  <si>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</si>
  <si>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</si>
  <si>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</si>
  <si>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</si>
  <si>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</si>
  <si>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</si>
  <si>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</si>
  <si>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</si>
  <si>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</si>
  <si>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</si>
  <si>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</si>
  <si>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</si>
  <si>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</si>
  <si>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</si>
  <si>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</si>
  <si>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</si>
  <si>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</si>
  <si>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</si>
  <si>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</si>
  <si>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</si>
  <si>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</si>
  <si>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</si>
  <si>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</si>
  <si>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</si>
  <si>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</si>
  <si>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</si>
  <si>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</si>
  <si>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</si>
  <si>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</si>
  <si>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</si>
  <si>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</si>
  <si>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</si>
  <si>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</si>
  <si>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</si>
  <si>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</si>
  <si>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</si>
  <si>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</si>
  <si>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</si>
  <si>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</si>
  <si>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</si>
  <si>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</si>
  <si>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</si>
  <si>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</si>
  <si>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</si>
  <si>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</si>
  <si>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</si>
  <si>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</si>
  <si>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</si>
  <si>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</si>
  <si>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</si>
  <si>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</si>
  <si>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</si>
  <si>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</si>
  <si>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</si>
  <si>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</si>
  <si>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</si>
  <si>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</si>
  <si>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</si>
  <si>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</si>
  <si>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</si>
  <si>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</si>
  <si>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which is inline with the confidence interval in step1. If this value is unsatisfactory, use confidence interval.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</si>
  <si>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</si>
  <si>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</si>
  <si>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ABT</t>
  </si>
  <si>
    <t>2017Q4</t>
  </si>
  <si>
    <t>ABT_EP</t>
  </si>
  <si>
    <t>ELECTROPHYSIOLOGY</t>
  </si>
  <si>
    <t xml:space="preserve">AVG </t>
  </si>
  <si>
    <t>AVG RM 2020Q2</t>
  </si>
  <si>
    <t>SS_NO_LR RM 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</si>
</sst>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2" fillId="0" borderId="3" xfId="0" applyNumberFormat="1" applyFont="1" applyBorder="1"/>
    <xf numFmtId="165" fontId="4" fillId="0" borderId="3" xfId="0" applyNumberFormat="1" applyFont="1" applyBorder="1"/>
    <xf numFmtId="164" fontId="2" fillId="0" borderId="0" xfId="1" applyNumberFormat="1" applyFon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6" fontId="0" fillId="0" borderId="10" xfId="0" applyNumberFormat="1" applyBorder="1"/>
    <xf numFmtId="166" fontId="0" fillId="0" borderId="5" xfId="0" applyNumberFormat="1" applyBorder="1"/>
    <xf numFmtId="164" fontId="0" fillId="0" borderId="3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9" fontId="0" fillId="3" borderId="0" xfId="1" applyFont="1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6" fontId="4" fillId="0" borderId="0" xfId="0" applyNumberFormat="1" applyFont="1" applyBorder="1"/>
    <xf numFmtId="166" fontId="4" fillId="0" borderId="3" xfId="0" applyNumberFormat="1" applyFont="1" applyBorder="1"/>
    <xf numFmtId="166" fontId="0" fillId="0" borderId="0" xfId="0" applyNumberFormat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zoomScale="70" zoomScaleNormal="70" workbookViewId="0">
      <selection sqref="A1:C3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44" t="s">
        <v>171</v>
      </c>
      <c r="B1" s="145"/>
      <c r="C1" s="146"/>
      <c r="K1" s="153" t="s">
        <v>35</v>
      </c>
      <c r="L1" s="154"/>
      <c r="M1" s="64" t="s">
        <v>31</v>
      </c>
      <c r="N1" s="64" t="s">
        <v>32</v>
      </c>
      <c r="O1" s="4" t="s">
        <v>39</v>
      </c>
      <c r="P1" s="155" t="s">
        <v>41</v>
      </c>
      <c r="Q1" s="156"/>
    </row>
    <row r="2" spans="1:37" x14ac:dyDescent="0.2">
      <c r="A2" s="147"/>
      <c r="B2" s="148"/>
      <c r="C2" s="149"/>
      <c r="K2" s="62" t="s">
        <v>37</v>
      </c>
      <c r="L2" s="63"/>
      <c r="M2" s="65">
        <f>$B$7*($AK$25-2*$AK$26)</f>
        <v>191.23535745557962</v>
      </c>
      <c r="N2" s="65">
        <f>$B$7*($AK$25+2*$AK$26)</f>
        <v>215.6368378630653</v>
      </c>
      <c r="O2" s="68">
        <f>AVERAGE(M2:N2)</f>
        <v>203.43609765932246</v>
      </c>
      <c r="P2" s="157">
        <f>$O$2/AF14-1</f>
        <v>5.956300864230446E-2</v>
      </c>
      <c r="Q2" s="158"/>
    </row>
    <row r="3" spans="1:37" x14ac:dyDescent="0.2">
      <c r="A3" s="150"/>
      <c r="B3" s="151"/>
      <c r="C3" s="152"/>
      <c r="K3" s="47" t="s">
        <v>38</v>
      </c>
      <c r="L3" s="20"/>
      <c r="M3" s="67">
        <f>$C$7*($AK$25-2*$AK$26)</f>
        <v>205.72167820952683</v>
      </c>
      <c r="N3" s="67">
        <f>$C$7*($AK$25+2*$AK$26)</f>
        <v>231.97160169133315</v>
      </c>
      <c r="O3" s="69">
        <f>AVERAGE(M3:N3)</f>
        <v>218.84663995042999</v>
      </c>
      <c r="P3" s="159">
        <f>$O$3/AF15-1</f>
        <v>0.13982624974182278</v>
      </c>
      <c r="Q3" s="160"/>
    </row>
    <row r="4" spans="1:37" x14ac:dyDescent="0.2">
      <c r="A4" s="53"/>
      <c r="B4" s="53"/>
      <c r="C4" s="53"/>
      <c r="N4" s="4" t="s">
        <v>40</v>
      </c>
      <c r="O4" s="69">
        <f>AVERAGE(O2:O3)</f>
        <v>211.14136880487621</v>
      </c>
      <c r="P4" s="159">
        <f>$O$4/AF15-1</f>
        <v>9.9694629192063511E-2</v>
      </c>
      <c r="Q4" s="160"/>
    </row>
    <row r="5" spans="1:37" x14ac:dyDescent="0.2">
      <c r="A5" s="61" t="s">
        <v>34</v>
      </c>
      <c r="B5" s="51" t="s">
        <v>31</v>
      </c>
      <c r="C5" s="52" t="s">
        <v>32</v>
      </c>
      <c r="D5" s="100"/>
      <c r="E5" s="100"/>
    </row>
    <row r="6" spans="1:37" ht="15.75" x14ac:dyDescent="0.25">
      <c r="A6" s="55" t="s">
        <v>33</v>
      </c>
      <c r="B6" s="59">
        <v>38557.606224738804</v>
      </c>
      <c r="C6" s="60">
        <v>41478.393775261196</v>
      </c>
    </row>
    <row r="7" spans="1:37" ht="14.25" x14ac:dyDescent="0.2">
      <c r="A7" s="56" t="s">
        <v>36</v>
      </c>
      <c r="B7" s="57">
        <f>B6*$AK$24</f>
        <v>803.3524224881329</v>
      </c>
      <c r="C7" s="58">
        <f>C6*$AK$24</f>
        <v>864.20738689149539</v>
      </c>
    </row>
    <row r="8" spans="1:37" x14ac:dyDescent="0.2">
      <c r="F8" s="53"/>
      <c r="G8" s="53"/>
      <c r="H8" s="53"/>
    </row>
    <row r="9" spans="1:37" x14ac:dyDescent="0.2">
      <c r="F9" s="53"/>
      <c r="G9" s="53"/>
      <c r="H9" s="53"/>
    </row>
    <row r="10" spans="1:37" x14ac:dyDescent="0.2">
      <c r="H10" s="143" t="s">
        <v>15</v>
      </c>
      <c r="I10" s="143"/>
      <c r="J10" s="37">
        <f>AVERAGE(F13:AJ13)</f>
        <v>1.1010003624274811</v>
      </c>
      <c r="AG10" s="143" t="s">
        <v>16</v>
      </c>
      <c r="AH10" s="143"/>
      <c r="AI10" s="143"/>
      <c r="AJ10" s="89">
        <f>AVERAGE(AH13:AJ13)</f>
        <v>1.308960027100271</v>
      </c>
    </row>
    <row r="11" spans="1:37" x14ac:dyDescent="0.2">
      <c r="A11" s="54" t="s">
        <v>6</v>
      </c>
      <c r="B11" s="112">
        <v>2013</v>
      </c>
      <c r="C11" s="113"/>
      <c r="D11" s="113"/>
      <c r="E11" s="114"/>
      <c r="F11" s="130">
        <v>2014</v>
      </c>
      <c r="G11" s="130"/>
      <c r="H11" s="130"/>
      <c r="I11" s="131"/>
      <c r="J11" s="132">
        <v>2015</v>
      </c>
      <c r="K11" s="133"/>
      <c r="L11" s="133"/>
      <c r="M11" s="134"/>
      <c r="N11" s="132">
        <v>2016</v>
      </c>
      <c r="O11" s="133"/>
      <c r="P11" s="133"/>
      <c r="Q11" s="134"/>
      <c r="R11" s="135">
        <v>2017</v>
      </c>
      <c r="S11" s="136"/>
      <c r="T11" s="136"/>
      <c r="U11" s="137"/>
      <c r="V11" s="161">
        <v>2018</v>
      </c>
      <c r="W11" s="162"/>
      <c r="X11" s="162"/>
      <c r="Y11" s="163"/>
      <c r="Z11" s="138">
        <v>2019</v>
      </c>
      <c r="AA11" s="139"/>
      <c r="AB11" s="139"/>
      <c r="AC11" s="140"/>
      <c r="AD11" s="141">
        <v>2020</v>
      </c>
      <c r="AE11" s="130"/>
      <c r="AF11" s="130"/>
      <c r="AG11" s="131"/>
      <c r="AH11" s="132">
        <v>2021</v>
      </c>
      <c r="AI11" s="133"/>
      <c r="AJ11" s="133"/>
      <c r="AK11" s="134"/>
    </row>
    <row r="12" spans="1:37" x14ac:dyDescent="0.2">
      <c r="A12" s="15" t="s">
        <v>19</v>
      </c>
      <c r="B12" s="90" t="s">
        <v>20</v>
      </c>
      <c r="C12" s="91" t="s">
        <v>3</v>
      </c>
      <c r="D12" s="91" t="s">
        <v>4</v>
      </c>
      <c r="E12" s="92" t="s">
        <v>5</v>
      </c>
      <c r="F12" s="21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2" t="s">
        <v>20</v>
      </c>
      <c r="O12" s="23" t="s">
        <v>3</v>
      </c>
      <c r="P12" s="23" t="s">
        <v>4</v>
      </c>
      <c r="Q12" s="23" t="s">
        <v>5</v>
      </c>
      <c r="R12" s="24" t="s">
        <v>20</v>
      </c>
      <c r="S12" s="25" t="s">
        <v>3</v>
      </c>
      <c r="T12" s="25" t="s">
        <v>4</v>
      </c>
      <c r="U12" s="25" t="s">
        <v>5</v>
      </c>
      <c r="V12" s="26" t="s">
        <v>20</v>
      </c>
      <c r="W12" s="27" t="s">
        <v>3</v>
      </c>
      <c r="X12" s="27" t="s">
        <v>4</v>
      </c>
      <c r="Y12" s="27" t="s">
        <v>5</v>
      </c>
      <c r="Z12" s="28" t="s">
        <v>20</v>
      </c>
      <c r="AA12" s="29" t="s">
        <v>3</v>
      </c>
      <c r="AB12" s="29" t="s">
        <v>4</v>
      </c>
      <c r="AC12" s="29" t="s">
        <v>5</v>
      </c>
      <c r="AD12" s="30" t="s">
        <v>20</v>
      </c>
      <c r="AE12" s="21" t="s">
        <v>3</v>
      </c>
      <c r="AF12" s="21" t="s">
        <v>4</v>
      </c>
      <c r="AG12" s="21" t="s">
        <v>5</v>
      </c>
      <c r="AH12" s="39" t="s">
        <v>20</v>
      </c>
      <c r="AI12" s="40" t="s">
        <v>3</v>
      </c>
      <c r="AJ12" s="41" t="s">
        <v>21</v>
      </c>
      <c r="AK12" s="31" t="s">
        <v>22</v>
      </c>
    </row>
    <row r="13" spans="1:37" x14ac:dyDescent="0.2">
      <c r="A13" s="36" t="s">
        <v>2</v>
      </c>
      <c r="B13" s="32"/>
      <c r="C13" s="32"/>
      <c r="D13" s="32"/>
      <c r="E13" s="32"/>
      <c r="F13" s="96"/>
      <c r="G13" s="96"/>
      <c r="H13" s="97"/>
      <c r="I13" s="98"/>
      <c r="J13" s="99"/>
      <c r="K13" s="99"/>
      <c r="L13" s="99"/>
      <c r="M13" s="99"/>
      <c r="N13" s="99">
        <f t="shared" ref="N13:AI13" si="0">N15/J15</f>
        <v>1.1389128559102675</v>
      </c>
      <c r="O13" s="99">
        <f t="shared" si="0"/>
        <v>1.1426188490408673</v>
      </c>
      <c r="P13" s="99">
        <f t="shared" si="0"/>
        <v>1.1047928513403737</v>
      </c>
      <c r="Q13" s="99">
        <f t="shared" si="0"/>
        <v>1.1346938775510205</v>
      </c>
      <c r="R13" s="99">
        <f t="shared" si="0"/>
        <v>1.0984848484848484</v>
      </c>
      <c r="S13" s="99">
        <f t="shared" si="0"/>
        <v>1.1240875912408759</v>
      </c>
      <c r="T13" s="99">
        <f t="shared" si="0"/>
        <v>1.0808823529411764</v>
      </c>
      <c r="U13" s="99">
        <f t="shared" si="0"/>
        <v>1.1726618705035972</v>
      </c>
      <c r="V13" s="99">
        <f t="shared" si="0"/>
        <v>1.096551724137931</v>
      </c>
      <c r="W13" s="99">
        <f t="shared" si="0"/>
        <v>1.1038961038961039</v>
      </c>
      <c r="X13" s="99">
        <f t="shared" si="0"/>
        <v>1.1428571428571428</v>
      </c>
      <c r="Y13" s="99">
        <f t="shared" si="0"/>
        <v>1.0920245398773005</v>
      </c>
      <c r="Z13" s="99">
        <f t="shared" si="0"/>
        <v>1.10062893081761</v>
      </c>
      <c r="AA13" s="99">
        <f t="shared" si="0"/>
        <v>1.1176470588235294</v>
      </c>
      <c r="AB13" s="99">
        <f t="shared" si="0"/>
        <v>1.1011904761904763</v>
      </c>
      <c r="AC13" s="99">
        <f t="shared" si="0"/>
        <v>1.0842696629213484</v>
      </c>
      <c r="AD13" s="99">
        <f t="shared" si="0"/>
        <v>0.93714285714285717</v>
      </c>
      <c r="AE13" s="99">
        <f t="shared" si="0"/>
        <v>0.63157894736842102</v>
      </c>
      <c r="AF13" s="99">
        <f t="shared" si="0"/>
        <v>1.0378378378378379</v>
      </c>
      <c r="AG13" s="99">
        <f t="shared" si="0"/>
        <v>0.95336787564766834</v>
      </c>
      <c r="AH13" s="99">
        <f t="shared" si="0"/>
        <v>1.0914634146341464</v>
      </c>
      <c r="AI13" s="99">
        <f t="shared" si="0"/>
        <v>1.7416666666666667</v>
      </c>
      <c r="AJ13" s="99">
        <f>AJ14/AF14</f>
        <v>1.09375</v>
      </c>
      <c r="AK13" s="33"/>
    </row>
    <row r="14" spans="1:37" x14ac:dyDescent="0.2">
      <c r="A14" s="16" t="s">
        <v>0</v>
      </c>
      <c r="B14" s="8"/>
      <c r="C14" s="8"/>
      <c r="D14" s="8"/>
      <c r="E14" s="8"/>
      <c r="F14" s="8"/>
      <c r="G14" s="8"/>
      <c r="H14" s="8"/>
      <c r="I14" s="8"/>
      <c r="J14" s="10">
        <v>115.9</v>
      </c>
      <c r="K14" s="6">
        <v>119.9</v>
      </c>
      <c r="L14" s="6">
        <v>123.1</v>
      </c>
      <c r="M14" s="6">
        <v>122.5</v>
      </c>
      <c r="N14" s="10">
        <v>132</v>
      </c>
      <c r="O14" s="6">
        <v>137</v>
      </c>
      <c r="P14" s="6">
        <v>136</v>
      </c>
      <c r="Q14" s="6">
        <v>139</v>
      </c>
      <c r="R14" s="10">
        <v>144.9</v>
      </c>
      <c r="S14" s="6">
        <v>153.9</v>
      </c>
      <c r="T14" s="6">
        <v>146.9</v>
      </c>
      <c r="U14" s="6">
        <v>161.80000000000001</v>
      </c>
      <c r="V14" s="10">
        <v>169.7</v>
      </c>
      <c r="W14" s="6">
        <v>180.7</v>
      </c>
      <c r="X14" s="6">
        <v>173.9</v>
      </c>
      <c r="Y14" s="6">
        <v>184.3</v>
      </c>
      <c r="Z14" s="10">
        <v>176.4</v>
      </c>
      <c r="AA14" s="6">
        <v>190</v>
      </c>
      <c r="AB14" s="6">
        <v>185</v>
      </c>
      <c r="AC14" s="6">
        <v>192.9</v>
      </c>
      <c r="AD14" s="10">
        <v>164.1</v>
      </c>
      <c r="AE14" s="6">
        <v>119.9</v>
      </c>
      <c r="AF14" s="6">
        <v>192</v>
      </c>
      <c r="AG14" s="6">
        <v>184</v>
      </c>
      <c r="AH14" s="6">
        <v>179</v>
      </c>
      <c r="AI14" s="6">
        <v>209</v>
      </c>
      <c r="AJ14" s="6">
        <v>210</v>
      </c>
      <c r="AK14" s="6">
        <v>214.9</v>
      </c>
    </row>
    <row r="15" spans="1:37" x14ac:dyDescent="0.2">
      <c r="A15" s="16" t="s">
        <v>1</v>
      </c>
      <c r="B15" s="6"/>
      <c r="C15" s="6"/>
      <c r="D15" s="6"/>
      <c r="E15" s="6"/>
      <c r="F15" s="6"/>
      <c r="G15" s="6"/>
      <c r="H15" s="6"/>
      <c r="I15" s="6"/>
      <c r="J15" s="10">
        <v>115.9</v>
      </c>
      <c r="K15" s="6">
        <v>119.9</v>
      </c>
      <c r="L15" s="6">
        <v>123.1</v>
      </c>
      <c r="M15" s="6">
        <v>122.5</v>
      </c>
      <c r="N15" s="10">
        <v>132</v>
      </c>
      <c r="O15" s="6">
        <v>137</v>
      </c>
      <c r="P15" s="6">
        <v>136</v>
      </c>
      <c r="Q15" s="6">
        <v>139</v>
      </c>
      <c r="R15" s="10">
        <v>145</v>
      </c>
      <c r="S15" s="6">
        <v>154</v>
      </c>
      <c r="T15" s="6">
        <v>147</v>
      </c>
      <c r="U15" s="6">
        <v>163</v>
      </c>
      <c r="V15" s="10">
        <v>159</v>
      </c>
      <c r="W15" s="6">
        <v>170</v>
      </c>
      <c r="X15" s="6">
        <v>168</v>
      </c>
      <c r="Y15" s="6">
        <v>178</v>
      </c>
      <c r="Z15" s="10">
        <v>175</v>
      </c>
      <c r="AA15" s="6">
        <v>190</v>
      </c>
      <c r="AB15" s="6">
        <v>185</v>
      </c>
      <c r="AC15" s="6">
        <v>193</v>
      </c>
      <c r="AD15" s="10">
        <v>164</v>
      </c>
      <c r="AE15" s="6">
        <v>120</v>
      </c>
      <c r="AF15" s="6">
        <v>192</v>
      </c>
      <c r="AG15" s="6">
        <v>184</v>
      </c>
      <c r="AH15" s="10">
        <v>179</v>
      </c>
      <c r="AI15" s="6">
        <v>209</v>
      </c>
      <c r="AJ15" s="10"/>
      <c r="AK15" s="11"/>
    </row>
    <row r="16" spans="1:37" x14ac:dyDescent="0.2">
      <c r="A16" s="16" t="s">
        <v>158</v>
      </c>
      <c r="B16" s="10"/>
      <c r="C16" s="6"/>
      <c r="D16" s="6"/>
      <c r="E16" s="11"/>
      <c r="F16" s="10"/>
      <c r="G16" s="6"/>
      <c r="H16" s="6"/>
      <c r="I16" s="11"/>
      <c r="J16" s="10">
        <v>4897</v>
      </c>
      <c r="K16" s="6">
        <v>5170</v>
      </c>
      <c r="L16" s="6">
        <v>5150</v>
      </c>
      <c r="M16" s="11">
        <v>5188</v>
      </c>
      <c r="N16" s="10">
        <v>4885</v>
      </c>
      <c r="O16" s="6">
        <v>5333</v>
      </c>
      <c r="P16" s="6">
        <v>5302</v>
      </c>
      <c r="Q16" s="11">
        <v>5333</v>
      </c>
      <c r="R16" s="10">
        <v>6335</v>
      </c>
      <c r="S16" s="6">
        <v>6637</v>
      </c>
      <c r="T16" s="6">
        <v>6829</v>
      </c>
      <c r="U16" s="11">
        <v>7589</v>
      </c>
      <c r="V16" s="10">
        <v>7390</v>
      </c>
      <c r="W16" s="6">
        <v>7767</v>
      </c>
      <c r="X16" s="6">
        <v>7656</v>
      </c>
      <c r="Y16" s="11">
        <v>7765</v>
      </c>
      <c r="Z16" s="10">
        <v>7535</v>
      </c>
      <c r="AA16" s="6">
        <v>7979</v>
      </c>
      <c r="AB16" s="6">
        <v>8076</v>
      </c>
      <c r="AC16" s="11">
        <v>8314</v>
      </c>
      <c r="AD16" s="10">
        <v>7726</v>
      </c>
      <c r="AE16" s="6">
        <v>7328</v>
      </c>
      <c r="AF16" s="6">
        <v>8853</v>
      </c>
      <c r="AG16" s="11">
        <v>10701</v>
      </c>
      <c r="AH16" s="10">
        <v>10456</v>
      </c>
      <c r="AI16">
        <v>10223</v>
      </c>
      <c r="AJ16" s="93">
        <v>9554.4</v>
      </c>
      <c r="AK16" s="11"/>
    </row>
    <row r="17" spans="1:38" x14ac:dyDescent="0.2">
      <c r="A17" s="101" t="s">
        <v>18</v>
      </c>
      <c r="B17" s="102"/>
      <c r="C17" s="102"/>
      <c r="D17" s="102"/>
      <c r="E17" s="102"/>
      <c r="F17" s="102"/>
      <c r="G17" s="102"/>
      <c r="H17" s="102"/>
      <c r="I17" s="102"/>
      <c r="J17" s="103">
        <f>J15/J16</f>
        <v>2.3667551562180929E-2</v>
      </c>
      <c r="K17" s="103">
        <f>K15/K16</f>
        <v>2.3191489361702129E-2</v>
      </c>
      <c r="L17" s="103">
        <f>L15/L16</f>
        <v>2.3902912621359223E-2</v>
      </c>
      <c r="M17" s="103">
        <f t="shared" ref="M17:AA17" si="1">M15/M16</f>
        <v>2.3612181958365459E-2</v>
      </c>
      <c r="N17" s="103">
        <f t="shared" si="1"/>
        <v>2.7021494370522006E-2</v>
      </c>
      <c r="O17" s="103">
        <f t="shared" si="1"/>
        <v>2.5689105569098068E-2</v>
      </c>
      <c r="P17" s="103">
        <f t="shared" si="1"/>
        <v>2.5650697849867975E-2</v>
      </c>
      <c r="Q17" s="103">
        <f t="shared" si="1"/>
        <v>2.6064129008063004E-2</v>
      </c>
      <c r="R17" s="103">
        <f t="shared" si="1"/>
        <v>2.2888713496448304E-2</v>
      </c>
      <c r="S17" s="103">
        <f t="shared" si="1"/>
        <v>2.3203254482446888E-2</v>
      </c>
      <c r="T17" s="103">
        <f t="shared" si="1"/>
        <v>2.1525845658222287E-2</v>
      </c>
      <c r="U17" s="103">
        <f t="shared" si="1"/>
        <v>2.1478455659507182E-2</v>
      </c>
      <c r="V17" s="103">
        <f t="shared" si="1"/>
        <v>2.1515561569688767E-2</v>
      </c>
      <c r="W17" s="103">
        <f t="shared" si="1"/>
        <v>2.1887472640659201E-2</v>
      </c>
      <c r="X17" s="103">
        <f t="shared" si="1"/>
        <v>2.1943573667711599E-2</v>
      </c>
      <c r="Y17" s="103">
        <f t="shared" si="1"/>
        <v>2.2923374114616871E-2</v>
      </c>
      <c r="Z17" s="103">
        <f t="shared" si="1"/>
        <v>2.3224950232249502E-2</v>
      </c>
      <c r="AA17" s="103">
        <f t="shared" si="1"/>
        <v>2.3812507833061786E-2</v>
      </c>
      <c r="AB17" s="103">
        <f t="shared" ref="AB17:AE17" si="2">AB15/AB16</f>
        <v>2.2907379891035164E-2</v>
      </c>
      <c r="AC17" s="103">
        <f t="shared" si="2"/>
        <v>2.3213856146259322E-2</v>
      </c>
      <c r="AD17" s="103">
        <f t="shared" si="2"/>
        <v>2.1227025627750452E-2</v>
      </c>
      <c r="AE17" s="103">
        <f t="shared" si="2"/>
        <v>1.6375545851528384E-2</v>
      </c>
      <c r="AF17" s="103">
        <f>AF15/AF16</f>
        <v>2.1687563537783804E-2</v>
      </c>
      <c r="AG17" s="103">
        <f>AG15/AG16</f>
        <v>1.719465470516774E-2</v>
      </c>
      <c r="AH17" s="103">
        <f>AH15/AH16</f>
        <v>1.7119357306809486E-2</v>
      </c>
      <c r="AI17" s="103">
        <f>AI15/AI16</f>
        <v>2.0444096644820504E-2</v>
      </c>
      <c r="AJ17" s="104">
        <f>AJ14/AJ16</f>
        <v>2.197940216026124E-2</v>
      </c>
      <c r="AK17" s="105"/>
    </row>
    <row r="18" spans="1:38" x14ac:dyDescent="0.2">
      <c r="A18" s="101" t="s">
        <v>24</v>
      </c>
      <c r="B18" s="103"/>
      <c r="C18" s="103"/>
      <c r="D18" s="103"/>
      <c r="E18" s="106"/>
      <c r="F18" s="103"/>
      <c r="G18" s="103"/>
      <c r="H18" s="103"/>
      <c r="I18" s="106"/>
      <c r="J18" s="103">
        <f>J15/SUM(J15:M15)</f>
        <v>0.24075612796011636</v>
      </c>
      <c r="K18" s="103">
        <f>K15/SUM(J15:M15)</f>
        <v>0.24906522642293313</v>
      </c>
      <c r="L18" s="103">
        <f>L15/SUM(J15:M15)</f>
        <v>0.25571250519318656</v>
      </c>
      <c r="M18" s="106">
        <f>M15/SUM(J15:M15)</f>
        <v>0.25446614042376403</v>
      </c>
      <c r="N18" s="103">
        <f>N15/SUM(N15:Q15)</f>
        <v>0.24264705882352941</v>
      </c>
      <c r="O18" s="103">
        <f>O15/SUM(N15:Q15)</f>
        <v>0.25183823529411764</v>
      </c>
      <c r="P18" s="103">
        <f>P15/SUM(N15:Q15)</f>
        <v>0.25</v>
      </c>
      <c r="Q18" s="106">
        <f>Q15/SUM(N15:Q15)</f>
        <v>0.25551470588235292</v>
      </c>
      <c r="R18" s="103">
        <f>R15/SUM(R15:U15)</f>
        <v>0.23809523809523808</v>
      </c>
      <c r="S18" s="103">
        <f>S15/SUM(R15:U15)</f>
        <v>0.25287356321839083</v>
      </c>
      <c r="T18" s="103">
        <f>T15/SUM(R15:U15)</f>
        <v>0.2413793103448276</v>
      </c>
      <c r="U18" s="106">
        <f>U15/SUM(R15:U15)</f>
        <v>0.26765188834154352</v>
      </c>
      <c r="V18" s="103">
        <f>V15/SUM(V15:Y15)</f>
        <v>0.23555555555555555</v>
      </c>
      <c r="W18" s="103">
        <f>W15/SUM(V15:Y15)</f>
        <v>0.25185185185185183</v>
      </c>
      <c r="X18" s="103">
        <f>X15/SUM(V15:Y15)</f>
        <v>0.24888888888888888</v>
      </c>
      <c r="Y18" s="106">
        <f>Y15/SUM(V15:Y15)</f>
        <v>0.26370370370370372</v>
      </c>
      <c r="Z18" s="103">
        <f>Z15/SUM(Z15:AC15)</f>
        <v>0.23553162853297444</v>
      </c>
      <c r="AA18" s="103">
        <f>AA15/SUM(Z15:AC15)</f>
        <v>0.25572005383580082</v>
      </c>
      <c r="AB18" s="103">
        <f>AB15/SUM(Z15:AC15)</f>
        <v>0.24899057873485869</v>
      </c>
      <c r="AC18" s="106">
        <f>AC15/SUM(Z15:AC15)</f>
        <v>0.25975773889636611</v>
      </c>
      <c r="AD18" s="103"/>
      <c r="AE18" s="103"/>
      <c r="AF18" s="103"/>
      <c r="AG18" s="106"/>
      <c r="AH18" s="103">
        <f>AH15/SUM(AH15:AI15,AJ14:AK14)</f>
        <v>0.22019928650510517</v>
      </c>
      <c r="AI18" s="103">
        <f>AI15/SUM(AH15:AI15,AJ14:AK14)</f>
        <v>0.25710419485791614</v>
      </c>
      <c r="AJ18" s="103">
        <f>AJ14/SUM(AH15:AI15,AJ14:AK14)</f>
        <v>0.25833435846967645</v>
      </c>
      <c r="AK18" s="106">
        <f>AK14/SUM(AH15:AI15,AJ14:AK14)</f>
        <v>0.26436216016730224</v>
      </c>
      <c r="AL18" s="3"/>
    </row>
    <row r="19" spans="1:38" x14ac:dyDescent="0.2">
      <c r="A19" s="17" t="s">
        <v>17</v>
      </c>
      <c r="B19" s="13"/>
      <c r="C19" s="13"/>
      <c r="D19" s="13"/>
      <c r="E19" s="13"/>
      <c r="F19" s="13"/>
      <c r="G19" s="13"/>
      <c r="H19" s="13"/>
      <c r="I19" s="13"/>
      <c r="J19" s="12"/>
      <c r="K19" s="13"/>
      <c r="L19" s="13"/>
      <c r="M19" s="13"/>
      <c r="N19" s="12"/>
      <c r="O19" s="13"/>
      <c r="P19" s="13"/>
      <c r="Q19" s="6"/>
      <c r="R19" s="94">
        <v>136.69999999999999</v>
      </c>
      <c r="S19" s="94">
        <v>149.9</v>
      </c>
      <c r="T19" s="94">
        <v>151.9</v>
      </c>
      <c r="U19" s="94">
        <v>153.6</v>
      </c>
      <c r="V19" s="94">
        <v>165</v>
      </c>
      <c r="W19" s="67">
        <v>184.3</v>
      </c>
      <c r="X19" s="67">
        <v>180.4</v>
      </c>
      <c r="Y19" s="67">
        <v>193.4</v>
      </c>
      <c r="Z19" s="94">
        <v>209.7</v>
      </c>
      <c r="AA19" s="67">
        <v>213.6</v>
      </c>
      <c r="AB19" s="67">
        <v>189.9</v>
      </c>
      <c r="AC19" s="67">
        <v>203.1</v>
      </c>
      <c r="AD19" s="94">
        <v>186.5</v>
      </c>
      <c r="AE19" s="67">
        <v>76.8</v>
      </c>
      <c r="AF19" s="67">
        <v>166.3</v>
      </c>
      <c r="AG19" s="67">
        <v>205</v>
      </c>
      <c r="AH19" s="94">
        <v>184</v>
      </c>
      <c r="AI19" s="67">
        <v>194.1</v>
      </c>
      <c r="AJ19" s="95">
        <v>211.1</v>
      </c>
      <c r="AK19" s="14">
        <v>213.9</v>
      </c>
    </row>
    <row r="20" spans="1:38" x14ac:dyDescent="0.2">
      <c r="M20" s="124" t="s">
        <v>7</v>
      </c>
      <c r="N20" s="142"/>
      <c r="O20" s="7"/>
      <c r="P20" s="8"/>
      <c r="Q20" s="8"/>
      <c r="R20" s="8">
        <f t="shared" ref="R20:AI20" si="3">IF(R15&gt;R19,1,0)</f>
        <v>1</v>
      </c>
      <c r="S20" s="8">
        <f t="shared" si="3"/>
        <v>1</v>
      </c>
      <c r="T20" s="8">
        <f t="shared" si="3"/>
        <v>0</v>
      </c>
      <c r="U20" s="8">
        <f t="shared" si="3"/>
        <v>1</v>
      </c>
      <c r="V20" s="8">
        <f t="shared" si="3"/>
        <v>0</v>
      </c>
      <c r="W20" s="8">
        <f t="shared" si="3"/>
        <v>0</v>
      </c>
      <c r="X20" s="8">
        <f t="shared" si="3"/>
        <v>0</v>
      </c>
      <c r="Y20" s="8">
        <f t="shared" si="3"/>
        <v>0</v>
      </c>
      <c r="Z20" s="8">
        <f t="shared" si="3"/>
        <v>0</v>
      </c>
      <c r="AA20" s="8">
        <f t="shared" si="3"/>
        <v>0</v>
      </c>
      <c r="AB20" s="8">
        <f t="shared" si="3"/>
        <v>0</v>
      </c>
      <c r="AC20" s="8">
        <f t="shared" si="3"/>
        <v>0</v>
      </c>
      <c r="AD20" s="8">
        <f t="shared" si="3"/>
        <v>0</v>
      </c>
      <c r="AE20" s="8">
        <f t="shared" si="3"/>
        <v>1</v>
      </c>
      <c r="AF20" s="8">
        <f t="shared" si="3"/>
        <v>1</v>
      </c>
      <c r="AG20" s="8">
        <f t="shared" si="3"/>
        <v>0</v>
      </c>
      <c r="AH20" s="8">
        <f t="shared" si="3"/>
        <v>0</v>
      </c>
      <c r="AI20" s="9">
        <f t="shared" si="3"/>
        <v>1</v>
      </c>
      <c r="AJ20" s="47" t="s">
        <v>8</v>
      </c>
      <c r="AK20" s="44">
        <f>AVERAGE(O20:AI20)</f>
        <v>0.33333333333333331</v>
      </c>
    </row>
    <row r="21" spans="1:38" x14ac:dyDescent="0.2">
      <c r="M21" s="115" t="s">
        <v>9</v>
      </c>
      <c r="N21" s="116"/>
      <c r="O21" s="10"/>
      <c r="P21" s="6"/>
      <c r="Q21" s="6"/>
      <c r="R21" s="6"/>
      <c r="S21" s="6"/>
      <c r="T21" s="6"/>
      <c r="U21" s="6">
        <f>AVERAGE(R20:U20)</f>
        <v>0.75</v>
      </c>
      <c r="V21" s="6">
        <f t="shared" ref="V21:AI21" si="4">AVERAGE(S20:V20)</f>
        <v>0.5</v>
      </c>
      <c r="W21" s="6">
        <f t="shared" si="4"/>
        <v>0.25</v>
      </c>
      <c r="X21" s="6">
        <f t="shared" si="4"/>
        <v>0.25</v>
      </c>
      <c r="Y21" s="6">
        <f t="shared" si="4"/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0.25</v>
      </c>
      <c r="AF21" s="6">
        <f t="shared" si="4"/>
        <v>0.5</v>
      </c>
      <c r="AG21" s="6">
        <f t="shared" si="4"/>
        <v>0.5</v>
      </c>
      <c r="AH21" s="6">
        <f>AVERAGE(AE20:AH20)</f>
        <v>0.5</v>
      </c>
      <c r="AI21" s="11">
        <f t="shared" si="4"/>
        <v>0.5</v>
      </c>
      <c r="AJ21" s="43" t="s">
        <v>10</v>
      </c>
      <c r="AK21" s="44">
        <f>AVERAGE(R21:AI21)</f>
        <v>0.26666666666666666</v>
      </c>
    </row>
    <row r="22" spans="1:38" x14ac:dyDescent="0.2">
      <c r="M22" s="128" t="s">
        <v>11</v>
      </c>
      <c r="N22" s="129"/>
      <c r="O22" s="48"/>
      <c r="P22" s="19"/>
      <c r="Q22" s="19"/>
      <c r="R22" s="19">
        <f t="shared" ref="R22:AI22" si="5">R15/R19-1</f>
        <v>6.0716898317483725E-2</v>
      </c>
      <c r="S22" s="19">
        <f t="shared" si="5"/>
        <v>2.7351567711807911E-2</v>
      </c>
      <c r="T22" s="19">
        <f t="shared" si="5"/>
        <v>-3.2258064516129115E-2</v>
      </c>
      <c r="U22" s="19">
        <f t="shared" si="5"/>
        <v>6.1197916666666741E-2</v>
      </c>
      <c r="V22" s="19">
        <f t="shared" si="5"/>
        <v>-3.6363636363636376E-2</v>
      </c>
      <c r="W22" s="19">
        <f t="shared" si="5"/>
        <v>-7.7590884427563789E-2</v>
      </c>
      <c r="X22" s="19">
        <f t="shared" si="5"/>
        <v>-6.8736141906873605E-2</v>
      </c>
      <c r="Y22" s="19">
        <f t="shared" si="5"/>
        <v>-7.9627714581178899E-2</v>
      </c>
      <c r="Z22" s="19">
        <f t="shared" si="5"/>
        <v>-0.16547448736289938</v>
      </c>
      <c r="AA22" s="19">
        <f t="shared" si="5"/>
        <v>-0.11048689138576773</v>
      </c>
      <c r="AB22" s="19">
        <f t="shared" si="5"/>
        <v>-2.5803054239073253E-2</v>
      </c>
      <c r="AC22" s="19">
        <f t="shared" si="5"/>
        <v>-4.9729197439684847E-2</v>
      </c>
      <c r="AD22" s="19">
        <f t="shared" si="5"/>
        <v>-0.12064343163538871</v>
      </c>
      <c r="AE22" s="19">
        <f t="shared" si="5"/>
        <v>0.5625</v>
      </c>
      <c r="AF22" s="19">
        <f t="shared" si="5"/>
        <v>0.15453998797354163</v>
      </c>
      <c r="AG22" s="19">
        <f t="shared" si="5"/>
        <v>-0.10243902439024388</v>
      </c>
      <c r="AH22" s="19">
        <f t="shared" si="5"/>
        <v>-2.7173913043478271E-2</v>
      </c>
      <c r="AI22" s="42">
        <f t="shared" si="5"/>
        <v>7.6764554353426107E-2</v>
      </c>
      <c r="AJ22" s="43" t="s">
        <v>13</v>
      </c>
      <c r="AK22" s="45">
        <f>MEDIAN(O22:AI22)</f>
        <v>-3.4310850439882745E-2</v>
      </c>
    </row>
    <row r="23" spans="1:38" x14ac:dyDescent="0.2">
      <c r="M23" s="115" t="s">
        <v>12</v>
      </c>
      <c r="N23" s="116"/>
      <c r="O23" s="12"/>
      <c r="P23" s="13"/>
      <c r="Q23" s="13"/>
      <c r="R23" s="34"/>
      <c r="S23" s="34"/>
      <c r="T23" s="34"/>
      <c r="U23" s="34">
        <f>AVERAGE(R22:U22)</f>
        <v>2.9252079544957316E-2</v>
      </c>
      <c r="V23" s="34">
        <f t="shared" ref="V23:AI23" si="6">AVERAGE(S22:V22)</f>
        <v>4.9819458746772904E-3</v>
      </c>
      <c r="W23" s="34">
        <f t="shared" si="6"/>
        <v>-2.1253667160165635E-2</v>
      </c>
      <c r="X23" s="34">
        <f t="shared" si="6"/>
        <v>-3.0373186507851757E-2</v>
      </c>
      <c r="Y23" s="34">
        <f t="shared" si="6"/>
        <v>-6.5579594319813167E-2</v>
      </c>
      <c r="Z23" s="34">
        <f t="shared" si="6"/>
        <v>-9.7857307069628918E-2</v>
      </c>
      <c r="AA23" s="34">
        <f t="shared" si="6"/>
        <v>-0.1060813088091799</v>
      </c>
      <c r="AB23" s="34">
        <f t="shared" si="6"/>
        <v>-9.5348036892229815E-2</v>
      </c>
      <c r="AC23" s="34">
        <f t="shared" si="6"/>
        <v>-8.7873407606856302E-2</v>
      </c>
      <c r="AD23" s="34">
        <f t="shared" si="6"/>
        <v>-7.6665643674978634E-2</v>
      </c>
      <c r="AE23" s="34">
        <f t="shared" si="6"/>
        <v>9.1581079171463298E-2</v>
      </c>
      <c r="AF23" s="34">
        <f t="shared" si="6"/>
        <v>0.13666683972461702</v>
      </c>
      <c r="AG23" s="34">
        <f t="shared" si="6"/>
        <v>0.12348938298697726</v>
      </c>
      <c r="AH23" s="34">
        <f t="shared" si="6"/>
        <v>0.14685676263495487</v>
      </c>
      <c r="AI23" s="35">
        <f t="shared" si="6"/>
        <v>2.5422901223311395E-2</v>
      </c>
      <c r="AJ23" s="20" t="s">
        <v>14</v>
      </c>
      <c r="AK23" s="35">
        <f>MEDIAN(O23:AI23)</f>
        <v>-2.1253667160165635E-2</v>
      </c>
    </row>
    <row r="24" spans="1:38" x14ac:dyDescent="0.2">
      <c r="M24" s="124" t="s">
        <v>25</v>
      </c>
      <c r="N24" s="125"/>
      <c r="O24" s="80">
        <f>AVERAGE(R22:S22,U22,AE22:AF22,AI22)</f>
        <v>0.15717848750382102</v>
      </c>
      <c r="P24" s="124" t="s">
        <v>29</v>
      </c>
      <c r="Q24" s="125"/>
      <c r="R24" s="49">
        <f>MEDIAN(R22:S22,U22,AE22:AF22,AI22)</f>
        <v>6.8981235510046424E-2</v>
      </c>
      <c r="AG24" s="117" t="s">
        <v>23</v>
      </c>
      <c r="AH24" s="118"/>
      <c r="AI24" s="118"/>
      <c r="AJ24" s="119"/>
      <c r="AK24" s="46">
        <f>AVERAGE(Z17:AJ17)</f>
        <v>2.083512181242976E-2</v>
      </c>
    </row>
    <row r="25" spans="1:38" x14ac:dyDescent="0.2">
      <c r="M25" s="126" t="s">
        <v>26</v>
      </c>
      <c r="N25" s="127"/>
      <c r="O25" s="35">
        <f>AVERAGE(T22,V22:AD22,AG22:AH22)</f>
        <v>-7.4693870107659821E-2</v>
      </c>
      <c r="P25" s="126" t="s">
        <v>30</v>
      </c>
      <c r="Q25" s="127"/>
      <c r="R25" s="35">
        <f>MEDIAN(T22,V22:AD22,AG22:AH22)</f>
        <v>-7.3163513167218697E-2</v>
      </c>
      <c r="AG25" s="120" t="s">
        <v>27</v>
      </c>
      <c r="AH25" s="121"/>
      <c r="AI25" s="121"/>
      <c r="AJ25" s="121"/>
      <c r="AK25" s="49">
        <f>AVERAGE(AJ18,P18,L18,X18)</f>
        <v>0.25323393813793799</v>
      </c>
    </row>
    <row r="26" spans="1:38" x14ac:dyDescent="0.2">
      <c r="AG26" s="122" t="s">
        <v>28</v>
      </c>
      <c r="AH26" s="123"/>
      <c r="AI26" s="123"/>
      <c r="AJ26" s="123"/>
      <c r="AK26" s="50">
        <f>_xlfn.STDEV.S(L18,T18,X18,AJ18)</f>
        <v>7.5936412601799669E-3</v>
      </c>
    </row>
    <row r="29" spans="1:38" ht="18" customHeight="1" x14ac:dyDescent="0.2"/>
  </sheetData>
  <mergeCells count="28">
    <mergeCell ref="M21:N21"/>
    <mergeCell ref="V11:Y11"/>
    <mergeCell ref="M24:N24"/>
    <mergeCell ref="M25:N25"/>
    <mergeCell ref="H10:I10"/>
    <mergeCell ref="AG10:AI10"/>
    <mergeCell ref="A1:C3"/>
    <mergeCell ref="K1:L1"/>
    <mergeCell ref="P1:Q1"/>
    <mergeCell ref="P2:Q2"/>
    <mergeCell ref="P3:Q3"/>
    <mergeCell ref="P4:Q4"/>
    <mergeCell ref="B11:E11"/>
    <mergeCell ref="M23:N23"/>
    <mergeCell ref="AG24:AJ24"/>
    <mergeCell ref="AG25:AJ25"/>
    <mergeCell ref="AG26:AJ26"/>
    <mergeCell ref="P24:Q24"/>
    <mergeCell ref="P25:Q25"/>
    <mergeCell ref="M22:N22"/>
    <mergeCell ref="F11:I11"/>
    <mergeCell ref="J11:M11"/>
    <mergeCell ref="N11:Q11"/>
    <mergeCell ref="R11:U11"/>
    <mergeCell ref="Z11:AC11"/>
    <mergeCell ref="AD11:AG11"/>
    <mergeCell ref="AH11:AK11"/>
    <mergeCell ref="M20:N20"/>
  </mergeCells>
  <conditionalFormatting sqref="O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4"/>
  <sheetViews>
    <sheetView zoomScale="85" zoomScaleNormal="85" workbookViewId="0">
      <selection activeCell="E21" sqref="E21:J21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7.85546875" bestFit="1" customWidth="1"/>
    <col min="6" max="6" width="12" bestFit="1" customWidth="1"/>
    <col min="7" max="7" width="10.5703125" bestFit="1" customWidth="1"/>
    <col min="8" max="8" width="19.5703125" bestFit="1" customWidth="1"/>
    <col min="9" max="9" width="13.42578125" bestFit="1" customWidth="1"/>
    <col min="10" max="10" width="7.570312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6" t="s">
        <v>76</v>
      </c>
      <c r="B4" s="166"/>
      <c r="T4" s="77" t="s">
        <v>167</v>
      </c>
    </row>
    <row r="5" spans="1:21" x14ac:dyDescent="0.2">
      <c r="A5" s="18" t="s">
        <v>56</v>
      </c>
      <c r="B5" s="18" t="s">
        <v>57</v>
      </c>
      <c r="C5" s="18" t="s">
        <v>68</v>
      </c>
      <c r="D5" s="18" t="s">
        <v>58</v>
      </c>
      <c r="E5" s="18" t="s">
        <v>59</v>
      </c>
      <c r="F5" s="18" t="s">
        <v>69</v>
      </c>
      <c r="G5" s="18" t="s">
        <v>60</v>
      </c>
      <c r="H5" s="18" t="s">
        <v>61</v>
      </c>
      <c r="I5" s="18" t="s">
        <v>70</v>
      </c>
      <c r="J5" s="18" t="s">
        <v>62</v>
      </c>
      <c r="K5" s="18" t="s">
        <v>63</v>
      </c>
      <c r="L5" s="18" t="s">
        <v>73</v>
      </c>
      <c r="M5" s="18" t="s">
        <v>64</v>
      </c>
      <c r="N5" s="18" t="s">
        <v>65</v>
      </c>
      <c r="O5" s="18" t="s">
        <v>74</v>
      </c>
      <c r="P5" s="18" t="s">
        <v>66</v>
      </c>
      <c r="Q5" s="18" t="s">
        <v>67</v>
      </c>
      <c r="R5" s="18" t="s">
        <v>0</v>
      </c>
      <c r="S5" s="18" t="s">
        <v>72</v>
      </c>
      <c r="T5" s="38" t="s">
        <v>0</v>
      </c>
      <c r="U5" s="38" t="s">
        <v>72</v>
      </c>
    </row>
    <row r="6" spans="1:21" x14ac:dyDescent="0.2">
      <c r="A6" t="s">
        <v>169</v>
      </c>
      <c r="B6" t="s">
        <v>172</v>
      </c>
      <c r="C6" s="6" t="s">
        <v>170</v>
      </c>
      <c r="D6" s="6">
        <v>20180118</v>
      </c>
      <c r="E6" s="65">
        <v>172.81703700899999</v>
      </c>
      <c r="F6" s="65">
        <v>169.1353411306396</v>
      </c>
      <c r="G6" s="109">
        <v>155.6319797144703</v>
      </c>
      <c r="H6" s="65">
        <v>169.78082767399999</v>
      </c>
      <c r="I6" s="65">
        <v>189.77711311431941</v>
      </c>
      <c r="J6" s="65">
        <v>171.42845972848579</v>
      </c>
      <c r="K6" s="65"/>
      <c r="L6" s="65"/>
      <c r="M6" s="65"/>
      <c r="N6" s="65"/>
      <c r="O6" s="65"/>
      <c r="P6" s="65"/>
      <c r="Q6" s="65"/>
      <c r="R6" s="6">
        <v>153.6</v>
      </c>
      <c r="S6" s="65">
        <v>163</v>
      </c>
      <c r="T6" s="108"/>
      <c r="U6" s="107"/>
    </row>
    <row r="7" spans="1:21" x14ac:dyDescent="0.2">
      <c r="A7" t="s">
        <v>169</v>
      </c>
      <c r="B7" t="s">
        <v>172</v>
      </c>
      <c r="C7" s="6" t="s">
        <v>42</v>
      </c>
      <c r="D7" s="6">
        <v>20180412</v>
      </c>
      <c r="E7" s="65">
        <v>179.397368</v>
      </c>
      <c r="F7" s="65">
        <v>176.65188900000001</v>
      </c>
      <c r="G7" s="109">
        <v>130.291664</v>
      </c>
      <c r="H7" s="65">
        <v>193.05226400000001</v>
      </c>
      <c r="I7" s="65">
        <v>218.89667499999999</v>
      </c>
      <c r="J7" s="65">
        <v>179.657972</v>
      </c>
      <c r="K7" s="65">
        <v>169.20652899793174</v>
      </c>
      <c r="L7" s="65">
        <v>170.24388702275658</v>
      </c>
      <c r="M7" s="65">
        <v>136.46000822558054</v>
      </c>
      <c r="N7" s="65">
        <v>185.34200511980947</v>
      </c>
      <c r="O7" s="65">
        <v>188.01085884105905</v>
      </c>
      <c r="P7" s="65">
        <v>170.82489968340954</v>
      </c>
      <c r="Q7" s="65">
        <v>170.01469798175782</v>
      </c>
      <c r="R7" s="6">
        <v>165</v>
      </c>
      <c r="S7" s="65">
        <v>159</v>
      </c>
      <c r="T7" s="10"/>
      <c r="U7" s="65"/>
    </row>
    <row r="8" spans="1:21" x14ac:dyDescent="0.2">
      <c r="A8" t="s">
        <v>169</v>
      </c>
      <c r="B8" t="s">
        <v>172</v>
      </c>
      <c r="C8" s="6" t="s">
        <v>43</v>
      </c>
      <c r="D8" s="6">
        <v>20180712</v>
      </c>
      <c r="E8" s="65">
        <v>182.017011</v>
      </c>
      <c r="F8" s="65">
        <v>179.91637800000001</v>
      </c>
      <c r="G8" s="109">
        <v>165.91228699999999</v>
      </c>
      <c r="H8" s="65">
        <v>180.66528500000001</v>
      </c>
      <c r="I8" s="65">
        <v>198.42032900000001</v>
      </c>
      <c r="J8" s="65">
        <v>181.386258</v>
      </c>
      <c r="K8" s="65">
        <v>161.32179123720479</v>
      </c>
      <c r="L8" s="65">
        <v>161.93828587929789</v>
      </c>
      <c r="M8" s="65">
        <v>202.46923573713818</v>
      </c>
      <c r="N8" s="65">
        <v>148.79794579876051</v>
      </c>
      <c r="O8" s="65">
        <v>144.12659448116332</v>
      </c>
      <c r="P8" s="65">
        <v>160.52955903342823</v>
      </c>
      <c r="Q8" s="65">
        <v>163.19723536116547</v>
      </c>
      <c r="R8" s="6">
        <v>184.3</v>
      </c>
      <c r="S8" s="65">
        <v>170</v>
      </c>
      <c r="T8" s="10"/>
      <c r="U8" s="65"/>
    </row>
    <row r="9" spans="1:21" x14ac:dyDescent="0.2">
      <c r="A9" t="s">
        <v>169</v>
      </c>
      <c r="B9" t="s">
        <v>172</v>
      </c>
      <c r="C9" s="6" t="s">
        <v>44</v>
      </c>
      <c r="D9" s="6">
        <v>20181011</v>
      </c>
      <c r="E9" s="65">
        <v>179.69744700000001</v>
      </c>
      <c r="F9" s="65">
        <v>179.17052100000001</v>
      </c>
      <c r="G9" s="109">
        <v>172.94954100000001</v>
      </c>
      <c r="H9" s="65">
        <v>166.818228</v>
      </c>
      <c r="I9" s="65">
        <v>185.84555599999999</v>
      </c>
      <c r="J9" s="65">
        <v>176.89625899999999</v>
      </c>
      <c r="K9" s="65">
        <v>167.83357677486532</v>
      </c>
      <c r="L9" s="65">
        <v>169.29525209761613</v>
      </c>
      <c r="M9" s="65">
        <v>177.21063642501659</v>
      </c>
      <c r="N9" s="65">
        <v>156.97038177533665</v>
      </c>
      <c r="O9" s="65">
        <v>159.22634882840052</v>
      </c>
      <c r="P9" s="65">
        <v>165.79185414365844</v>
      </c>
      <c r="Q9" s="65">
        <v>166.05467500748227</v>
      </c>
      <c r="R9" s="6">
        <v>180.4</v>
      </c>
      <c r="S9" s="65">
        <v>168</v>
      </c>
      <c r="T9" s="10"/>
      <c r="U9" s="65"/>
    </row>
    <row r="10" spans="1:21" x14ac:dyDescent="0.2">
      <c r="A10" t="s">
        <v>169</v>
      </c>
      <c r="B10" t="s">
        <v>172</v>
      </c>
      <c r="C10" s="6" t="s">
        <v>45</v>
      </c>
      <c r="D10" s="6">
        <v>20190117</v>
      </c>
      <c r="E10" s="65">
        <v>188.85547299999999</v>
      </c>
      <c r="F10" s="65">
        <v>188.03035700000001</v>
      </c>
      <c r="G10" s="109">
        <v>182.49331599999999</v>
      </c>
      <c r="H10" s="65">
        <v>179.07548800000001</v>
      </c>
      <c r="I10" s="65">
        <v>196.630686</v>
      </c>
      <c r="J10" s="65">
        <v>187.017064</v>
      </c>
      <c r="K10" s="65">
        <v>176.56188217298379</v>
      </c>
      <c r="L10" s="65">
        <v>176.30746285545487</v>
      </c>
      <c r="M10" s="65">
        <v>177.27064732712992</v>
      </c>
      <c r="N10" s="65">
        <v>180.34409275705769</v>
      </c>
      <c r="O10" s="65">
        <v>177.74950318424618</v>
      </c>
      <c r="P10" s="65">
        <v>177.61182135570206</v>
      </c>
      <c r="Q10" s="65">
        <v>177.64090160876239</v>
      </c>
      <c r="R10" s="6">
        <v>193.4</v>
      </c>
      <c r="S10" s="65">
        <v>178</v>
      </c>
      <c r="T10" s="10"/>
      <c r="U10" s="65"/>
    </row>
    <row r="11" spans="1:21" x14ac:dyDescent="0.2">
      <c r="A11" t="s">
        <v>169</v>
      </c>
      <c r="B11" t="s">
        <v>172</v>
      </c>
      <c r="C11" s="6" t="s">
        <v>46</v>
      </c>
      <c r="D11" s="6">
        <v>20190411</v>
      </c>
      <c r="E11" s="65">
        <v>194.84315000000001</v>
      </c>
      <c r="F11" s="65">
        <v>193.60127499999999</v>
      </c>
      <c r="G11" s="109">
        <v>189.965327</v>
      </c>
      <c r="H11" s="65">
        <v>176.842984</v>
      </c>
      <c r="I11" s="65">
        <v>196.16396599999999</v>
      </c>
      <c r="J11" s="65">
        <v>190.28334100000001</v>
      </c>
      <c r="K11" s="65">
        <v>183.64350341067427</v>
      </c>
      <c r="L11" s="65">
        <v>183.27374100555477</v>
      </c>
      <c r="M11" s="65">
        <v>185.28803655471961</v>
      </c>
      <c r="N11" s="65">
        <v>175.78090392806857</v>
      </c>
      <c r="O11" s="65">
        <v>177.57750155029211</v>
      </c>
      <c r="P11" s="65">
        <v>181.10879282117273</v>
      </c>
      <c r="Q11" s="65">
        <v>181.11207987841371</v>
      </c>
      <c r="R11" s="6">
        <v>209.7</v>
      </c>
      <c r="S11" s="65">
        <v>175</v>
      </c>
      <c r="T11" s="10"/>
      <c r="U11" s="65"/>
    </row>
    <row r="12" spans="1:21" x14ac:dyDescent="0.2">
      <c r="A12" t="s">
        <v>169</v>
      </c>
      <c r="B12" t="s">
        <v>172</v>
      </c>
      <c r="C12" s="6" t="s">
        <v>47</v>
      </c>
      <c r="D12" s="6">
        <v>20190711</v>
      </c>
      <c r="E12" s="65">
        <v>218.120608</v>
      </c>
      <c r="F12" s="65">
        <v>211.988178</v>
      </c>
      <c r="G12" s="109">
        <v>197.687377</v>
      </c>
      <c r="H12" s="65">
        <v>210.25617700000001</v>
      </c>
      <c r="I12" s="65">
        <v>234.002747</v>
      </c>
      <c r="J12" s="65">
        <v>214.41101699999999</v>
      </c>
      <c r="K12" s="65">
        <v>195.9068430170627</v>
      </c>
      <c r="L12" s="65">
        <v>191.62028323418841</v>
      </c>
      <c r="M12" s="65">
        <v>182.11371265136188</v>
      </c>
      <c r="N12" s="65">
        <v>208.06497460481665</v>
      </c>
      <c r="O12" s="65">
        <v>208.75638660874139</v>
      </c>
      <c r="P12" s="65">
        <v>197.18976857254148</v>
      </c>
      <c r="Q12" s="65">
        <v>197.27532811478542</v>
      </c>
      <c r="R12" s="6">
        <v>213.6</v>
      </c>
      <c r="S12" s="65">
        <v>190</v>
      </c>
      <c r="T12" s="10"/>
      <c r="U12" s="65"/>
    </row>
    <row r="13" spans="1:21" x14ac:dyDescent="0.2">
      <c r="A13" t="s">
        <v>169</v>
      </c>
      <c r="B13" t="s">
        <v>172</v>
      </c>
      <c r="C13" s="6" t="s">
        <v>48</v>
      </c>
      <c r="D13" s="6">
        <v>20191010</v>
      </c>
      <c r="E13" s="65">
        <v>193.913252</v>
      </c>
      <c r="F13" s="65">
        <v>194.77184600000001</v>
      </c>
      <c r="G13" s="109">
        <v>188.55484000000001</v>
      </c>
      <c r="H13" s="65">
        <v>185.37571399999999</v>
      </c>
      <c r="I13" s="65">
        <v>204.557323</v>
      </c>
      <c r="J13" s="65">
        <v>193.434595</v>
      </c>
      <c r="K13" s="65">
        <v>168.91351173934009</v>
      </c>
      <c r="L13" s="65">
        <v>174.56940801670555</v>
      </c>
      <c r="M13" s="65">
        <v>181.22259571484932</v>
      </c>
      <c r="N13" s="65">
        <v>167.51653227291391</v>
      </c>
      <c r="O13" s="65">
        <v>166.09160306139484</v>
      </c>
      <c r="P13" s="65">
        <v>171.41177521675579</v>
      </c>
      <c r="Q13" s="65">
        <v>171.62090433699325</v>
      </c>
      <c r="R13" s="6">
        <v>189.9</v>
      </c>
      <c r="S13" s="65">
        <v>185</v>
      </c>
      <c r="T13" s="10"/>
      <c r="U13" s="65"/>
    </row>
    <row r="14" spans="1:21" x14ac:dyDescent="0.2">
      <c r="A14" t="s">
        <v>169</v>
      </c>
      <c r="B14" t="s">
        <v>172</v>
      </c>
      <c r="C14" s="6" t="s">
        <v>49</v>
      </c>
      <c r="D14" s="6">
        <v>20200116</v>
      </c>
      <c r="E14" s="65">
        <v>224.069965</v>
      </c>
      <c r="F14" s="65">
        <v>220.57375099999999</v>
      </c>
      <c r="G14" s="109">
        <v>206.954587</v>
      </c>
      <c r="H14" s="65">
        <v>211.95563200000001</v>
      </c>
      <c r="I14" s="65">
        <v>227.51401899999999</v>
      </c>
      <c r="J14" s="65">
        <v>218.21359100000001</v>
      </c>
      <c r="K14" s="65">
        <v>213.77055511915194</v>
      </c>
      <c r="L14" s="65">
        <v>209.50740455065562</v>
      </c>
      <c r="M14" s="65">
        <v>203.05285504736975</v>
      </c>
      <c r="N14" s="65">
        <v>211.52604661039905</v>
      </c>
      <c r="O14" s="65">
        <v>205.761851483557</v>
      </c>
      <c r="P14" s="65">
        <v>208.6985233174035</v>
      </c>
      <c r="Q14" s="65">
        <v>208.71953935475611</v>
      </c>
      <c r="R14" s="6">
        <v>203.1</v>
      </c>
      <c r="S14" s="65">
        <v>193</v>
      </c>
      <c r="T14" s="10"/>
      <c r="U14" s="65"/>
    </row>
    <row r="15" spans="1:21" x14ac:dyDescent="0.2">
      <c r="A15" t="s">
        <v>169</v>
      </c>
      <c r="B15" t="s">
        <v>172</v>
      </c>
      <c r="C15" s="6" t="s">
        <v>50</v>
      </c>
      <c r="D15" s="6">
        <v>20200409</v>
      </c>
      <c r="E15" s="65">
        <v>178.763991</v>
      </c>
      <c r="F15" s="65">
        <v>179.49839399999999</v>
      </c>
      <c r="G15" s="109">
        <v>175.85056900000001</v>
      </c>
      <c r="H15" s="65">
        <v>179.45684700000001</v>
      </c>
      <c r="I15" s="65">
        <v>202.06841</v>
      </c>
      <c r="J15" s="65">
        <v>183.12764200000001</v>
      </c>
      <c r="K15" s="65">
        <v>153.97623801565729</v>
      </c>
      <c r="L15" s="65">
        <v>157.05944104835939</v>
      </c>
      <c r="M15" s="65">
        <v>163.9932717074785</v>
      </c>
      <c r="N15" s="65">
        <v>163.40764878094865</v>
      </c>
      <c r="O15" s="65">
        <v>171.41450580238751</v>
      </c>
      <c r="P15" s="65">
        <v>161.96807331766973</v>
      </c>
      <c r="Q15" s="65">
        <v>161.96986311208352</v>
      </c>
      <c r="R15" s="6">
        <v>186.5</v>
      </c>
      <c r="S15" s="65">
        <v>164</v>
      </c>
      <c r="T15" s="10"/>
      <c r="U15" s="65"/>
    </row>
    <row r="16" spans="1:21" x14ac:dyDescent="0.2">
      <c r="A16" t="s">
        <v>169</v>
      </c>
      <c r="B16" t="s">
        <v>172</v>
      </c>
      <c r="C16" s="6" t="s">
        <v>51</v>
      </c>
      <c r="D16" s="6">
        <v>20200709</v>
      </c>
      <c r="E16" s="65">
        <v>142.03235699999999</v>
      </c>
      <c r="F16" s="65">
        <v>139.782714</v>
      </c>
      <c r="G16" s="109">
        <v>121.212744</v>
      </c>
      <c r="H16" s="65">
        <v>130.126373</v>
      </c>
      <c r="I16" s="65">
        <v>149.294656</v>
      </c>
      <c r="J16" s="65">
        <v>136.489769</v>
      </c>
      <c r="K16" s="65">
        <v>130.30200555323245</v>
      </c>
      <c r="L16" s="65">
        <v>127.71348302982589</v>
      </c>
      <c r="M16" s="65">
        <v>113.04421776423139</v>
      </c>
      <c r="N16" s="65">
        <v>118.91842261109157</v>
      </c>
      <c r="O16" s="65">
        <v>121.16848736524429</v>
      </c>
      <c r="P16" s="65">
        <v>122.23344259519268</v>
      </c>
      <c r="Q16" s="65">
        <v>122.23000981980306</v>
      </c>
      <c r="R16" s="6">
        <v>76.8</v>
      </c>
      <c r="S16" s="65">
        <v>120</v>
      </c>
      <c r="T16" s="10"/>
      <c r="U16" s="65"/>
    </row>
    <row r="17" spans="1:21" x14ac:dyDescent="0.2">
      <c r="A17" t="s">
        <v>169</v>
      </c>
      <c r="B17" t="s">
        <v>172</v>
      </c>
      <c r="C17" s="6" t="s">
        <v>52</v>
      </c>
      <c r="D17" s="6">
        <v>20201015</v>
      </c>
      <c r="E17" s="65">
        <v>187.919646</v>
      </c>
      <c r="F17" s="65">
        <v>190.166878</v>
      </c>
      <c r="G17" s="109">
        <v>188.754175</v>
      </c>
      <c r="H17" s="65">
        <v>184.78568300000001</v>
      </c>
      <c r="I17" s="65">
        <v>213.774461</v>
      </c>
      <c r="J17" s="65">
        <v>193.08016900000001</v>
      </c>
      <c r="K17" s="65">
        <v>158.76915652396025</v>
      </c>
      <c r="L17" s="65">
        <v>163.25355766092795</v>
      </c>
      <c r="M17" s="65">
        <v>186.86567313417143</v>
      </c>
      <c r="N17" s="65">
        <v>170.40574826441986</v>
      </c>
      <c r="O17" s="65">
        <v>171.82755235391681</v>
      </c>
      <c r="P17" s="65">
        <v>169.75353134343717</v>
      </c>
      <c r="Q17" s="65">
        <v>170.14586988013892</v>
      </c>
      <c r="R17" s="6">
        <v>166.3</v>
      </c>
      <c r="S17" s="65">
        <v>192</v>
      </c>
      <c r="T17" s="10"/>
      <c r="U17" s="65"/>
    </row>
    <row r="18" spans="1:21" x14ac:dyDescent="0.2">
      <c r="A18" t="s">
        <v>169</v>
      </c>
      <c r="B18" t="s">
        <v>172</v>
      </c>
      <c r="C18" s="6" t="s">
        <v>53</v>
      </c>
      <c r="D18" s="6">
        <v>20210121</v>
      </c>
      <c r="E18" s="65">
        <v>181.223995</v>
      </c>
      <c r="F18" s="65">
        <v>180.01962</v>
      </c>
      <c r="G18" s="109">
        <v>180.41084900000001</v>
      </c>
      <c r="H18" s="65">
        <v>176.10360499999999</v>
      </c>
      <c r="I18" s="65">
        <v>198.630662</v>
      </c>
      <c r="J18" s="65">
        <v>183.27774600000001</v>
      </c>
      <c r="K18" s="65">
        <v>185.15896437991375</v>
      </c>
      <c r="L18" s="65">
        <v>181.75492705937992</v>
      </c>
      <c r="M18" s="65">
        <v>183.51320180335085</v>
      </c>
      <c r="N18" s="65">
        <v>182.97896033428086</v>
      </c>
      <c r="O18" s="65">
        <v>178.39870546557009</v>
      </c>
      <c r="P18" s="65">
        <v>182.25241574135975</v>
      </c>
      <c r="Q18" s="65">
        <v>182.34286246397588</v>
      </c>
      <c r="R18" s="6">
        <v>205</v>
      </c>
      <c r="S18" s="65">
        <v>184</v>
      </c>
    </row>
    <row r="19" spans="1:21" x14ac:dyDescent="0.2">
      <c r="A19" t="s">
        <v>169</v>
      </c>
      <c r="B19" t="s">
        <v>172</v>
      </c>
      <c r="C19" s="6" t="s">
        <v>54</v>
      </c>
      <c r="D19" s="6">
        <v>20210415</v>
      </c>
      <c r="E19" s="65">
        <v>198.30194800000001</v>
      </c>
      <c r="F19" s="65">
        <v>190.15356199999999</v>
      </c>
      <c r="G19" s="109">
        <v>183.30822699999999</v>
      </c>
      <c r="H19" s="65">
        <v>197.25741400000001</v>
      </c>
      <c r="I19" s="65">
        <v>203.665167</v>
      </c>
      <c r="J19" s="65">
        <v>194.537263</v>
      </c>
      <c r="K19" s="65">
        <v>201.33955457719603</v>
      </c>
      <c r="L19" s="65">
        <v>194.35801168783712</v>
      </c>
      <c r="M19" s="65">
        <v>186.95501936249963</v>
      </c>
      <c r="N19" s="65">
        <v>206.10233490677265</v>
      </c>
      <c r="O19" s="65">
        <v>188.6636753393089</v>
      </c>
      <c r="P19" s="65">
        <v>195.30388807815214</v>
      </c>
      <c r="Q19" s="65">
        <v>195.45374732529442</v>
      </c>
      <c r="R19" s="6">
        <v>184</v>
      </c>
      <c r="S19" s="66">
        <v>179</v>
      </c>
    </row>
    <row r="20" spans="1:21" x14ac:dyDescent="0.2">
      <c r="A20" t="s">
        <v>169</v>
      </c>
      <c r="B20" t="s">
        <v>172</v>
      </c>
      <c r="C20" s="6" t="s">
        <v>55</v>
      </c>
      <c r="D20" s="6">
        <v>20210715</v>
      </c>
      <c r="E20" s="65">
        <v>229.45247800000001</v>
      </c>
      <c r="F20" s="65">
        <v>225.35372599999999</v>
      </c>
      <c r="G20" s="109">
        <v>216.957244</v>
      </c>
      <c r="H20" s="65">
        <v>233.824365</v>
      </c>
      <c r="I20" s="65">
        <v>239.615826</v>
      </c>
      <c r="J20" s="65">
        <v>229.040728</v>
      </c>
      <c r="K20" s="65">
        <v>207.11845736381773</v>
      </c>
      <c r="L20" s="65">
        <v>212.13547897672302</v>
      </c>
      <c r="M20" s="65">
        <v>211.85817631633086</v>
      </c>
      <c r="N20" s="65">
        <v>212.18244975572884</v>
      </c>
      <c r="O20" s="65">
        <v>210.59680202457008</v>
      </c>
      <c r="P20" s="65">
        <v>210.74774919599901</v>
      </c>
      <c r="Q20" s="65">
        <v>210.77318560552817</v>
      </c>
      <c r="R20" s="6">
        <v>194.1</v>
      </c>
      <c r="S20" s="66">
        <v>209</v>
      </c>
    </row>
    <row r="21" spans="1:21" x14ac:dyDescent="0.2">
      <c r="A21" t="s">
        <v>169</v>
      </c>
      <c r="B21" t="s">
        <v>172</v>
      </c>
      <c r="C21" s="13" t="s">
        <v>71</v>
      </c>
      <c r="D21" s="13">
        <v>20211007</v>
      </c>
      <c r="E21" s="67">
        <v>206.977633</v>
      </c>
      <c r="F21" s="67">
        <v>204.58310599999999</v>
      </c>
      <c r="G21" s="110">
        <v>182.815575</v>
      </c>
      <c r="H21" s="67">
        <v>192.28758099999999</v>
      </c>
      <c r="I21" s="67">
        <v>197.63390100000001</v>
      </c>
      <c r="J21" s="67">
        <f>AVERAGE(E21:I21)</f>
        <v>196.85955919999998</v>
      </c>
      <c r="K21" s="65">
        <f>(E21/E20)*$S20</f>
        <v>188.52847297208095</v>
      </c>
      <c r="L21" s="65">
        <f t="shared" ref="L21:P21" si="0">(F21/F20)*$S20</f>
        <v>189.73668602222267</v>
      </c>
      <c r="M21" s="65">
        <f t="shared" si="0"/>
        <v>176.11052975488573</v>
      </c>
      <c r="N21" s="65">
        <f t="shared" si="0"/>
        <v>171.87303995885969</v>
      </c>
      <c r="O21" s="65">
        <f t="shared" si="0"/>
        <v>172.38212516480445</v>
      </c>
      <c r="P21" s="65">
        <f t="shared" si="0"/>
        <v>179.63463630276269</v>
      </c>
      <c r="Q21" s="65">
        <f>AVERAGE(K21:P21)</f>
        <v>179.71091502926936</v>
      </c>
      <c r="R21" s="65">
        <f>(L21/L20)*$S20</f>
        <v>186.93227351656608</v>
      </c>
      <c r="S21" s="11"/>
    </row>
    <row r="22" spans="1:21" x14ac:dyDescent="0.2">
      <c r="A22" s="164" t="s">
        <v>75</v>
      </c>
      <c r="B22" s="165"/>
      <c r="C22" s="165"/>
      <c r="D22" s="165"/>
      <c r="E22" s="72">
        <f t="shared" ref="E22:Q22" si="1">CORREL(E$6:E$20,$S$6:$S$20)</f>
        <v>0.89352134543234496</v>
      </c>
      <c r="F22" s="72">
        <f t="shared" si="1"/>
        <v>0.91741798550998399</v>
      </c>
      <c r="G22" s="71">
        <f t="shared" si="1"/>
        <v>0.91776622576069755</v>
      </c>
      <c r="H22" s="72">
        <f t="shared" si="1"/>
        <v>0.85633936985504933</v>
      </c>
      <c r="I22" s="72">
        <f t="shared" si="1"/>
        <v>0.84638842114688706</v>
      </c>
      <c r="J22" s="71">
        <f>CORREL(J$6:J$20,$S$6:$S$20)</f>
        <v>0.93325104081218646</v>
      </c>
      <c r="K22" s="72">
        <f t="shared" si="1"/>
        <v>0.77959366766083782</v>
      </c>
      <c r="L22" s="72">
        <f t="shared" si="1"/>
        <v>0.84692393663905063</v>
      </c>
      <c r="M22" s="72">
        <f t="shared" si="1"/>
        <v>0.88020000696179479</v>
      </c>
      <c r="N22" s="72">
        <f t="shared" si="1"/>
        <v>0.79343493539792898</v>
      </c>
      <c r="O22" s="72">
        <f t="shared" si="1"/>
        <v>0.78560577568078416</v>
      </c>
      <c r="P22" s="72">
        <f t="shared" si="1"/>
        <v>0.87940125889655874</v>
      </c>
      <c r="Q22" s="72">
        <f t="shared" si="1"/>
        <v>0.88521736974590792</v>
      </c>
      <c r="R22" s="72">
        <f t="shared" ref="R22" si="2">CORREL(R$6:R$20,$S$6:$S$20)</f>
        <v>0.809387865468574</v>
      </c>
      <c r="S22" s="5"/>
    </row>
    <row r="24" spans="1:21" x14ac:dyDescent="0.2">
      <c r="A24" s="167" t="s">
        <v>77</v>
      </c>
      <c r="B24" s="168"/>
    </row>
    <row r="25" spans="1:21" x14ac:dyDescent="0.2">
      <c r="A25" s="18" t="s">
        <v>56</v>
      </c>
      <c r="B25" s="18" t="s">
        <v>57</v>
      </c>
      <c r="C25" s="18" t="s">
        <v>68</v>
      </c>
      <c r="D25" s="18" t="s">
        <v>58</v>
      </c>
      <c r="E25" s="18" t="s">
        <v>59</v>
      </c>
      <c r="F25" s="18" t="s">
        <v>69</v>
      </c>
      <c r="G25" s="18" t="s">
        <v>60</v>
      </c>
      <c r="H25" s="18" t="s">
        <v>61</v>
      </c>
      <c r="I25" s="18" t="s">
        <v>70</v>
      </c>
      <c r="J25" s="18" t="s">
        <v>62</v>
      </c>
      <c r="K25" s="18" t="s">
        <v>63</v>
      </c>
      <c r="L25" s="18" t="s">
        <v>73</v>
      </c>
      <c r="M25" s="18" t="s">
        <v>64</v>
      </c>
      <c r="N25" s="18" t="s">
        <v>65</v>
      </c>
      <c r="O25" s="18" t="s">
        <v>74</v>
      </c>
      <c r="P25" s="18" t="s">
        <v>66</v>
      </c>
      <c r="Q25" s="18" t="s">
        <v>67</v>
      </c>
      <c r="R25" s="18" t="s">
        <v>0</v>
      </c>
    </row>
    <row r="26" spans="1:21" x14ac:dyDescent="0.2">
      <c r="A26" s="10" t="str">
        <f>A6</f>
        <v>ABT</v>
      </c>
      <c r="B26" s="10" t="str">
        <f t="shared" ref="B26:D27" si="3">B6</f>
        <v>ELECTROPHYSIOLOGY</v>
      </c>
      <c r="C26" s="10" t="str">
        <f t="shared" si="3"/>
        <v>2017Q4</v>
      </c>
      <c r="D26" s="10">
        <f t="shared" si="3"/>
        <v>20180118</v>
      </c>
      <c r="E26" s="19">
        <f t="shared" ref="E26:I27" si="4">$S6/E6-1</f>
        <v>-5.6805956049858275E-2</v>
      </c>
      <c r="F26" s="19">
        <f t="shared" si="4"/>
        <v>-3.6274743584787994E-2</v>
      </c>
      <c r="G26" s="19">
        <f t="shared" ref="G26:G32" si="5">$S6/G6-1</f>
        <v>4.7342585367399437E-2</v>
      </c>
      <c r="H26" s="19">
        <f t="shared" si="4"/>
        <v>-3.9938712556049083E-2</v>
      </c>
      <c r="I26" s="19">
        <f t="shared" si="4"/>
        <v>-0.14109769442108233</v>
      </c>
      <c r="J26" s="19">
        <f>$S6/J6-1</f>
        <v>-4.9166047118635259E-2</v>
      </c>
      <c r="K26" s="19"/>
      <c r="L26" s="19"/>
      <c r="M26" s="19"/>
      <c r="N26" s="19"/>
      <c r="O26" s="19"/>
      <c r="P26" s="19"/>
      <c r="Q26" s="19"/>
      <c r="R26" s="42">
        <f>$S6/R6-1</f>
        <v>6.1197916666666741E-2</v>
      </c>
    </row>
    <row r="27" spans="1:21" x14ac:dyDescent="0.2">
      <c r="A27" s="10" t="str">
        <f>A7</f>
        <v>ABT</v>
      </c>
      <c r="B27" s="10" t="str">
        <f t="shared" si="3"/>
        <v>ELECTROPHYSIOLOGY</v>
      </c>
      <c r="C27" s="10" t="str">
        <f t="shared" si="3"/>
        <v>2018Q1</v>
      </c>
      <c r="D27" s="10">
        <f t="shared" si="3"/>
        <v>20180412</v>
      </c>
      <c r="E27" s="19">
        <f t="shared" si="4"/>
        <v>-0.11369937155376775</v>
      </c>
      <c r="F27" s="19">
        <f t="shared" si="4"/>
        <v>-9.9924711249478992E-2</v>
      </c>
      <c r="G27" s="19">
        <f t="shared" si="5"/>
        <v>0.22033900802740547</v>
      </c>
      <c r="H27" s="19">
        <f t="shared" si="4"/>
        <v>-0.17638883530524152</v>
      </c>
      <c r="I27" s="19">
        <f t="shared" si="4"/>
        <v>-0.27362989867251286</v>
      </c>
      <c r="J27" s="19">
        <f>$S7/J7-1</f>
        <v>-0.11498500049861415</v>
      </c>
      <c r="K27" s="19">
        <f>$S7/K7-1</f>
        <v>-6.0319947808021634E-2</v>
      </c>
      <c r="L27" s="19">
        <f t="shared" ref="L27:Q27" si="6">$S7/L7-1</f>
        <v>-6.6045760698906109E-2</v>
      </c>
      <c r="M27" s="19">
        <f t="shared" si="6"/>
        <v>0.16517653829507939</v>
      </c>
      <c r="N27" s="19">
        <f t="shared" si="6"/>
        <v>-0.14212647102194331</v>
      </c>
      <c r="O27" s="19">
        <f t="shared" si="6"/>
        <v>-0.15430416636511568</v>
      </c>
      <c r="P27" s="19">
        <f t="shared" si="6"/>
        <v>-6.9222342324360642E-2</v>
      </c>
      <c r="Q27" s="19">
        <f t="shared" si="6"/>
        <v>-6.4786739690821715E-2</v>
      </c>
      <c r="R27" s="42">
        <f>$S7/R7-1</f>
        <v>-3.6363636363636376E-2</v>
      </c>
    </row>
    <row r="28" spans="1:21" x14ac:dyDescent="0.2">
      <c r="A28" s="10" t="str">
        <f t="shared" ref="A28:D28" si="7">A8</f>
        <v>ABT</v>
      </c>
      <c r="B28" s="10" t="str">
        <f t="shared" si="7"/>
        <v>ELECTROPHYSIOLOGY</v>
      </c>
      <c r="C28" s="10" t="str">
        <f t="shared" si="7"/>
        <v>2018Q2</v>
      </c>
      <c r="D28" s="10">
        <f t="shared" si="7"/>
        <v>20180712</v>
      </c>
      <c r="E28" s="19">
        <f t="shared" ref="E28:I28" si="8">$S8/E8-1</f>
        <v>-6.6021362146200691E-2</v>
      </c>
      <c r="F28" s="19">
        <f t="shared" si="8"/>
        <v>-5.5116594221344406E-2</v>
      </c>
      <c r="G28" s="19">
        <f t="shared" si="5"/>
        <v>2.463779551179357E-2</v>
      </c>
      <c r="H28" s="19">
        <f t="shared" si="8"/>
        <v>-5.9033394268301231E-2</v>
      </c>
      <c r="I28" s="19">
        <f t="shared" si="8"/>
        <v>-0.14323294968430378</v>
      </c>
      <c r="J28" s="19">
        <f>$S8/J8-1</f>
        <v>-6.2773542635186863E-2</v>
      </c>
      <c r="K28" s="19">
        <f>$S8/K8-1</f>
        <v>5.3794398737086357E-2</v>
      </c>
      <c r="L28" s="19">
        <f t="shared" ref="L28:Q28" si="9">$S8/L8-1</f>
        <v>4.9782632173289709E-2</v>
      </c>
      <c r="M28" s="19">
        <f t="shared" si="9"/>
        <v>-0.16036626808475907</v>
      </c>
      <c r="N28" s="19">
        <f t="shared" si="9"/>
        <v>0.14248889047106794</v>
      </c>
      <c r="O28" s="19">
        <f t="shared" si="9"/>
        <v>0.179518607318639</v>
      </c>
      <c r="P28" s="19">
        <f t="shared" si="9"/>
        <v>5.8994997703816443E-2</v>
      </c>
      <c r="Q28" s="19">
        <f t="shared" si="9"/>
        <v>4.1684312995741601E-2</v>
      </c>
      <c r="R28" s="42">
        <f t="shared" ref="R28:R35" si="10">$S8/R8-1</f>
        <v>-7.7590884427563789E-2</v>
      </c>
    </row>
    <row r="29" spans="1:21" x14ac:dyDescent="0.2">
      <c r="A29" s="10" t="str">
        <f t="shared" ref="A29:D29" si="11">A9</f>
        <v>ABT</v>
      </c>
      <c r="B29" s="10" t="str">
        <f t="shared" si="11"/>
        <v>ELECTROPHYSIOLOGY</v>
      </c>
      <c r="C29" s="10" t="str">
        <f t="shared" si="11"/>
        <v>2018Q3</v>
      </c>
      <c r="D29" s="10">
        <f t="shared" si="11"/>
        <v>20181011</v>
      </c>
      <c r="E29" s="19">
        <f t="shared" ref="E29:I29" si="12">$S9/E9-1</f>
        <v>-6.5095231987352675E-2</v>
      </c>
      <c r="F29" s="19">
        <f t="shared" si="12"/>
        <v>-6.234575273685794E-2</v>
      </c>
      <c r="G29" s="19">
        <f t="shared" si="5"/>
        <v>-2.8618410730561039E-2</v>
      </c>
      <c r="H29" s="19">
        <f t="shared" si="12"/>
        <v>7.0841898644313783E-3</v>
      </c>
      <c r="I29" s="19">
        <f t="shared" si="12"/>
        <v>-9.6023582075860814E-2</v>
      </c>
      <c r="J29" s="19">
        <f>$S9/J9-1</f>
        <v>-5.0290826105033659E-2</v>
      </c>
      <c r="K29" s="19">
        <f>$S9/K9-1</f>
        <v>9.9159672535553689E-4</v>
      </c>
      <c r="L29" s="19">
        <f t="shared" ref="L29:Q29" si="13">$S9/L9-1</f>
        <v>-7.6508471535237099E-3</v>
      </c>
      <c r="M29" s="19">
        <f t="shared" si="13"/>
        <v>-5.1975641027133812E-2</v>
      </c>
      <c r="N29" s="19">
        <f t="shared" si="13"/>
        <v>7.026560106383295E-2</v>
      </c>
      <c r="O29" s="19">
        <f t="shared" si="13"/>
        <v>5.5101754427936411E-2</v>
      </c>
      <c r="P29" s="19">
        <f t="shared" si="13"/>
        <v>1.3318783771054221E-2</v>
      </c>
      <c r="Q29" s="19">
        <f t="shared" si="13"/>
        <v>1.1714966726652287E-2</v>
      </c>
      <c r="R29" s="42">
        <f t="shared" si="10"/>
        <v>-6.8736141906873605E-2</v>
      </c>
    </row>
    <row r="30" spans="1:21" x14ac:dyDescent="0.2">
      <c r="A30" s="10" t="str">
        <f t="shared" ref="A30:D30" si="14">A10</f>
        <v>ABT</v>
      </c>
      <c r="B30" s="10" t="str">
        <f t="shared" si="14"/>
        <v>ELECTROPHYSIOLOGY</v>
      </c>
      <c r="C30" s="10" t="str">
        <f t="shared" si="14"/>
        <v>2018Q4</v>
      </c>
      <c r="D30" s="10">
        <f t="shared" si="14"/>
        <v>20190117</v>
      </c>
      <c r="E30" s="19">
        <f t="shared" ref="E30:I30" si="15">$S10/E10-1</f>
        <v>-5.7480319884613551E-2</v>
      </c>
      <c r="F30" s="19">
        <f t="shared" si="15"/>
        <v>-5.3344349072315E-2</v>
      </c>
      <c r="G30" s="19">
        <f t="shared" si="5"/>
        <v>-2.4621811354449741E-2</v>
      </c>
      <c r="H30" s="19">
        <f t="shared" si="15"/>
        <v>-6.0057800875572553E-3</v>
      </c>
      <c r="I30" s="19">
        <f t="shared" si="15"/>
        <v>-9.4749636381780244E-2</v>
      </c>
      <c r="J30" s="19">
        <f>$S10/J10-1</f>
        <v>-4.821519388198714E-2</v>
      </c>
      <c r="K30" s="19">
        <f>$S10/K10-1</f>
        <v>8.1451206189977476E-3</v>
      </c>
      <c r="L30" s="19">
        <f t="shared" ref="L30:Q30" si="16">$S10/L10-1</f>
        <v>9.599917763734922E-3</v>
      </c>
      <c r="M30" s="19">
        <f t="shared" si="16"/>
        <v>4.1143454027341431E-3</v>
      </c>
      <c r="N30" s="19">
        <f t="shared" si="16"/>
        <v>-1.2997890428357084E-2</v>
      </c>
      <c r="O30" s="19">
        <f t="shared" si="16"/>
        <v>1.4092687251798797E-3</v>
      </c>
      <c r="P30" s="19">
        <f t="shared" si="16"/>
        <v>2.1855450911711927E-3</v>
      </c>
      <c r="Q30" s="19">
        <f t="shared" si="16"/>
        <v>2.0214848494097826E-3</v>
      </c>
      <c r="R30" s="42">
        <f t="shared" si="10"/>
        <v>-7.9627714581178899E-2</v>
      </c>
    </row>
    <row r="31" spans="1:21" x14ac:dyDescent="0.2">
      <c r="A31" s="10" t="str">
        <f t="shared" ref="A31:D31" si="17">A11</f>
        <v>ABT</v>
      </c>
      <c r="B31" s="10" t="str">
        <f t="shared" si="17"/>
        <v>ELECTROPHYSIOLOGY</v>
      </c>
      <c r="C31" s="10" t="str">
        <f t="shared" si="17"/>
        <v>2019Q1</v>
      </c>
      <c r="D31" s="10">
        <f t="shared" si="17"/>
        <v>20190411</v>
      </c>
      <c r="E31" s="19">
        <f t="shared" ref="E31:J31" si="18">$S11/E11-1</f>
        <v>-0.1018416608436068</v>
      </c>
      <c r="F31" s="19">
        <f t="shared" si="18"/>
        <v>-9.6080333148632402E-2</v>
      </c>
      <c r="G31" s="19">
        <f t="shared" si="5"/>
        <v>-7.8779255332211195E-2</v>
      </c>
      <c r="H31" s="19">
        <f t="shared" si="18"/>
        <v>-1.0421583928938882E-2</v>
      </c>
      <c r="I31" s="19">
        <f t="shared" si="18"/>
        <v>-0.1078891624774756</v>
      </c>
      <c r="J31" s="19">
        <f t="shared" si="18"/>
        <v>-8.0318859862776981E-2</v>
      </c>
      <c r="K31" s="19">
        <f t="shared" ref="K31:Q31" si="19">$S11/K11-1</f>
        <v>-4.706675297598284E-2</v>
      </c>
      <c r="L31" s="19">
        <f t="shared" si="19"/>
        <v>-4.5144170464136546E-2</v>
      </c>
      <c r="M31" s="19">
        <f t="shared" si="19"/>
        <v>-5.552455919992072E-2</v>
      </c>
      <c r="N31" s="19">
        <f t="shared" si="19"/>
        <v>-4.4424844258857954E-3</v>
      </c>
      <c r="O31" s="19">
        <f t="shared" si="19"/>
        <v>-1.4514797920851086E-2</v>
      </c>
      <c r="P31" s="19">
        <f t="shared" si="19"/>
        <v>-3.3729962670584257E-2</v>
      </c>
      <c r="Q31" s="19">
        <f t="shared" si="19"/>
        <v>-3.3747499794143709E-2</v>
      </c>
      <c r="R31" s="42">
        <f t="shared" si="10"/>
        <v>-0.16547448736289938</v>
      </c>
    </row>
    <row r="32" spans="1:21" x14ac:dyDescent="0.2">
      <c r="A32" s="10" t="str">
        <f t="shared" ref="A32:D32" si="20">A12</f>
        <v>ABT</v>
      </c>
      <c r="B32" s="10" t="str">
        <f t="shared" si="20"/>
        <v>ELECTROPHYSIOLOGY</v>
      </c>
      <c r="C32" s="10" t="str">
        <f t="shared" si="20"/>
        <v>2019Q2</v>
      </c>
      <c r="D32" s="10">
        <f t="shared" si="20"/>
        <v>20190711</v>
      </c>
      <c r="E32" s="19">
        <f t="shared" ref="E32:I32" si="21">$S12/E12-1</f>
        <v>-0.12892228871835898</v>
      </c>
      <c r="F32" s="19">
        <f t="shared" si="21"/>
        <v>-0.1037236048134722</v>
      </c>
      <c r="G32" s="19">
        <f t="shared" si="5"/>
        <v>-3.8886534470028433E-2</v>
      </c>
      <c r="H32" s="19">
        <f t="shared" si="21"/>
        <v>-9.6340460903557745E-2</v>
      </c>
      <c r="I32" s="19">
        <f t="shared" si="21"/>
        <v>-0.18804371984573331</v>
      </c>
      <c r="J32" s="19">
        <f t="shared" ref="J32:K38" si="22">$S12/J12-1</f>
        <v>-0.11385150512111974</v>
      </c>
      <c r="K32" s="19">
        <f t="shared" si="22"/>
        <v>-3.0151284794825872E-2</v>
      </c>
      <c r="L32" s="19">
        <f t="shared" ref="L32:Q32" si="23">$S12/L12-1</f>
        <v>-8.4556979399105225E-3</v>
      </c>
      <c r="M32" s="19">
        <f t="shared" si="23"/>
        <v>4.3304192934310315E-2</v>
      </c>
      <c r="N32" s="19">
        <f t="shared" si="23"/>
        <v>-8.6823717634974096E-2</v>
      </c>
      <c r="O32" s="19">
        <f t="shared" si="23"/>
        <v>-8.9848204950468302E-2</v>
      </c>
      <c r="P32" s="19">
        <f t="shared" si="23"/>
        <v>-3.6461164413287173E-2</v>
      </c>
      <c r="Q32" s="19">
        <f t="shared" si="23"/>
        <v>-3.6879057225808975E-2</v>
      </c>
      <c r="R32" s="42">
        <f t="shared" si="10"/>
        <v>-0.11048689138576773</v>
      </c>
    </row>
    <row r="33" spans="1:18" x14ac:dyDescent="0.2">
      <c r="A33" s="10" t="str">
        <f t="shared" ref="A33:D33" si="24">A13</f>
        <v>ABT</v>
      </c>
      <c r="B33" s="10" t="str">
        <f t="shared" si="24"/>
        <v>ELECTROPHYSIOLOGY</v>
      </c>
      <c r="C33" s="10" t="str">
        <f t="shared" si="24"/>
        <v>2019Q3</v>
      </c>
      <c r="D33" s="10">
        <f t="shared" si="24"/>
        <v>20191010</v>
      </c>
      <c r="E33" s="19">
        <f t="shared" ref="E33:I33" si="25">$S13/E13-1</f>
        <v>-4.5965151468864041E-2</v>
      </c>
      <c r="F33" s="19">
        <f t="shared" si="25"/>
        <v>-5.0170731554292525E-2</v>
      </c>
      <c r="G33" s="19">
        <f t="shared" si="25"/>
        <v>-1.8853082742400051E-2</v>
      </c>
      <c r="H33" s="19">
        <f t="shared" si="25"/>
        <v>-2.0267703459795339E-3</v>
      </c>
      <c r="I33" s="19">
        <f t="shared" si="25"/>
        <v>-9.5608031593178433E-2</v>
      </c>
      <c r="J33" s="19">
        <f t="shared" si="22"/>
        <v>-4.3604376973002124E-2</v>
      </c>
      <c r="K33" s="19">
        <f t="shared" si="22"/>
        <v>9.5235059025259527E-2</v>
      </c>
      <c r="L33" s="19">
        <f t="shared" ref="L33:Q33" si="26">$S13/L13-1</f>
        <v>5.9750400151991512E-2</v>
      </c>
      <c r="M33" s="19">
        <f t="shared" si="26"/>
        <v>2.0844002759426106E-2</v>
      </c>
      <c r="N33" s="19">
        <f t="shared" si="26"/>
        <v>0.10436861060735447</v>
      </c>
      <c r="O33" s="19">
        <f t="shared" si="26"/>
        <v>0.11384318406280758</v>
      </c>
      <c r="P33" s="19">
        <f t="shared" si="26"/>
        <v>7.9272411513511498E-2</v>
      </c>
      <c r="Q33" s="19">
        <f t="shared" si="26"/>
        <v>7.7957261178018822E-2</v>
      </c>
      <c r="R33" s="42">
        <f t="shared" si="10"/>
        <v>-2.5803054239073253E-2</v>
      </c>
    </row>
    <row r="34" spans="1:18" x14ac:dyDescent="0.2">
      <c r="A34" s="10" t="str">
        <f t="shared" ref="A34:D34" si="27">A14</f>
        <v>ABT</v>
      </c>
      <c r="B34" s="10" t="str">
        <f t="shared" si="27"/>
        <v>ELECTROPHYSIOLOGY</v>
      </c>
      <c r="C34" s="10" t="str">
        <f t="shared" si="27"/>
        <v>2019Q4</v>
      </c>
      <c r="D34" s="10">
        <f t="shared" si="27"/>
        <v>20200116</v>
      </c>
      <c r="E34" s="19">
        <f t="shared" ref="E34:I34" si="28">$S14/E14-1</f>
        <v>-0.13866189071792823</v>
      </c>
      <c r="F34" s="19">
        <f t="shared" si="28"/>
        <v>-0.12500921290493894</v>
      </c>
      <c r="G34" s="19">
        <f t="shared" ref="G34:G40" si="29">$S14/G14-1</f>
        <v>-6.7428256615544413E-2</v>
      </c>
      <c r="H34" s="19">
        <f t="shared" si="28"/>
        <v>-8.9432075105227771E-2</v>
      </c>
      <c r="I34" s="19">
        <f t="shared" si="28"/>
        <v>-0.15170062553376107</v>
      </c>
      <c r="J34" s="19">
        <f t="shared" si="22"/>
        <v>-0.11554546572674296</v>
      </c>
      <c r="K34" s="19">
        <f t="shared" si="22"/>
        <v>-9.7162844095038281E-2</v>
      </c>
      <c r="L34" s="19">
        <f t="shared" ref="L34:Q34" si="30">$S14/L14-1</f>
        <v>-7.8791508997307913E-2</v>
      </c>
      <c r="M34" s="19">
        <f t="shared" si="30"/>
        <v>-4.9508562906069642E-2</v>
      </c>
      <c r="N34" s="19">
        <f t="shared" si="30"/>
        <v>-8.7582815011530979E-2</v>
      </c>
      <c r="O34" s="19">
        <f t="shared" si="30"/>
        <v>-6.2022437062765445E-2</v>
      </c>
      <c r="P34" s="19">
        <f t="shared" si="30"/>
        <v>-7.5221056037507616E-2</v>
      </c>
      <c r="Q34" s="19">
        <f t="shared" si="30"/>
        <v>-7.5314172325945727E-2</v>
      </c>
      <c r="R34" s="42">
        <f t="shared" si="10"/>
        <v>-4.9729197439684847E-2</v>
      </c>
    </row>
    <row r="35" spans="1:18" x14ac:dyDescent="0.2">
      <c r="A35" s="10" t="str">
        <f t="shared" ref="A35:D35" si="31">A15</f>
        <v>ABT</v>
      </c>
      <c r="B35" s="10" t="str">
        <f t="shared" si="31"/>
        <v>ELECTROPHYSIOLOGY</v>
      </c>
      <c r="C35" s="10" t="str">
        <f t="shared" si="31"/>
        <v>2020Q1</v>
      </c>
      <c r="D35" s="10">
        <f t="shared" si="31"/>
        <v>20200409</v>
      </c>
      <c r="E35" s="19">
        <f t="shared" ref="E35:I35" si="32">$S15/E15-1</f>
        <v>-8.2589289472732808E-2</v>
      </c>
      <c r="F35" s="19">
        <f t="shared" si="32"/>
        <v>-8.6342800370681871E-2</v>
      </c>
      <c r="G35" s="19">
        <f t="shared" si="29"/>
        <v>-6.7389995195295649E-2</v>
      </c>
      <c r="H35" s="19">
        <f t="shared" si="32"/>
        <v>-8.613127477939031E-2</v>
      </c>
      <c r="I35" s="19">
        <f t="shared" si="32"/>
        <v>-0.18839367321195821</v>
      </c>
      <c r="J35" s="19">
        <f t="shared" si="22"/>
        <v>-0.10444978044330422</v>
      </c>
      <c r="K35" s="19">
        <f t="shared" si="22"/>
        <v>6.50994082822276E-2</v>
      </c>
      <c r="L35" s="19">
        <f t="shared" ref="L35:Q35" si="33">$S15/L15-1</f>
        <v>4.4190651038313433E-2</v>
      </c>
      <c r="M35" s="19">
        <f t="shared" si="33"/>
        <v>4.1027857127673428E-5</v>
      </c>
      <c r="N35" s="19">
        <f t="shared" si="33"/>
        <v>3.6249907728946873E-3</v>
      </c>
      <c r="O35" s="19">
        <f t="shared" si="33"/>
        <v>-4.3254832884068728E-2</v>
      </c>
      <c r="P35" s="19">
        <f t="shared" si="33"/>
        <v>1.2545229690699822E-2</v>
      </c>
      <c r="Q35" s="19">
        <f t="shared" si="33"/>
        <v>1.2534040894457199E-2</v>
      </c>
      <c r="R35" s="42">
        <f t="shared" si="10"/>
        <v>-0.12064343163538871</v>
      </c>
    </row>
    <row r="36" spans="1:18" x14ac:dyDescent="0.2">
      <c r="A36" s="10" t="str">
        <f t="shared" ref="A36:D36" si="34">A16</f>
        <v>ABT</v>
      </c>
      <c r="B36" s="10" t="str">
        <f t="shared" si="34"/>
        <v>ELECTROPHYSIOLOGY</v>
      </c>
      <c r="C36" s="10" t="str">
        <f t="shared" si="34"/>
        <v>2020Q2</v>
      </c>
      <c r="D36" s="10">
        <f t="shared" si="34"/>
        <v>20200709</v>
      </c>
      <c r="E36" s="19">
        <f t="shared" ref="E36:I36" si="35">$S16/E16-1</f>
        <v>-0.15512209657972509</v>
      </c>
      <c r="F36" s="19">
        <f t="shared" si="35"/>
        <v>-0.14152475248119734</v>
      </c>
      <c r="G36" s="19">
        <f t="shared" si="29"/>
        <v>-1.000508659386512E-2</v>
      </c>
      <c r="H36" s="19">
        <f t="shared" si="35"/>
        <v>-7.7819528559364359E-2</v>
      </c>
      <c r="I36" s="19">
        <f t="shared" si="35"/>
        <v>-0.1962203925102316</v>
      </c>
      <c r="J36" s="19">
        <f t="shared" si="22"/>
        <v>-0.12081322373693804</v>
      </c>
      <c r="K36" s="19">
        <f t="shared" si="22"/>
        <v>-7.9062524859018768E-2</v>
      </c>
      <c r="L36" s="19">
        <f t="shared" ref="L36:Q36" si="36">$S16/L16-1</f>
        <v>-6.0396779156234426E-2</v>
      </c>
      <c r="M36" s="19">
        <f t="shared" si="36"/>
        <v>6.1531517253503587E-2</v>
      </c>
      <c r="N36" s="19">
        <f t="shared" si="36"/>
        <v>9.0951205470122254E-3</v>
      </c>
      <c r="O36" s="19">
        <f t="shared" si="36"/>
        <v>-9.6434922202343065E-3</v>
      </c>
      <c r="P36" s="19">
        <f t="shared" si="36"/>
        <v>-1.8271943813194413E-2</v>
      </c>
      <c r="Q36" s="19">
        <f t="shared" si="36"/>
        <v>-1.8244372417957289E-2</v>
      </c>
      <c r="R36" s="42">
        <f t="shared" ref="R36" si="37">$S16/R16-1</f>
        <v>0.5625</v>
      </c>
    </row>
    <row r="37" spans="1:18" x14ac:dyDescent="0.2">
      <c r="A37" s="10" t="str">
        <f t="shared" ref="A37:D37" si="38">A17</f>
        <v>ABT</v>
      </c>
      <c r="B37" s="10" t="str">
        <f t="shared" si="38"/>
        <v>ELECTROPHYSIOLOGY</v>
      </c>
      <c r="C37" s="10" t="str">
        <f t="shared" si="38"/>
        <v>2020Q3</v>
      </c>
      <c r="D37" s="10">
        <f t="shared" si="38"/>
        <v>20201015</v>
      </c>
      <c r="E37" s="19">
        <f t="shared" ref="E37:I37" si="39">$S17/E17-1</f>
        <v>2.1713291222355657E-2</v>
      </c>
      <c r="F37" s="19">
        <f t="shared" si="39"/>
        <v>9.6395440640300034E-3</v>
      </c>
      <c r="G37" s="19">
        <f t="shared" si="29"/>
        <v>1.7196043478243661E-2</v>
      </c>
      <c r="H37" s="19">
        <f t="shared" si="39"/>
        <v>3.904153656752718E-2</v>
      </c>
      <c r="I37" s="19">
        <f t="shared" si="39"/>
        <v>-0.10185716711969628</v>
      </c>
      <c r="J37" s="19">
        <f t="shared" si="22"/>
        <v>-5.5944067461428659E-3</v>
      </c>
      <c r="K37" s="19">
        <f t="shared" si="22"/>
        <v>0.20930289108782163</v>
      </c>
      <c r="L37" s="19">
        <f t="shared" ref="L37:Q37" si="40">$S17/L17-1</f>
        <v>0.17608463025827237</v>
      </c>
      <c r="M37" s="19">
        <f t="shared" si="40"/>
        <v>2.7476030132843388E-2</v>
      </c>
      <c r="N37" s="19">
        <f t="shared" si="40"/>
        <v>0.12672255458232651</v>
      </c>
      <c r="O37" s="19">
        <f t="shared" si="40"/>
        <v>0.11739937728108685</v>
      </c>
      <c r="P37" s="19">
        <f t="shared" si="40"/>
        <v>0.1310515809627244</v>
      </c>
      <c r="Q37" s="19">
        <f t="shared" si="40"/>
        <v>0.12844349460410909</v>
      </c>
      <c r="R37" s="42">
        <f>$S17/R17-1</f>
        <v>0.15453998797354163</v>
      </c>
    </row>
    <row r="38" spans="1:18" x14ac:dyDescent="0.2">
      <c r="A38" s="10" t="str">
        <f t="shared" ref="A38:D38" si="41">A18</f>
        <v>ABT</v>
      </c>
      <c r="B38" s="10" t="str">
        <f t="shared" si="41"/>
        <v>ELECTROPHYSIOLOGY</v>
      </c>
      <c r="C38" s="10" t="str">
        <f t="shared" si="41"/>
        <v>2020Q4</v>
      </c>
      <c r="D38" s="10">
        <f t="shared" si="41"/>
        <v>20210121</v>
      </c>
      <c r="E38" s="19">
        <f t="shared" ref="E38:I38" si="42">$S18/E18-1</f>
        <v>1.5318087430971739E-2</v>
      </c>
      <c r="F38" s="19">
        <f t="shared" si="42"/>
        <v>2.2110812143698588E-2</v>
      </c>
      <c r="G38" s="19">
        <f t="shared" si="29"/>
        <v>1.9894319104944769E-2</v>
      </c>
      <c r="H38" s="19">
        <f t="shared" si="42"/>
        <v>4.4839485256420675E-2</v>
      </c>
      <c r="I38" s="19">
        <f t="shared" si="42"/>
        <v>-7.3657620896415255E-2</v>
      </c>
      <c r="J38" s="19">
        <f t="shared" si="22"/>
        <v>3.9407621261338122E-3</v>
      </c>
      <c r="K38" s="19">
        <f t="shared" si="22"/>
        <v>-6.2592939196600694E-3</v>
      </c>
      <c r="L38" s="19">
        <f t="shared" ref="L38:Q38" si="43">$S18/L18-1</f>
        <v>1.2352198517769031E-2</v>
      </c>
      <c r="M38" s="19">
        <f t="shared" si="43"/>
        <v>2.65266036375289E-3</v>
      </c>
      <c r="N38" s="19">
        <f t="shared" si="43"/>
        <v>5.5800932733129915E-3</v>
      </c>
      <c r="O38" s="19">
        <f t="shared" si="43"/>
        <v>3.1397618720450549E-2</v>
      </c>
      <c r="P38" s="19">
        <f t="shared" si="43"/>
        <v>9.5888125901184562E-3</v>
      </c>
      <c r="Q38" s="19">
        <f t="shared" si="43"/>
        <v>9.0880307220773116E-3</v>
      </c>
      <c r="R38" s="42">
        <f>$S18/R18-1</f>
        <v>-0.10243902439024388</v>
      </c>
    </row>
    <row r="39" spans="1:18" x14ac:dyDescent="0.2">
      <c r="A39" s="10" t="str">
        <f t="shared" ref="A39:D39" si="44">A19</f>
        <v>ABT</v>
      </c>
      <c r="B39" s="10" t="str">
        <f t="shared" si="44"/>
        <v>ELECTROPHYSIOLOGY</v>
      </c>
      <c r="C39" s="10" t="str">
        <f t="shared" si="44"/>
        <v>2021Q1</v>
      </c>
      <c r="D39" s="10">
        <f t="shared" si="44"/>
        <v>20210415</v>
      </c>
      <c r="E39" s="19">
        <f t="shared" ref="E39:I39" si="45">$S19/E19-1</f>
        <v>-9.7336149214227619E-2</v>
      </c>
      <c r="F39" s="19">
        <f t="shared" si="45"/>
        <v>-5.8655551243368187E-2</v>
      </c>
      <c r="G39" s="19">
        <f t="shared" si="29"/>
        <v>-2.3502638536785359E-2</v>
      </c>
      <c r="H39" s="19">
        <f t="shared" si="45"/>
        <v>-9.2556287896991329E-2</v>
      </c>
      <c r="I39" s="19">
        <f t="shared" si="45"/>
        <v>-0.12110645803265907</v>
      </c>
      <c r="J39" s="19">
        <f>$S19/J19-1</f>
        <v>-7.9867798900820297E-2</v>
      </c>
      <c r="K39" s="19">
        <f t="shared" ref="K39:Q39" si="46">$S19/K19-1</f>
        <v>-0.11095462401368716</v>
      </c>
      <c r="L39" s="19">
        <f t="shared" si="46"/>
        <v>-7.9019185031095951E-2</v>
      </c>
      <c r="M39" s="19">
        <f t="shared" si="46"/>
        <v>-4.2550445500877943E-2</v>
      </c>
      <c r="N39" s="19">
        <f t="shared" si="46"/>
        <v>-0.13149940741346766</v>
      </c>
      <c r="O39" s="19">
        <f t="shared" si="46"/>
        <v>-5.1221706149468971E-2</v>
      </c>
      <c r="P39" s="19">
        <f t="shared" si="46"/>
        <v>-8.3479587828932722E-2</v>
      </c>
      <c r="Q39" s="19">
        <f t="shared" si="46"/>
        <v>-8.4182306814053476E-2</v>
      </c>
      <c r="R39" s="42">
        <f>$S19/R19-1</f>
        <v>-2.7173913043478271E-2</v>
      </c>
    </row>
    <row r="40" spans="1:18" x14ac:dyDescent="0.2">
      <c r="A40" s="10" t="str">
        <f t="shared" ref="A40:D40" si="47">A20</f>
        <v>ABT</v>
      </c>
      <c r="B40" s="10" t="str">
        <f t="shared" si="47"/>
        <v>ELECTROPHYSIOLOGY</v>
      </c>
      <c r="C40" s="10" t="str">
        <f t="shared" si="47"/>
        <v>2021Q2</v>
      </c>
      <c r="D40" s="10">
        <f t="shared" si="47"/>
        <v>20210715</v>
      </c>
      <c r="E40" s="19">
        <f>$S20/E20-1</f>
        <v>-8.9136008372069142E-2</v>
      </c>
      <c r="F40" s="19">
        <f t="shared" ref="F40:I40" si="48">$S20/F20-1</f>
        <v>-7.2569139593458454E-2</v>
      </c>
      <c r="G40" s="19">
        <f t="shared" si="29"/>
        <v>-3.6676553653124389E-2</v>
      </c>
      <c r="H40" s="19">
        <f t="shared" si="48"/>
        <v>-0.10616671620170981</v>
      </c>
      <c r="I40" s="19">
        <f t="shared" si="48"/>
        <v>-0.12777046704753137</v>
      </c>
      <c r="J40" s="19">
        <f>$S20/J20-1</f>
        <v>-8.749853432180843E-2</v>
      </c>
      <c r="K40" s="19">
        <f t="shared" ref="K40:Q40" si="49">$S20/K20-1</f>
        <v>9.0843793456669708E-3</v>
      </c>
      <c r="L40" s="19">
        <f t="shared" si="49"/>
        <v>-1.4780549636711493E-2</v>
      </c>
      <c r="M40" s="19">
        <f t="shared" si="49"/>
        <v>-1.3490988953210103E-2</v>
      </c>
      <c r="N40" s="19">
        <f t="shared" si="49"/>
        <v>-1.4998647434755208E-2</v>
      </c>
      <c r="O40" s="19">
        <f t="shared" si="49"/>
        <v>-7.5822709994607385E-3</v>
      </c>
      <c r="P40" s="19">
        <f t="shared" si="49"/>
        <v>-8.2930859412100322E-3</v>
      </c>
      <c r="Q40" s="19">
        <f t="shared" si="49"/>
        <v>-8.4127665501377846E-3</v>
      </c>
      <c r="R40" s="42">
        <f>$S20/R20-1</f>
        <v>7.6764554353426107E-2</v>
      </c>
    </row>
    <row r="41" spans="1:18" x14ac:dyDescent="0.2">
      <c r="A41" s="173" t="s">
        <v>78</v>
      </c>
      <c r="B41" s="173"/>
      <c r="C41" s="169"/>
      <c r="D41" s="170"/>
      <c r="E41" s="81" cm="1">
        <f t="array" ref="E41">SUM(ABS(E26:E40))/COUNT(E26:E40)</f>
        <v>8.2380543710842219E-2</v>
      </c>
      <c r="F41" s="81" cm="1">
        <f t="array" ref="F41">SUM(ABS(F26:F40))/COUNT(F26:F40)</f>
        <v>7.152217554550365E-2</v>
      </c>
      <c r="G41" s="83" cm="1">
        <f t="array" ref="G41">SUM(ABS(G26:G40))/COUNT(G26:G40)</f>
        <v>4.8278091780936817E-2</v>
      </c>
      <c r="H41" s="81" cm="1">
        <f t="array" ref="H41">SUM(ABS(H26:H40))/COUNT(H26:H40)</f>
        <v>6.2215108775112535E-2</v>
      </c>
      <c r="I41" s="81" cm="1">
        <f t="array" ref="I41">SUM(ABS(I26:I40))/COUNT(I26:I40)</f>
        <v>0.14006540530027867</v>
      </c>
      <c r="J41" s="81" cm="1">
        <f t="array" ref="J41">SUM(ABS(J26:J40))/COUNT(J26:J40)</f>
        <v>7.2061021613216439E-2</v>
      </c>
      <c r="K41" s="81" cm="1">
        <f t="array" ref="K41">SUM(ABS(K26:K40))/COUNT(K26:K40)</f>
        <v>6.2330723306332145E-2</v>
      </c>
      <c r="L41" s="81" cm="1">
        <f t="array" ref="L41">SUM(ABS(L26:L40))/COUNT(L26:L40)</f>
        <v>5.0860352070085546E-2</v>
      </c>
      <c r="M41" s="83" cm="1">
        <f t="array" ref="M41">SUM(ABS(M26:M40))/COUNT(M26:M40)</f>
        <v>4.9896912905053485E-2</v>
      </c>
      <c r="N41" s="81" cm="1">
        <f t="array" ref="N41">SUM(ABS(N26:N40))/COUNT(N26:N40)</f>
        <v>6.7329806763479702E-2</v>
      </c>
      <c r="O41" s="81" cm="1">
        <f t="array" ref="O41">SUM(ABS(O26:O40))/COUNT(O26:O40)</f>
        <v>6.6504408506323817E-2</v>
      </c>
      <c r="P41" s="83" cm="1">
        <f t="array" ref="P41">SUM(ABS(P26:P40))/COUNT(P26:P40)</f>
        <v>4.5116893168012352E-2</v>
      </c>
      <c r="Q41" s="83" cm="1">
        <f t="array" ref="Q41">SUM(ABS(Q26:Q40))/COUNT(Q26:Q40)</f>
        <v>4.3215036199238201E-2</v>
      </c>
      <c r="R41" s="81" cm="1">
        <f t="array" ref="R41">SUM(ABS(R26:R40))/COUNT(R26:R40)</f>
        <v>0.11460472238462821</v>
      </c>
    </row>
    <row r="42" spans="1:18" x14ac:dyDescent="0.2">
      <c r="A42" s="174" t="s">
        <v>79</v>
      </c>
      <c r="B42" s="174"/>
      <c r="C42" s="171"/>
      <c r="D42" s="172"/>
      <c r="E42" s="82" cm="1">
        <f t="array" ref="E42">SQRT(SUM(POWER(E26:E40,2))/COUNT(E26:E40))</f>
        <v>9.1431860321562336E-2</v>
      </c>
      <c r="F42" s="82" cm="1">
        <f t="array" ref="F42">SQRT(SUM(POWER(F26:F40,2))/COUNT(F26:F40))</f>
        <v>7.9991072780095318E-2</v>
      </c>
      <c r="G42" s="84" cm="1">
        <f t="array" ref="G42">SQRT(SUM(POWER(G26:G40,2))/COUNT(G26:G40))</f>
        <v>6.9605437362152328E-2</v>
      </c>
      <c r="H42" s="82" cm="1">
        <f t="array" ref="H42">SQRT(SUM(POWER(H26:H40,2))/COUNT(H26:H40))</f>
        <v>7.7682666890768179E-2</v>
      </c>
      <c r="I42" s="82" cm="1">
        <f t="array" ref="I42">SQRT(SUM(POWER(I26:I40,2))/COUNT(I26:I40))</f>
        <v>0.1490943952956342</v>
      </c>
      <c r="J42" s="82" cm="1">
        <f t="array" ref="J42">SQRT(SUM(POWER(J26:J40,2))/COUNT(J26:J40))</f>
        <v>8.1111404283079294E-2</v>
      </c>
      <c r="K42" s="82" cm="1">
        <f t="array" ref="K42">SQRT(SUM(POWER(K26:K40,2))/COUNT(K26:K40))</f>
        <v>8.2359630781998719E-2</v>
      </c>
      <c r="L42" s="82" cm="1">
        <f t="array" ref="L42">SQRT(SUM(POWER(L26:L40,2))/COUNT(L26:L40))</f>
        <v>6.6601270184246997E-2</v>
      </c>
      <c r="M42" s="84" cm="1">
        <f t="array" ref="M42">SQRT(SUM(POWER(M26:M40,2))/COUNT(M26:M40))</f>
        <v>7.0762918672079247E-2</v>
      </c>
      <c r="N42" s="82" cm="1">
        <f t="array" ref="N42">SQRT(SUM(POWER(N26:N40,2))/COUNT(N26:N40))</f>
        <v>8.6781139380383343E-2</v>
      </c>
      <c r="O42" s="82" cm="1">
        <f t="array" ref="O42">SQRT(SUM(POWER(O26:O40,2))/COUNT(O26:O40))</f>
        <v>8.6014485420689818E-2</v>
      </c>
      <c r="P42" s="84" cm="1">
        <f t="array" ref="P42">SQRT(SUM(POWER(P26:P40,2))/COUNT(P26:P40))</f>
        <v>5.8345696503724807E-2</v>
      </c>
      <c r="Q42" s="84" cm="1">
        <f t="array" ref="Q42">SQRT(SUM(POWER(Q26:Q40,2))/COUNT(Q26:Q40))</f>
        <v>5.6412046902355219E-2</v>
      </c>
      <c r="R42" s="82" cm="1">
        <f t="array" ref="R42">SQRT(SUM(POWER(R26:R40,2))/COUNT(R26:R40))</f>
        <v>0.1706555384214708</v>
      </c>
    </row>
    <row r="44" spans="1:18" x14ac:dyDescent="0.2">
      <c r="B44" t="s">
        <v>159</v>
      </c>
    </row>
  </sheetData>
  <mergeCells count="7">
    <mergeCell ref="A22:D22"/>
    <mergeCell ref="A4:B4"/>
    <mergeCell ref="A24:B24"/>
    <mergeCell ref="C41:D41"/>
    <mergeCell ref="C42:D4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69"/>
  <sheetViews>
    <sheetView zoomScale="85" zoomScaleNormal="85" workbookViewId="0">
      <selection activeCell="O11" sqref="O11"/>
    </sheetView>
  </sheetViews>
  <sheetFormatPr defaultRowHeight="12.75" x14ac:dyDescent="0.2"/>
  <cols>
    <col min="1" max="1" width="9.140625" style="74"/>
    <col min="3" max="3" width="12.85546875" bestFit="1" customWidth="1"/>
    <col min="4" max="4" width="8.85546875" customWidth="1"/>
    <col min="5" max="5" width="6.42578125" customWidth="1"/>
    <col min="6" max="6" width="8.42578125" bestFit="1" customWidth="1"/>
    <col min="7" max="7" width="14.42578125" bestFit="1" customWidth="1"/>
    <col min="8" max="8" width="8.140625" bestFit="1" customWidth="1"/>
    <col min="9" max="9" width="7.42578125" bestFit="1" customWidth="1"/>
    <col min="10" max="10" width="11.85546875" bestFit="1" customWidth="1"/>
    <col min="11" max="11" width="12.42578125" bestFit="1" customWidth="1"/>
    <col min="12" max="12" width="6.42578125" bestFit="1" customWidth="1"/>
    <col min="13" max="13" width="7.42578125" bestFit="1" customWidth="1"/>
  </cols>
  <sheetData>
    <row r="1" spans="1:17" x14ac:dyDescent="0.2">
      <c r="A1" s="74" t="s">
        <v>104</v>
      </c>
      <c r="B1" t="s">
        <v>84</v>
      </c>
    </row>
    <row r="2" spans="1:17" x14ac:dyDescent="0.2">
      <c r="A2" s="74" t="s">
        <v>99</v>
      </c>
      <c r="B2" t="s">
        <v>82</v>
      </c>
    </row>
    <row r="3" spans="1:17" x14ac:dyDescent="0.2">
      <c r="A3" s="74" t="s">
        <v>100</v>
      </c>
      <c r="B3" t="s">
        <v>148</v>
      </c>
    </row>
    <row r="4" spans="1:17" x14ac:dyDescent="0.2">
      <c r="A4" s="74" t="s">
        <v>101</v>
      </c>
      <c r="B4" t="s">
        <v>168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74" t="s">
        <v>102</v>
      </c>
      <c r="B7" s="175" t="s">
        <v>83</v>
      </c>
      <c r="C7" s="175"/>
      <c r="D7" s="175" t="s">
        <v>113</v>
      </c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6"/>
      <c r="P7" s="6"/>
      <c r="Q7" s="6"/>
    </row>
    <row r="8" spans="1:17" ht="15" x14ac:dyDescent="0.2">
      <c r="A8" t="s">
        <v>60</v>
      </c>
      <c r="C8" s="78" t="s">
        <v>85</v>
      </c>
      <c r="D8" s="78" t="s">
        <v>86</v>
      </c>
      <c r="E8" s="78" t="s">
        <v>87</v>
      </c>
      <c r="F8" s="78" t="s">
        <v>88</v>
      </c>
      <c r="G8" s="78" t="s">
        <v>89</v>
      </c>
      <c r="H8" s="78" t="s">
        <v>90</v>
      </c>
      <c r="I8" s="78" t="s">
        <v>91</v>
      </c>
      <c r="J8" s="78" t="s">
        <v>92</v>
      </c>
      <c r="K8" s="78" t="s">
        <v>93</v>
      </c>
      <c r="L8" s="78" t="s">
        <v>94</v>
      </c>
      <c r="M8" s="78" t="s">
        <v>95</v>
      </c>
      <c r="O8" s="6"/>
      <c r="P8" s="6"/>
      <c r="Q8" s="6"/>
    </row>
    <row r="9" spans="1:17" ht="15" x14ac:dyDescent="0.2">
      <c r="B9" s="78" t="s">
        <v>96</v>
      </c>
      <c r="C9" s="2">
        <v>0.12457188836286651</v>
      </c>
      <c r="D9" s="73">
        <v>3.9933163906501028E-2</v>
      </c>
      <c r="E9" s="2">
        <v>5.6334817784185053E-2</v>
      </c>
      <c r="F9" s="2">
        <v>6.0076976548632068E-2</v>
      </c>
      <c r="G9" s="2">
        <v>6.2718069152799177E-2</v>
      </c>
      <c r="H9" s="2">
        <v>5.6433308778851263E-2</v>
      </c>
      <c r="I9" s="2">
        <v>5.766853724710698E-2</v>
      </c>
      <c r="J9" s="2">
        <v>6.2644898588240155E-2</v>
      </c>
      <c r="K9" s="2">
        <v>6.5960128389957129E-2</v>
      </c>
      <c r="L9" s="2">
        <v>6.8295567999465387E-2</v>
      </c>
      <c r="M9" s="2">
        <v>7.6205407830532881E-2</v>
      </c>
      <c r="O9" s="6"/>
      <c r="P9" s="6"/>
      <c r="Q9" s="6"/>
    </row>
    <row r="10" spans="1:17" ht="15" x14ac:dyDescent="0.2">
      <c r="B10" s="78" t="s">
        <v>97</v>
      </c>
      <c r="C10" s="2">
        <v>0.1560171741649661</v>
      </c>
      <c r="D10" s="73">
        <v>4.7642197233535473E-2</v>
      </c>
      <c r="E10" s="2">
        <v>8.5086468566799925E-2</v>
      </c>
      <c r="F10" s="2">
        <v>7.652776381143056E-2</v>
      </c>
      <c r="G10" s="2">
        <v>8.1994151629547651E-2</v>
      </c>
      <c r="H10" s="2">
        <v>8.5258927420048272E-2</v>
      </c>
      <c r="I10" s="2">
        <v>8.8312501810135668E-2</v>
      </c>
      <c r="J10" s="2">
        <v>8.1754103871331016E-2</v>
      </c>
      <c r="K10" s="2">
        <v>8.974208633365921E-2</v>
      </c>
      <c r="L10" s="2">
        <v>0.1129329042340521</v>
      </c>
      <c r="M10" s="2">
        <v>0.11796021713427619</v>
      </c>
      <c r="O10" s="6"/>
      <c r="P10" s="6"/>
      <c r="Q10" s="6"/>
    </row>
    <row r="11" spans="1:17" ht="15" x14ac:dyDescent="0.2">
      <c r="B11" s="78" t="s">
        <v>98</v>
      </c>
      <c r="C11" s="2">
        <v>4.0132283555735622E-2</v>
      </c>
      <c r="D11" s="73">
        <v>3.1149929165218859E-2</v>
      </c>
      <c r="E11" s="2">
        <v>-2.7403039184635099E-2</v>
      </c>
      <c r="F11" s="2">
        <v>-4.1425199010758751E-2</v>
      </c>
      <c r="G11" s="2">
        <v>-2.502945959685771E-2</v>
      </c>
      <c r="H11" s="2">
        <v>-2.7608099371339619E-2</v>
      </c>
      <c r="I11" s="2">
        <v>-2.898491764409367E-2</v>
      </c>
      <c r="J11" s="2">
        <v>-2.514880523419433E-2</v>
      </c>
      <c r="K11" s="2">
        <v>-2.650009567687639E-2</v>
      </c>
      <c r="L11" s="2">
        <v>-1.157012831345366E-2</v>
      </c>
      <c r="M11" s="2">
        <v>8.8841801150933986E-3</v>
      </c>
      <c r="O11" s="6"/>
      <c r="P11" s="6"/>
      <c r="Q11" s="6"/>
    </row>
    <row r="12" spans="1:17" x14ac:dyDescent="0.2">
      <c r="C12" s="73"/>
      <c r="D12" s="2"/>
      <c r="E12" s="2"/>
      <c r="F12" s="73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ht="15" x14ac:dyDescent="0.2">
      <c r="A13" s="74" t="s">
        <v>175</v>
      </c>
      <c r="C13" s="78" t="s">
        <v>85</v>
      </c>
      <c r="D13" s="78" t="s">
        <v>86</v>
      </c>
      <c r="E13" s="78" t="s">
        <v>87</v>
      </c>
      <c r="F13" s="78" t="s">
        <v>88</v>
      </c>
      <c r="G13" s="78" t="s">
        <v>89</v>
      </c>
      <c r="H13" s="78" t="s">
        <v>90</v>
      </c>
      <c r="I13" s="78" t="s">
        <v>91</v>
      </c>
      <c r="J13" s="78" t="s">
        <v>92</v>
      </c>
      <c r="K13" s="78" t="s">
        <v>93</v>
      </c>
      <c r="L13" s="78" t="s">
        <v>94</v>
      </c>
      <c r="M13" s="78" t="s">
        <v>95</v>
      </c>
      <c r="O13" s="6"/>
      <c r="P13" s="6"/>
      <c r="Q13" s="6"/>
    </row>
    <row r="14" spans="1:17" ht="15" x14ac:dyDescent="0.2">
      <c r="B14" s="78" t="s">
        <v>96</v>
      </c>
      <c r="C14" s="2">
        <v>9.8413209292073811E-2</v>
      </c>
      <c r="D14" s="73">
        <v>4.3259071007223371E-2</v>
      </c>
      <c r="E14" s="73">
        <v>3.9679830606231682E-2</v>
      </c>
      <c r="F14" s="2">
        <v>6.6927277534521212E-2</v>
      </c>
      <c r="G14" s="2">
        <v>4.5561555520692923E-2</v>
      </c>
      <c r="H14" s="2">
        <v>3.9734665677520313E-2</v>
      </c>
      <c r="I14" s="2">
        <v>4.069533925890946E-2</v>
      </c>
      <c r="J14" s="2">
        <v>4.5628873730513879E-2</v>
      </c>
      <c r="K14" s="2">
        <v>4.4737462722683953E-2</v>
      </c>
      <c r="L14" s="73">
        <v>3.618886297079095E-2</v>
      </c>
      <c r="M14" s="2">
        <v>4.7700029299583772E-2</v>
      </c>
      <c r="O14" s="6"/>
      <c r="P14" s="6"/>
      <c r="Q14" s="6"/>
    </row>
    <row r="15" spans="1:17" ht="15" x14ac:dyDescent="0.2">
      <c r="B15" s="78" t="s">
        <v>97</v>
      </c>
      <c r="C15" s="2">
        <v>0.1124542308596968</v>
      </c>
      <c r="D15" s="73">
        <v>5.0108537277029339E-2</v>
      </c>
      <c r="E15" s="73">
        <v>4.5775335721136901E-2</v>
      </c>
      <c r="F15" s="2">
        <v>8.1078278562906572E-2</v>
      </c>
      <c r="G15" s="2">
        <v>4.9648210141020201E-2</v>
      </c>
      <c r="H15" s="2">
        <v>4.5863181717319533E-2</v>
      </c>
      <c r="I15" s="2">
        <v>4.745364112052846E-2</v>
      </c>
      <c r="J15" s="2">
        <v>4.9757872842744938E-2</v>
      </c>
      <c r="K15" s="2">
        <v>4.9853918554310851E-2</v>
      </c>
      <c r="L15" s="73">
        <v>4.0877441655008763E-2</v>
      </c>
      <c r="M15" s="2">
        <v>5.2466889254087289E-2</v>
      </c>
      <c r="O15" s="6"/>
      <c r="P15" s="6"/>
      <c r="Q15" s="6"/>
    </row>
    <row r="16" spans="1:17" ht="15" x14ac:dyDescent="0.2">
      <c r="B16" s="78" t="s">
        <v>98</v>
      </c>
      <c r="C16" s="2">
        <v>5.2331606217616462E-2</v>
      </c>
      <c r="D16" s="73">
        <v>3.8277511961722473E-2</v>
      </c>
      <c r="E16" s="73">
        <v>-3.1563928071832392E-2</v>
      </c>
      <c r="F16" s="2">
        <v>-5.8873506787866507E-2</v>
      </c>
      <c r="G16" s="2">
        <v>-4.2550342768293392E-2</v>
      </c>
      <c r="H16" s="2">
        <v>-3.16895794079467E-2</v>
      </c>
      <c r="I16" s="2">
        <v>-3.3726496229388607E-2</v>
      </c>
      <c r="J16" s="2">
        <v>-4.2644981109613012E-2</v>
      </c>
      <c r="K16" s="2">
        <v>-4.0405306093347138E-2</v>
      </c>
      <c r="L16" s="73">
        <v>-1.5310509305708989E-2</v>
      </c>
      <c r="M16" s="2">
        <v>-3.3033190899389393E-2</v>
      </c>
      <c r="O16" s="6"/>
      <c r="P16" s="6"/>
      <c r="Q16" s="6"/>
    </row>
    <row r="17" spans="1:17" x14ac:dyDescent="0.2">
      <c r="C17" s="73"/>
      <c r="D17" s="2"/>
      <c r="E17" s="2"/>
      <c r="F17" s="73"/>
      <c r="G17" s="2"/>
      <c r="H17" s="2"/>
      <c r="I17" s="2"/>
      <c r="J17" s="2"/>
      <c r="K17" s="2"/>
      <c r="L17" s="2"/>
      <c r="M17" s="2"/>
      <c r="O17" s="6"/>
      <c r="P17" s="6"/>
      <c r="Q17" s="6"/>
    </row>
    <row r="18" spans="1:17" ht="15" x14ac:dyDescent="0.2">
      <c r="A18" s="74" t="s">
        <v>173</v>
      </c>
      <c r="C18" s="78" t="s">
        <v>85</v>
      </c>
      <c r="D18" s="78" t="s">
        <v>86</v>
      </c>
      <c r="E18" s="78" t="s">
        <v>87</v>
      </c>
      <c r="F18" s="78" t="s">
        <v>88</v>
      </c>
      <c r="G18" s="78" t="s">
        <v>89</v>
      </c>
      <c r="H18" s="78" t="s">
        <v>90</v>
      </c>
      <c r="I18" s="78" t="s">
        <v>91</v>
      </c>
      <c r="J18" s="78" t="s">
        <v>92</v>
      </c>
      <c r="K18" s="78" t="s">
        <v>93</v>
      </c>
      <c r="L18" s="78" t="s">
        <v>94</v>
      </c>
      <c r="M18" s="78" t="s">
        <v>95</v>
      </c>
      <c r="O18" s="6"/>
      <c r="P18" s="6"/>
      <c r="Q18" s="6"/>
    </row>
    <row r="19" spans="1:17" ht="15" x14ac:dyDescent="0.2">
      <c r="B19" s="78" t="s">
        <v>96</v>
      </c>
      <c r="C19" s="2">
        <v>0.12457188836286651</v>
      </c>
      <c r="D19" s="2">
        <v>8.3760786545423987E-2</v>
      </c>
      <c r="E19" s="73">
        <v>4.6558890663362093E-2</v>
      </c>
      <c r="F19" s="2">
        <v>6.0076976548632068E-2</v>
      </c>
      <c r="G19" s="2">
        <v>5.1497909169940508E-2</v>
      </c>
      <c r="H19" s="2">
        <v>4.5680741465639871E-2</v>
      </c>
      <c r="I19" s="2">
        <v>4.7753847871027343E-2</v>
      </c>
      <c r="J19" s="2">
        <v>5.0702391536016342E-2</v>
      </c>
      <c r="K19" s="2">
        <v>5.0571307062954277E-2</v>
      </c>
      <c r="L19" s="2">
        <v>6.0866894392713353E-2</v>
      </c>
      <c r="M19" s="2">
        <v>0.36409425728882161</v>
      </c>
      <c r="O19" s="6"/>
      <c r="P19" s="6"/>
      <c r="Q19" s="6"/>
    </row>
    <row r="20" spans="1:17" ht="15" x14ac:dyDescent="0.2">
      <c r="B20" s="78" t="s">
        <v>97</v>
      </c>
      <c r="C20" s="2">
        <v>0.1560171741649661</v>
      </c>
      <c r="D20" s="2">
        <v>9.6134625587506614E-2</v>
      </c>
      <c r="E20" s="73">
        <v>6.2557009862546031E-2</v>
      </c>
      <c r="F20" s="2">
        <v>7.652776381143056E-2</v>
      </c>
      <c r="G20" s="2">
        <v>6.2088542421516298E-2</v>
      </c>
      <c r="H20" s="2">
        <v>6.259828519942684E-2</v>
      </c>
      <c r="I20" s="2">
        <v>6.5292400361192771E-2</v>
      </c>
      <c r="J20" s="2">
        <v>6.0849784136303847E-2</v>
      </c>
      <c r="K20" s="2">
        <v>6.0360346808026301E-2</v>
      </c>
      <c r="L20" s="2">
        <v>8.0122485028885401E-2</v>
      </c>
      <c r="M20" s="2">
        <v>0.70203036299536703</v>
      </c>
      <c r="O20" s="6"/>
      <c r="P20" s="6"/>
      <c r="Q20" s="6"/>
    </row>
    <row r="21" spans="1:17" ht="15" x14ac:dyDescent="0.2">
      <c r="B21" s="78" t="s">
        <v>98</v>
      </c>
      <c r="C21" s="2">
        <v>4.0132283555735622E-2</v>
      </c>
      <c r="D21" s="2">
        <v>9.1561175666438843E-2</v>
      </c>
      <c r="E21" s="73">
        <v>1.1989892486329871E-2</v>
      </c>
      <c r="F21" s="2">
        <v>-4.1425199010758751E-2</v>
      </c>
      <c r="G21" s="2">
        <v>-1.4984483157567339E-2</v>
      </c>
      <c r="H21" s="2">
        <v>1.0025990462997901E-2</v>
      </c>
      <c r="I21" s="2">
        <v>1.197500316537148E-2</v>
      </c>
      <c r="J21" s="2">
        <v>-1.6050831889771518E-2</v>
      </c>
      <c r="K21" s="2">
        <v>-2.1825970057329391E-2</v>
      </c>
      <c r="L21" s="2">
        <v>-2.0369874198012391E-2</v>
      </c>
      <c r="M21" s="2">
        <v>-3.738649697026114E-2</v>
      </c>
      <c r="O21" s="6"/>
      <c r="P21" s="6"/>
      <c r="Q21" s="6"/>
    </row>
    <row r="22" spans="1:17" x14ac:dyDescent="0.2">
      <c r="C22" s="73"/>
      <c r="D22" s="2"/>
      <c r="E22" s="2"/>
      <c r="F22" s="73"/>
      <c r="G22" s="2"/>
      <c r="H22" s="2"/>
      <c r="I22" s="2"/>
      <c r="J22" s="2"/>
      <c r="K22" s="2"/>
      <c r="L22" s="2"/>
      <c r="M22" s="2"/>
      <c r="O22" s="6"/>
      <c r="P22" s="6"/>
      <c r="Q22" s="6"/>
    </row>
    <row r="23" spans="1:17" x14ac:dyDescent="0.2">
      <c r="C23" s="73"/>
      <c r="D23" s="2"/>
      <c r="E23" s="2"/>
      <c r="F23" s="73"/>
      <c r="G23" s="2"/>
      <c r="H23" s="2"/>
      <c r="I23" s="2"/>
      <c r="J23" s="2"/>
      <c r="K23" s="2"/>
      <c r="L23" s="2"/>
      <c r="M23" s="2"/>
      <c r="O23" s="6"/>
      <c r="P23" s="6"/>
      <c r="Q23" s="6"/>
    </row>
    <row r="24" spans="1:17" ht="15" x14ac:dyDescent="0.2">
      <c r="A24" s="74" t="s">
        <v>174</v>
      </c>
      <c r="C24" s="78" t="s">
        <v>85</v>
      </c>
      <c r="D24" s="78" t="s">
        <v>86</v>
      </c>
      <c r="E24" s="78" t="s">
        <v>87</v>
      </c>
      <c r="F24" s="78" t="s">
        <v>88</v>
      </c>
      <c r="G24" s="78" t="s">
        <v>89</v>
      </c>
      <c r="H24" s="78" t="s">
        <v>90</v>
      </c>
      <c r="I24" s="78" t="s">
        <v>91</v>
      </c>
      <c r="J24" s="78" t="s">
        <v>92</v>
      </c>
      <c r="K24" s="78" t="s">
        <v>93</v>
      </c>
      <c r="L24" s="78" t="s">
        <v>94</v>
      </c>
      <c r="M24" s="78" t="s">
        <v>95</v>
      </c>
      <c r="O24" s="6"/>
      <c r="P24" s="6"/>
      <c r="Q24" s="6"/>
    </row>
    <row r="25" spans="1:17" ht="15" x14ac:dyDescent="0.2">
      <c r="B25" s="78" t="s">
        <v>96</v>
      </c>
      <c r="C25" s="2">
        <v>9.8413209292073811E-2</v>
      </c>
      <c r="D25" s="2">
        <v>7.7789762828248885E-2</v>
      </c>
      <c r="E25" s="73">
        <v>3.568899499936061E-2</v>
      </c>
      <c r="F25" s="2">
        <v>6.6927277534521212E-2</v>
      </c>
      <c r="G25" s="2">
        <v>4.8146473954293063E-2</v>
      </c>
      <c r="H25" s="73">
        <v>3.4602699916944167E-2</v>
      </c>
      <c r="I25" s="2">
        <v>3.5814232457467149E-2</v>
      </c>
      <c r="J25" s="2">
        <v>4.7345099840133562E-2</v>
      </c>
      <c r="K25" s="2">
        <v>4.4258664631413917E-2</v>
      </c>
      <c r="L25" s="2">
        <v>6.738491541361305E-2</v>
      </c>
      <c r="M25" s="2">
        <v>0.24628785163845479</v>
      </c>
      <c r="O25" s="6"/>
      <c r="P25" s="6"/>
      <c r="Q25" s="6"/>
    </row>
    <row r="26" spans="1:17" ht="15" x14ac:dyDescent="0.2">
      <c r="B26" s="78" t="s">
        <v>97</v>
      </c>
      <c r="C26" s="2">
        <v>0.1124542308596968</v>
      </c>
      <c r="D26" s="2">
        <v>9.0377241707867567E-2</v>
      </c>
      <c r="E26" s="73">
        <v>4.2687692464633123E-2</v>
      </c>
      <c r="F26" s="2">
        <v>8.1078278562906572E-2</v>
      </c>
      <c r="G26" s="2">
        <v>5.7740124213465242E-2</v>
      </c>
      <c r="H26" s="73">
        <v>4.2235253101251521E-2</v>
      </c>
      <c r="I26" s="2">
        <v>4.2853690584604399E-2</v>
      </c>
      <c r="J26" s="2">
        <v>5.6361196006235077E-2</v>
      </c>
      <c r="K26" s="2">
        <v>5.123953512530819E-2</v>
      </c>
      <c r="L26" s="2">
        <v>8.598545843236724E-2</v>
      </c>
      <c r="M26" s="2">
        <v>0.54522843968729007</v>
      </c>
      <c r="O26" s="6"/>
      <c r="P26" s="6"/>
      <c r="Q26" s="6"/>
    </row>
    <row r="27" spans="1:17" ht="15" x14ac:dyDescent="0.2">
      <c r="B27" s="78" t="s">
        <v>98</v>
      </c>
      <c r="C27" s="2">
        <v>5.2331606217616462E-2</v>
      </c>
      <c r="D27" s="2">
        <v>8.7428571428571411E-2</v>
      </c>
      <c r="E27" s="73">
        <v>7.0365568736634474E-3</v>
      </c>
      <c r="F27" s="2">
        <v>-5.8873506787866507E-2</v>
      </c>
      <c r="G27" s="2">
        <v>-3.0187083968281851E-2</v>
      </c>
      <c r="H27" s="73">
        <v>6.9481648754405878E-3</v>
      </c>
      <c r="I27" s="2">
        <v>7.0349917536154383E-3</v>
      </c>
      <c r="J27" s="2">
        <v>-3.0993200397725681E-2</v>
      </c>
      <c r="K27" s="2">
        <v>-3.0189599870304229E-2</v>
      </c>
      <c r="L27" s="2">
        <v>-5.4466018403670491E-3</v>
      </c>
      <c r="M27" s="2">
        <v>-5.4886161836599778E-2</v>
      </c>
      <c r="O27" s="6"/>
      <c r="P27" s="6"/>
      <c r="Q27" s="6"/>
    </row>
    <row r="28" spans="1:17" x14ac:dyDescent="0.2">
      <c r="C28" s="73"/>
      <c r="D28" s="2"/>
      <c r="E28" s="2"/>
      <c r="F28" s="73"/>
      <c r="G28" s="2"/>
      <c r="H28" s="2"/>
      <c r="I28" s="2"/>
      <c r="J28" s="2"/>
      <c r="K28" s="2"/>
      <c r="L28" s="2"/>
      <c r="M28" s="2"/>
      <c r="O28" s="6"/>
      <c r="P28" s="6"/>
      <c r="Q28" s="6"/>
    </row>
    <row r="29" spans="1:17" x14ac:dyDescent="0.2">
      <c r="C29" s="73"/>
      <c r="D29" s="2"/>
      <c r="E29" s="2"/>
      <c r="F29" s="73"/>
      <c r="G29" s="2"/>
      <c r="H29" s="2"/>
      <c r="I29" s="2"/>
      <c r="J29" s="2"/>
      <c r="K29" s="2"/>
      <c r="L29" s="2"/>
      <c r="M29" s="2"/>
      <c r="O29" s="6"/>
      <c r="P29" s="6"/>
      <c r="Q29" s="6"/>
    </row>
    <row r="30" spans="1:17" ht="15" x14ac:dyDescent="0.2">
      <c r="A30" s="74" t="s">
        <v>67</v>
      </c>
      <c r="C30" s="78" t="s">
        <v>85</v>
      </c>
      <c r="D30" s="78" t="s">
        <v>86</v>
      </c>
      <c r="E30" s="78" t="s">
        <v>87</v>
      </c>
      <c r="F30" s="78" t="s">
        <v>88</v>
      </c>
      <c r="G30" s="78" t="s">
        <v>89</v>
      </c>
      <c r="H30" s="78" t="s">
        <v>90</v>
      </c>
      <c r="I30" s="78" t="s">
        <v>91</v>
      </c>
      <c r="J30" s="78" t="s">
        <v>92</v>
      </c>
      <c r="K30" s="78" t="s">
        <v>93</v>
      </c>
      <c r="L30" s="78" t="s">
        <v>94</v>
      </c>
      <c r="M30" s="78" t="s">
        <v>95</v>
      </c>
      <c r="O30" s="6"/>
      <c r="P30" s="6"/>
      <c r="Q30" s="6"/>
    </row>
    <row r="31" spans="1:17" ht="15" x14ac:dyDescent="0.2">
      <c r="B31" s="78" t="s">
        <v>96</v>
      </c>
      <c r="C31" s="2">
        <v>0.12457188836286651</v>
      </c>
      <c r="D31" s="2">
        <v>4.8167907504066521E-2</v>
      </c>
      <c r="E31" s="2">
        <v>5.8021008465801091E-2</v>
      </c>
      <c r="F31" s="2">
        <v>7.4077144362622666E-2</v>
      </c>
      <c r="G31" s="2">
        <v>5.5347560512574348E-2</v>
      </c>
      <c r="H31" s="2">
        <v>5.8415564307762638E-2</v>
      </c>
      <c r="I31" s="2">
        <v>6.2730822374140752E-2</v>
      </c>
      <c r="J31" s="2">
        <v>5.5100914961487987E-2</v>
      </c>
      <c r="K31" s="2">
        <v>5.5905425240094363E-2</v>
      </c>
      <c r="L31" s="2">
        <v>8.9492340751259322E-2</v>
      </c>
      <c r="M31" s="2">
        <v>0.2346702449781482</v>
      </c>
      <c r="O31" s="6"/>
      <c r="P31" s="6"/>
      <c r="Q31" s="6"/>
    </row>
    <row r="32" spans="1:17" ht="15" x14ac:dyDescent="0.2">
      <c r="B32" s="78" t="s">
        <v>97</v>
      </c>
      <c r="C32" s="2">
        <v>0.1560171741649661</v>
      </c>
      <c r="D32" s="2">
        <v>6.0585940039451759E-2</v>
      </c>
      <c r="E32" s="2">
        <v>7.9898730924707881E-2</v>
      </c>
      <c r="F32" s="2">
        <v>8.6557557203274765E-2</v>
      </c>
      <c r="G32" s="2">
        <v>6.6661266190572846E-2</v>
      </c>
      <c r="H32" s="2">
        <v>8.0348745458846224E-2</v>
      </c>
      <c r="I32" s="2">
        <v>8.1716001128465832E-2</v>
      </c>
      <c r="J32" s="2">
        <v>6.6550744048886473E-2</v>
      </c>
      <c r="K32" s="2">
        <v>6.7086374069366753E-2</v>
      </c>
      <c r="L32" s="2">
        <v>0.1198509348688172</v>
      </c>
      <c r="M32" s="2">
        <v>0.42436491574570101</v>
      </c>
      <c r="O32" s="6"/>
      <c r="P32" s="6"/>
      <c r="Q32" s="6"/>
    </row>
    <row r="33" spans="1:17" ht="15" x14ac:dyDescent="0.2">
      <c r="B33" s="78" t="s">
        <v>98</v>
      </c>
      <c r="C33" s="2">
        <v>4.0132283555735622E-2</v>
      </c>
      <c r="D33" s="2">
        <v>1.347288676236047E-2</v>
      </c>
      <c r="E33" s="2">
        <v>-7.5317242615624558E-3</v>
      </c>
      <c r="F33" s="2">
        <v>-5.5891969763983751E-2</v>
      </c>
      <c r="G33" s="2">
        <v>-2.697075335180632E-2</v>
      </c>
      <c r="H33" s="2">
        <v>-9.013000781327607E-3</v>
      </c>
      <c r="I33" s="2">
        <v>-1.9139386547665841E-2</v>
      </c>
      <c r="J33" s="2">
        <v>-2.6258851414069691E-2</v>
      </c>
      <c r="K33" s="2">
        <v>-3.1161652466682399E-2</v>
      </c>
      <c r="L33" s="2">
        <v>2.4650167732340741E-2</v>
      </c>
      <c r="M33" s="2">
        <v>6.1890623899206187E-3</v>
      </c>
      <c r="O33" s="6"/>
      <c r="P33" s="6"/>
      <c r="Q33" s="6"/>
    </row>
    <row r="34" spans="1:17" x14ac:dyDescent="0.2">
      <c r="C34" s="73"/>
      <c r="D34" s="2"/>
      <c r="E34" s="2"/>
      <c r="F34" s="73"/>
      <c r="G34" s="2"/>
      <c r="H34" s="2"/>
      <c r="I34" s="2"/>
      <c r="J34" s="2"/>
      <c r="K34" s="2"/>
      <c r="L34" s="2"/>
      <c r="M34" s="2"/>
      <c r="O34" s="6"/>
      <c r="P34" s="6"/>
      <c r="Q34" s="6"/>
    </row>
    <row r="35" spans="1:17" x14ac:dyDescent="0.2">
      <c r="C35" s="73"/>
      <c r="D35" s="2"/>
      <c r="E35" s="2"/>
      <c r="F35" s="73"/>
      <c r="G35" s="2"/>
      <c r="H35" s="2"/>
      <c r="I35" s="2"/>
      <c r="J35" s="2"/>
      <c r="K35" s="2"/>
      <c r="L35" s="2"/>
      <c r="M35" s="2"/>
      <c r="O35" s="6"/>
      <c r="P35" s="6"/>
      <c r="Q35" s="6"/>
    </row>
    <row r="36" spans="1:17" x14ac:dyDescent="0.2">
      <c r="C36" s="73"/>
      <c r="D36" s="2"/>
      <c r="E36" s="2"/>
      <c r="F36" s="73"/>
      <c r="G36" s="2"/>
      <c r="H36" s="2"/>
      <c r="I36" s="2"/>
      <c r="J36" s="2"/>
      <c r="K36" s="2"/>
      <c r="L36" s="2"/>
      <c r="M36" s="2"/>
      <c r="O36" s="6"/>
      <c r="P36" s="6"/>
      <c r="Q36" s="6"/>
    </row>
    <row r="37" spans="1:17" x14ac:dyDescent="0.2">
      <c r="C37" s="73"/>
      <c r="D37" s="2"/>
      <c r="E37" s="2"/>
      <c r="F37" s="73"/>
      <c r="G37" s="2"/>
      <c r="H37" s="2"/>
      <c r="I37" s="2"/>
      <c r="J37" s="2"/>
      <c r="K37" s="2"/>
      <c r="L37" s="2"/>
      <c r="M37" s="2"/>
      <c r="O37" s="6"/>
      <c r="P37" s="6"/>
      <c r="Q37" s="6"/>
    </row>
    <row r="38" spans="1:17" x14ac:dyDescent="0.2">
      <c r="C38" s="73"/>
      <c r="D38" s="2"/>
      <c r="E38" s="2"/>
      <c r="F38" s="73"/>
      <c r="G38" s="2"/>
      <c r="H38" s="2"/>
      <c r="I38" s="2"/>
      <c r="J38" s="2"/>
      <c r="K38" s="2"/>
      <c r="L38" s="2"/>
      <c r="M38" s="2"/>
      <c r="O38" s="6"/>
      <c r="P38" s="6"/>
      <c r="Q38" s="6"/>
    </row>
    <row r="39" spans="1:17" x14ac:dyDescent="0.2">
      <c r="C39" s="73"/>
      <c r="D39" s="2"/>
      <c r="E39" s="2"/>
      <c r="F39" s="73"/>
      <c r="G39" s="2"/>
      <c r="H39" s="2"/>
      <c r="I39" s="2"/>
      <c r="J39" s="2"/>
      <c r="K39" s="2"/>
      <c r="L39" s="2"/>
      <c r="M39" s="2"/>
      <c r="O39" s="6"/>
      <c r="P39" s="6"/>
      <c r="Q39" s="6"/>
    </row>
    <row r="40" spans="1:17" x14ac:dyDescent="0.2">
      <c r="C40" s="73"/>
      <c r="D40" s="2"/>
      <c r="E40" s="2"/>
      <c r="F40" s="73"/>
      <c r="G40" s="2"/>
      <c r="H40" s="2"/>
      <c r="I40" s="2"/>
      <c r="J40" s="2"/>
      <c r="K40" s="2"/>
      <c r="L40" s="2"/>
      <c r="M40" s="2"/>
      <c r="O40" s="6"/>
      <c r="P40" s="6"/>
      <c r="Q40" s="6"/>
    </row>
    <row r="41" spans="1:17" x14ac:dyDescent="0.2">
      <c r="C41" s="73"/>
      <c r="D41" s="2"/>
      <c r="E41" s="2"/>
      <c r="F41" s="73"/>
      <c r="G41" s="2"/>
      <c r="H41" s="2"/>
      <c r="I41" s="2"/>
      <c r="J41" s="2"/>
      <c r="K41" s="2"/>
      <c r="L41" s="2"/>
      <c r="M41" s="2"/>
      <c r="O41" s="6"/>
      <c r="P41" s="6"/>
      <c r="Q41" s="6"/>
    </row>
    <row r="42" spans="1:17" x14ac:dyDescent="0.2">
      <c r="O42" s="6"/>
      <c r="P42" s="6"/>
      <c r="Q42" s="6"/>
    </row>
    <row r="43" spans="1:17" x14ac:dyDescent="0.2">
      <c r="O43" s="6"/>
      <c r="P43" s="6"/>
      <c r="Q43" s="6"/>
    </row>
    <row r="44" spans="1:17" x14ac:dyDescent="0.2">
      <c r="A44" s="74" t="s">
        <v>103</v>
      </c>
      <c r="B44" t="s">
        <v>106</v>
      </c>
      <c r="O44" s="6"/>
      <c r="P44" s="6"/>
      <c r="Q44" s="6"/>
    </row>
    <row r="45" spans="1:17" x14ac:dyDescent="0.2">
      <c r="B45" t="s">
        <v>140</v>
      </c>
      <c r="H45" s="75" t="s">
        <v>107</v>
      </c>
      <c r="O45" s="6"/>
      <c r="P45" s="6"/>
      <c r="Q45" s="6"/>
    </row>
    <row r="46" spans="1:17" x14ac:dyDescent="0.2">
      <c r="B46" t="s">
        <v>141</v>
      </c>
      <c r="H46" s="75"/>
      <c r="O46" s="6"/>
      <c r="P46" s="6"/>
      <c r="Q46" s="6"/>
    </row>
    <row r="47" spans="1:17" x14ac:dyDescent="0.2">
      <c r="O47" s="6"/>
      <c r="P47" s="6"/>
      <c r="Q47" s="6"/>
    </row>
    <row r="48" spans="1:17" x14ac:dyDescent="0.2">
      <c r="O48" s="6"/>
      <c r="P48" s="6"/>
      <c r="Q48" s="6"/>
    </row>
    <row r="49" spans="1:17" x14ac:dyDescent="0.2">
      <c r="A49" s="74" t="s">
        <v>105</v>
      </c>
      <c r="B49" s="176" t="s">
        <v>109</v>
      </c>
      <c r="C49" s="176"/>
      <c r="D49" s="176"/>
      <c r="E49" s="176"/>
      <c r="F49" s="70" t="e">
        <f>#REF!+#REF!*'2. Past Proj &amp; Candidate Model'!R20</f>
        <v>#REF!</v>
      </c>
      <c r="G49" s="76" t="s">
        <v>110</v>
      </c>
      <c r="H49" s="2" t="e">
        <f>'2. Past Proj &amp; Candidate Model'!S20/'3. Improved Alpha Model'!F49-1</f>
        <v>#REF!</v>
      </c>
      <c r="O49" s="6"/>
      <c r="P49" s="6"/>
      <c r="Q49" s="6"/>
    </row>
    <row r="50" spans="1:17" x14ac:dyDescent="0.2">
      <c r="O50" s="6"/>
      <c r="P50" s="6"/>
      <c r="Q50" s="6"/>
    </row>
    <row r="51" spans="1:17" x14ac:dyDescent="0.2">
      <c r="O51" s="6"/>
      <c r="P51" s="6"/>
      <c r="Q51" s="6"/>
    </row>
    <row r="52" spans="1:17" x14ac:dyDescent="0.2">
      <c r="O52" s="6"/>
      <c r="P52" s="6"/>
      <c r="Q52" s="6"/>
    </row>
    <row r="53" spans="1:17" x14ac:dyDescent="0.2">
      <c r="B53" s="177" t="s">
        <v>160</v>
      </c>
      <c r="C53" s="177"/>
      <c r="D53" s="177"/>
      <c r="E53" s="3">
        <f>C9</f>
        <v>0.12457188836286651</v>
      </c>
      <c r="F53" t="s">
        <v>111</v>
      </c>
      <c r="G53" s="177" t="s">
        <v>112</v>
      </c>
      <c r="H53" s="177"/>
      <c r="I53" s="3" t="e">
        <f>#REF!</f>
        <v>#REF!</v>
      </c>
      <c r="O53" s="6"/>
      <c r="P53" s="6"/>
      <c r="Q53" s="6"/>
    </row>
    <row r="54" spans="1:17" x14ac:dyDescent="0.2">
      <c r="O54" s="6"/>
      <c r="P54" s="6"/>
      <c r="Q54" s="6"/>
    </row>
    <row r="55" spans="1:17" x14ac:dyDescent="0.2">
      <c r="O55" s="6"/>
      <c r="P55" s="6"/>
      <c r="Q55" s="6"/>
    </row>
    <row r="56" spans="1:17" x14ac:dyDescent="0.2">
      <c r="A56" s="74" t="s">
        <v>108</v>
      </c>
      <c r="B56" t="s">
        <v>114</v>
      </c>
      <c r="O56" s="6"/>
      <c r="P56" s="6"/>
      <c r="Q56" s="6"/>
    </row>
    <row r="57" spans="1:17" x14ac:dyDescent="0.2">
      <c r="B57" t="s">
        <v>115</v>
      </c>
      <c r="O57" s="6"/>
      <c r="P57" s="6"/>
      <c r="Q57" s="6"/>
    </row>
    <row r="58" spans="1:17" x14ac:dyDescent="0.2">
      <c r="B58" t="s">
        <v>116</v>
      </c>
      <c r="O58" s="6"/>
      <c r="P58" s="6"/>
      <c r="Q58" s="6"/>
    </row>
    <row r="59" spans="1:17" x14ac:dyDescent="0.2">
      <c r="B59" t="s">
        <v>117</v>
      </c>
      <c r="O59" s="6"/>
      <c r="P59" s="6"/>
      <c r="Q59" s="6"/>
    </row>
    <row r="60" spans="1:17" x14ac:dyDescent="0.2">
      <c r="B60" t="s">
        <v>118</v>
      </c>
      <c r="O60" s="6"/>
      <c r="P60" s="6"/>
      <c r="Q60" s="6"/>
    </row>
    <row r="61" spans="1:17" x14ac:dyDescent="0.2">
      <c r="B61" t="s">
        <v>119</v>
      </c>
      <c r="O61" s="6"/>
      <c r="P61" s="6"/>
      <c r="Q61" s="6"/>
    </row>
    <row r="62" spans="1:17" x14ac:dyDescent="0.2">
      <c r="B62" t="s">
        <v>120</v>
      </c>
      <c r="O62" s="6"/>
      <c r="P62" s="6"/>
      <c r="Q62" s="6"/>
    </row>
    <row r="63" spans="1:17" x14ac:dyDescent="0.2">
      <c r="B63" t="s">
        <v>121</v>
      </c>
      <c r="O63" s="6"/>
      <c r="P63" s="6"/>
      <c r="Q63" s="6"/>
    </row>
    <row r="64" spans="1:17" x14ac:dyDescent="0.2">
      <c r="B64" t="s">
        <v>122</v>
      </c>
      <c r="O64" s="6"/>
      <c r="P64" s="6"/>
      <c r="Q64" s="6"/>
    </row>
    <row r="65" spans="2:17" x14ac:dyDescent="0.2">
      <c r="B65" t="s">
        <v>123</v>
      </c>
      <c r="O65" s="6"/>
      <c r="P65" s="6"/>
      <c r="Q65" s="6"/>
    </row>
    <row r="66" spans="2:17" x14ac:dyDescent="0.2">
      <c r="O66" s="6"/>
      <c r="P66" s="6"/>
      <c r="Q66" s="6"/>
    </row>
    <row r="67" spans="2:17" x14ac:dyDescent="0.2">
      <c r="O67" s="6"/>
      <c r="P67" s="6"/>
      <c r="Q67" s="6"/>
    </row>
    <row r="68" spans="2:17" x14ac:dyDescent="0.2">
      <c r="O68" s="6"/>
      <c r="P68" s="6"/>
    </row>
    <row r="69" spans="2:17" x14ac:dyDescent="0.2">
      <c r="O69" s="6"/>
      <c r="P69" s="6"/>
    </row>
  </sheetData>
  <mergeCells count="5">
    <mergeCell ref="D7:N7"/>
    <mergeCell ref="B7:C7"/>
    <mergeCell ref="B49:E49"/>
    <mergeCell ref="B53:D53"/>
    <mergeCell ref="G53:H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7"/>
  <sheetViews>
    <sheetView tabSelected="1" zoomScale="85" zoomScaleNormal="85" workbookViewId="0">
      <selection activeCell="H32" sqref="H32"/>
    </sheetView>
  </sheetViews>
  <sheetFormatPr defaultRowHeight="12.75" x14ac:dyDescent="0.2"/>
  <cols>
    <col min="1" max="1" width="9.140625" style="74"/>
    <col min="3" max="3" width="18.5703125" customWidth="1"/>
    <col min="4" max="13" width="14.7109375" customWidth="1"/>
  </cols>
  <sheetData>
    <row r="1" spans="1:25" x14ac:dyDescent="0.2">
      <c r="A1" s="74" t="s">
        <v>125</v>
      </c>
      <c r="B1" t="s">
        <v>84</v>
      </c>
    </row>
    <row r="2" spans="1:25" x14ac:dyDescent="0.2">
      <c r="A2" s="74" t="s">
        <v>99</v>
      </c>
      <c r="B2" s="85" t="s">
        <v>161</v>
      </c>
      <c r="C2" s="86" t="str">
        <f>E5</f>
        <v>LR</v>
      </c>
      <c r="D2" t="s">
        <v>162</v>
      </c>
    </row>
    <row r="4" spans="1:25" x14ac:dyDescent="0.2">
      <c r="A4" s="74" t="s">
        <v>100</v>
      </c>
      <c r="B4" t="s">
        <v>124</v>
      </c>
    </row>
    <row r="5" spans="1:25" ht="15" x14ac:dyDescent="0.2">
      <c r="C5" s="78" t="s">
        <v>85</v>
      </c>
      <c r="D5" s="78" t="s">
        <v>86</v>
      </c>
      <c r="E5" s="78" t="s">
        <v>87</v>
      </c>
      <c r="F5" s="78" t="s">
        <v>88</v>
      </c>
      <c r="G5" s="78" t="s">
        <v>89</v>
      </c>
      <c r="H5" s="78" t="s">
        <v>90</v>
      </c>
      <c r="I5" s="78" t="s">
        <v>91</v>
      </c>
      <c r="J5" s="78" t="s">
        <v>92</v>
      </c>
      <c r="K5" s="78" t="s">
        <v>93</v>
      </c>
      <c r="L5" s="78" t="s">
        <v>94</v>
      </c>
      <c r="M5" s="78" t="s">
        <v>95</v>
      </c>
    </row>
    <row r="6" spans="1:25" ht="15" x14ac:dyDescent="0.2">
      <c r="B6" s="78" t="s">
        <v>96</v>
      </c>
      <c r="C6" s="2">
        <v>8.8385067051022601E-2</v>
      </c>
      <c r="D6" s="2">
        <v>7.3913692326181932E-2</v>
      </c>
      <c r="E6" s="2">
        <v>4.6355938447295422E-2</v>
      </c>
      <c r="F6" s="2">
        <v>6.782776361683289E-2</v>
      </c>
      <c r="G6" s="2">
        <v>5.6726233890017692E-2</v>
      </c>
      <c r="H6" s="2">
        <v>4.5678830432943893E-2</v>
      </c>
      <c r="I6" s="2">
        <v>4.7889138416046008E-2</v>
      </c>
      <c r="J6" s="2">
        <v>5.55416249798742E-2</v>
      </c>
      <c r="K6" s="2">
        <v>5.24000564635905E-2</v>
      </c>
      <c r="L6" s="2">
        <v>6.9724648514001231E-2</v>
      </c>
      <c r="M6" s="2">
        <v>0.32840152964579938</v>
      </c>
    </row>
    <row r="7" spans="1:25" ht="15" x14ac:dyDescent="0.2">
      <c r="B7" s="78" t="s">
        <v>97</v>
      </c>
      <c r="C7" s="2">
        <v>0.10501028190290609</v>
      </c>
      <c r="D7" s="2">
        <v>8.5259118936681616E-2</v>
      </c>
      <c r="E7" s="2">
        <v>5.7960571230213698E-2</v>
      </c>
      <c r="F7" s="2">
        <v>8.0766259737830512E-2</v>
      </c>
      <c r="G7" s="2">
        <v>6.7946700235108862E-2</v>
      </c>
      <c r="H7" s="2">
        <v>5.7902863132972007E-2</v>
      </c>
      <c r="I7" s="2">
        <v>5.9644974110677762E-2</v>
      </c>
      <c r="J7" s="2">
        <v>6.6535498768780524E-2</v>
      </c>
      <c r="K7" s="2">
        <v>6.2576813568275408E-2</v>
      </c>
      <c r="L7" s="2">
        <v>8.714000315987612E-2</v>
      </c>
      <c r="M7" s="2">
        <v>0.62509463453788083</v>
      </c>
    </row>
    <row r="8" spans="1:25" ht="15" x14ac:dyDescent="0.2">
      <c r="B8" s="78" t="s">
        <v>98</v>
      </c>
      <c r="C8" s="2">
        <v>5.2331606217616462E-2</v>
      </c>
      <c r="D8" s="2">
        <v>8.6592178770949824E-2</v>
      </c>
      <c r="E8" s="2">
        <v>-2.5991336038150958E-2</v>
      </c>
      <c r="F8" s="2">
        <v>-5.8873506787866507E-2</v>
      </c>
      <c r="G8" s="2">
        <v>-4.9847136630906119E-2</v>
      </c>
      <c r="H8" s="2">
        <v>-2.6559807220975951E-2</v>
      </c>
      <c r="I8" s="2">
        <v>-2.6002283111389971E-2</v>
      </c>
      <c r="J8" s="2">
        <v>-5.0108794861943307E-2</v>
      </c>
      <c r="K8" s="2">
        <v>-4.6668339659774571E-2</v>
      </c>
      <c r="L8" s="2">
        <v>-3.4951910841472977E-2</v>
      </c>
      <c r="M8" s="2">
        <v>-5.4886161836599778E-2</v>
      </c>
    </row>
    <row r="10" spans="1:25" ht="15" x14ac:dyDescent="0.2">
      <c r="A10" s="74" t="s">
        <v>101</v>
      </c>
      <c r="B10" s="79" t="s">
        <v>163</v>
      </c>
    </row>
    <row r="12" spans="1:25" x14ac:dyDescent="0.2">
      <c r="A12" s="74" t="s">
        <v>102</v>
      </c>
      <c r="B12" t="s">
        <v>139</v>
      </c>
    </row>
    <row r="13" spans="1:25" ht="15" x14ac:dyDescent="0.2">
      <c r="B13" s="78" t="s">
        <v>126</v>
      </c>
      <c r="C13" s="78" t="s">
        <v>127</v>
      </c>
      <c r="D13" s="78" t="s">
        <v>85</v>
      </c>
      <c r="E13" s="78" t="s">
        <v>86</v>
      </c>
      <c r="F13" s="78" t="s">
        <v>87</v>
      </c>
      <c r="G13" s="78" t="s">
        <v>88</v>
      </c>
      <c r="H13" s="78" t="s">
        <v>89</v>
      </c>
      <c r="I13" s="78" t="s">
        <v>90</v>
      </c>
      <c r="J13" s="78" t="s">
        <v>91</v>
      </c>
      <c r="K13" s="78" t="s">
        <v>92</v>
      </c>
      <c r="L13" s="78" t="s">
        <v>93</v>
      </c>
      <c r="M13" s="78" t="s">
        <v>94</v>
      </c>
      <c r="N13" s="78" t="s">
        <v>95</v>
      </c>
      <c r="O13" s="78" t="s">
        <v>128</v>
      </c>
      <c r="P13" s="78" t="s">
        <v>129</v>
      </c>
      <c r="Q13" s="78" t="s">
        <v>130</v>
      </c>
      <c r="R13" s="78" t="s">
        <v>131</v>
      </c>
      <c r="S13" s="78" t="s">
        <v>132</v>
      </c>
      <c r="T13" s="78" t="s">
        <v>133</v>
      </c>
      <c r="U13" s="78" t="s">
        <v>134</v>
      </c>
      <c r="V13" s="78" t="s">
        <v>135</v>
      </c>
      <c r="W13" s="78" t="s">
        <v>136</v>
      </c>
      <c r="X13" s="78" t="s">
        <v>137</v>
      </c>
      <c r="Y13" s="78" t="s">
        <v>138</v>
      </c>
    </row>
    <row r="14" spans="1:25" x14ac:dyDescent="0.2">
      <c r="B14" t="s">
        <v>170</v>
      </c>
      <c r="C14">
        <v>163</v>
      </c>
      <c r="D14">
        <v>153.6</v>
      </c>
      <c r="E14">
        <v>171.4</v>
      </c>
    </row>
    <row r="15" spans="1:25" x14ac:dyDescent="0.2">
      <c r="B15" t="s">
        <v>42</v>
      </c>
      <c r="C15">
        <v>159</v>
      </c>
      <c r="D15">
        <v>165</v>
      </c>
      <c r="E15">
        <v>179.7</v>
      </c>
    </row>
    <row r="16" spans="1:25" x14ac:dyDescent="0.2">
      <c r="B16" t="s">
        <v>43</v>
      </c>
      <c r="C16">
        <v>170</v>
      </c>
      <c r="D16">
        <v>184.3</v>
      </c>
      <c r="E16">
        <v>181.4</v>
      </c>
    </row>
    <row r="17" spans="2:25" x14ac:dyDescent="0.2">
      <c r="B17" t="s">
        <v>44</v>
      </c>
      <c r="C17">
        <v>168</v>
      </c>
      <c r="D17">
        <v>180.4</v>
      </c>
      <c r="E17">
        <v>176.9</v>
      </c>
    </row>
    <row r="18" spans="2:25" x14ac:dyDescent="0.2">
      <c r="B18" t="s">
        <v>45</v>
      </c>
      <c r="C18">
        <v>178</v>
      </c>
      <c r="D18">
        <v>193.4</v>
      </c>
      <c r="E18">
        <v>187</v>
      </c>
      <c r="F18">
        <v>167.8012341387101</v>
      </c>
      <c r="G18">
        <v>171.18685185568489</v>
      </c>
      <c r="H18">
        <v>167.44996920693171</v>
      </c>
      <c r="I18">
        <v>167.38677428909949</v>
      </c>
      <c r="J18">
        <v>165</v>
      </c>
      <c r="K18">
        <v>168.46767344403139</v>
      </c>
      <c r="L18">
        <v>169.69303554056009</v>
      </c>
      <c r="M18">
        <v>171.7785598702178</v>
      </c>
      <c r="N18">
        <v>403.59046574356029</v>
      </c>
      <c r="O18" s="2">
        <v>8.6516853932584237E-2</v>
      </c>
      <c r="P18" s="2">
        <v>5.0561797752809001E-2</v>
      </c>
      <c r="Q18" s="2">
        <v>-5.7296437422977083E-2</v>
      </c>
      <c r="R18" s="2">
        <v>-3.8276113170309538E-2</v>
      </c>
      <c r="S18" s="2">
        <v>-5.9269835916114122E-2</v>
      </c>
      <c r="T18" s="2">
        <v>-5.9624863544384572E-2</v>
      </c>
      <c r="U18" s="2">
        <v>-7.3033707865168496E-2</v>
      </c>
      <c r="V18" s="2">
        <v>-5.3552396381845828E-2</v>
      </c>
      <c r="W18" s="2">
        <v>-4.6668339659774571E-2</v>
      </c>
      <c r="X18" s="2">
        <v>-3.4951910841472977E-2</v>
      </c>
      <c r="Y18" s="2">
        <v>1.267362167098653</v>
      </c>
    </row>
    <row r="19" spans="2:25" x14ac:dyDescent="0.2">
      <c r="B19" t="s">
        <v>46</v>
      </c>
      <c r="C19">
        <v>175</v>
      </c>
      <c r="D19">
        <v>209.7</v>
      </c>
      <c r="E19">
        <v>190.3</v>
      </c>
      <c r="F19">
        <v>177.3706637985882</v>
      </c>
      <c r="G19">
        <v>181.19601578502019</v>
      </c>
      <c r="H19">
        <v>181.12134841982191</v>
      </c>
      <c r="I19">
        <v>176.68336408060949</v>
      </c>
      <c r="J19">
        <v>177.36649044142149</v>
      </c>
      <c r="K19">
        <v>181.00318148889269</v>
      </c>
      <c r="L19">
        <v>179.49940094425421</v>
      </c>
      <c r="M19">
        <v>186.6203861299027</v>
      </c>
      <c r="N19">
        <v>197.98423579039809</v>
      </c>
      <c r="O19" s="2">
        <v>0.1982857142857142</v>
      </c>
      <c r="P19" s="2">
        <v>8.7428571428571411E-2</v>
      </c>
      <c r="Q19" s="2">
        <v>1.354665027764668E-2</v>
      </c>
      <c r="R19" s="2">
        <v>3.5405804485829417E-2</v>
      </c>
      <c r="S19" s="2">
        <v>3.4979133827554021E-2</v>
      </c>
      <c r="T19" s="2">
        <v>9.6192233177687658E-3</v>
      </c>
      <c r="U19" s="2">
        <v>1.352280252240878E-2</v>
      </c>
      <c r="V19" s="2">
        <v>3.430389422224378E-2</v>
      </c>
      <c r="W19" s="2">
        <v>2.5710862538595562E-2</v>
      </c>
      <c r="X19" s="2">
        <v>6.640220645658701E-2</v>
      </c>
      <c r="Y19" s="2">
        <v>0.13133849023084629</v>
      </c>
    </row>
    <row r="20" spans="2:25" x14ac:dyDescent="0.2">
      <c r="B20" t="s">
        <v>47</v>
      </c>
      <c r="C20">
        <v>190</v>
      </c>
      <c r="D20">
        <v>213.6</v>
      </c>
      <c r="E20">
        <v>214.4</v>
      </c>
      <c r="F20">
        <v>195.23652072003841</v>
      </c>
      <c r="G20">
        <v>178.81403371030541</v>
      </c>
      <c r="H20">
        <v>173.61048945632081</v>
      </c>
      <c r="I20">
        <v>194.15203075426069</v>
      </c>
      <c r="J20">
        <v>195.2279582955187</v>
      </c>
      <c r="K20">
        <v>175.27575937384881</v>
      </c>
      <c r="L20">
        <v>178.44719609775649</v>
      </c>
      <c r="M20">
        <v>228.81402353944509</v>
      </c>
      <c r="N20">
        <v>-116.95919811018391</v>
      </c>
      <c r="O20" s="2">
        <v>0.12421052631578949</v>
      </c>
      <c r="P20" s="2">
        <v>0.12842105263157899</v>
      </c>
      <c r="Q20" s="2">
        <v>2.7560635368623299E-2</v>
      </c>
      <c r="R20" s="2">
        <v>-5.8873506787866507E-2</v>
      </c>
      <c r="S20" s="2">
        <v>-8.6260581808837999E-2</v>
      </c>
      <c r="T20" s="2">
        <v>2.1852793443477129E-2</v>
      </c>
      <c r="U20" s="2">
        <v>2.7515569976414241E-2</v>
      </c>
      <c r="V20" s="2">
        <v>-7.7496003295532856E-2</v>
      </c>
      <c r="W20" s="2">
        <v>-6.0804231064439218E-2</v>
      </c>
      <c r="X20" s="2">
        <v>0.20428433441813201</v>
      </c>
      <c r="Y20" s="2">
        <v>-1.615574726895705</v>
      </c>
    </row>
    <row r="21" spans="2:25" x14ac:dyDescent="0.2">
      <c r="B21" t="s">
        <v>48</v>
      </c>
      <c r="C21">
        <v>185</v>
      </c>
      <c r="D21">
        <v>189.9</v>
      </c>
      <c r="E21">
        <v>193.4</v>
      </c>
      <c r="F21">
        <v>176.8785365394094</v>
      </c>
      <c r="G21">
        <v>173.59106362957169</v>
      </c>
      <c r="H21">
        <v>175.7782797232824</v>
      </c>
      <c r="I21">
        <v>176.83647913994261</v>
      </c>
      <c r="J21">
        <v>176.87809096926301</v>
      </c>
      <c r="K21">
        <v>175.72987295054051</v>
      </c>
      <c r="L21">
        <v>175.32997322672909</v>
      </c>
      <c r="M21">
        <v>177.66966683840059</v>
      </c>
      <c r="N21">
        <v>181.3209360607743</v>
      </c>
      <c r="O21" s="2">
        <v>2.6486486486486441E-2</v>
      </c>
      <c r="P21" s="2">
        <v>4.5405405405405393E-2</v>
      </c>
      <c r="Q21" s="2">
        <v>-4.3899802489679063E-2</v>
      </c>
      <c r="R21" s="2">
        <v>-6.1669926326639153E-2</v>
      </c>
      <c r="S21" s="2">
        <v>-4.9847136630906119E-2</v>
      </c>
      <c r="T21" s="2">
        <v>-4.4127139784093987E-2</v>
      </c>
      <c r="U21" s="2">
        <v>-4.3902210976956568E-2</v>
      </c>
      <c r="V21" s="2">
        <v>-5.0108794861943307E-2</v>
      </c>
      <c r="W21" s="2">
        <v>-5.2270414990653553E-2</v>
      </c>
      <c r="X21" s="2">
        <v>-3.9623422495131837E-2</v>
      </c>
      <c r="Y21" s="2">
        <v>-1.9886832103922499E-2</v>
      </c>
    </row>
    <row r="22" spans="2:25" x14ac:dyDescent="0.2">
      <c r="B22" t="s">
        <v>49</v>
      </c>
      <c r="C22">
        <v>193</v>
      </c>
      <c r="D22">
        <v>203.1</v>
      </c>
      <c r="E22">
        <v>218.2</v>
      </c>
      <c r="F22">
        <v>195.79741124417899</v>
      </c>
      <c r="G22">
        <v>180.72671451085799</v>
      </c>
      <c r="H22">
        <v>192.46504032299711</v>
      </c>
      <c r="I22">
        <v>195.61811140480151</v>
      </c>
      <c r="J22">
        <v>195.79537367161689</v>
      </c>
      <c r="K22">
        <v>192.1960517537027</v>
      </c>
      <c r="L22">
        <v>189.82168657391929</v>
      </c>
      <c r="M22">
        <v>191.94880584480919</v>
      </c>
      <c r="N22">
        <v>182.40697076553619</v>
      </c>
      <c r="O22" s="2">
        <v>5.2331606217616462E-2</v>
      </c>
      <c r="P22" s="2">
        <v>0.13056994818652831</v>
      </c>
      <c r="Q22" s="2">
        <v>1.449435877812966E-2</v>
      </c>
      <c r="R22" s="2">
        <v>-6.3592152793481738E-2</v>
      </c>
      <c r="S22" s="2">
        <v>-2.7718117979426138E-3</v>
      </c>
      <c r="T22" s="2">
        <v>1.3565344066329249E-2</v>
      </c>
      <c r="U22" s="2">
        <v>1.448380140734162E-2</v>
      </c>
      <c r="V22" s="2">
        <v>-4.1655349549082343E-3</v>
      </c>
      <c r="W22" s="2">
        <v>-1.6467945212853219E-2</v>
      </c>
      <c r="X22" s="2">
        <v>-5.4466018403670491E-3</v>
      </c>
      <c r="Y22" s="2">
        <v>-5.4886161836599778E-2</v>
      </c>
    </row>
    <row r="23" spans="2:25" x14ac:dyDescent="0.2">
      <c r="B23" t="s">
        <v>50</v>
      </c>
      <c r="C23">
        <v>164</v>
      </c>
      <c r="D23">
        <v>186.5</v>
      </c>
      <c r="E23">
        <v>183.1</v>
      </c>
      <c r="F23">
        <v>170.8184175655974</v>
      </c>
      <c r="G23">
        <v>174.88272202395791</v>
      </c>
      <c r="H23">
        <v>171.5551254548179</v>
      </c>
      <c r="I23">
        <v>170.84128482959929</v>
      </c>
      <c r="J23">
        <v>170.95028857496149</v>
      </c>
      <c r="K23">
        <v>171.59104839433641</v>
      </c>
      <c r="L23">
        <v>171.85121602425679</v>
      </c>
      <c r="M23">
        <v>171.65351676890569</v>
      </c>
      <c r="N23">
        <v>170.23862867242411</v>
      </c>
      <c r="O23" s="2">
        <v>0.1371951219512195</v>
      </c>
      <c r="P23" s="2">
        <v>0.11646341463414631</v>
      </c>
      <c r="Q23" s="2">
        <v>4.1575716863398997E-2</v>
      </c>
      <c r="R23" s="2">
        <v>6.6358061121694734E-2</v>
      </c>
      <c r="S23" s="2">
        <v>4.6067838139133732E-2</v>
      </c>
      <c r="T23" s="2">
        <v>4.1715151399995598E-2</v>
      </c>
      <c r="U23" s="2">
        <v>4.237980838391131E-2</v>
      </c>
      <c r="V23" s="2">
        <v>4.6286880453271013E-2</v>
      </c>
      <c r="W23" s="2">
        <v>4.7873268440590262E-2</v>
      </c>
      <c r="X23" s="2">
        <v>4.6667785176254473E-2</v>
      </c>
      <c r="Y23" s="2">
        <v>3.8040418734293091E-2</v>
      </c>
    </row>
    <row r="24" spans="2:25" x14ac:dyDescent="0.2">
      <c r="B24" t="s">
        <v>52</v>
      </c>
      <c r="C24">
        <v>192</v>
      </c>
      <c r="D24">
        <v>166.3</v>
      </c>
      <c r="E24">
        <v>193.1</v>
      </c>
      <c r="F24">
        <v>176.94243417694011</v>
      </c>
      <c r="G24">
        <v>163.85773849574471</v>
      </c>
      <c r="H24">
        <v>174.28792929626351</v>
      </c>
      <c r="I24">
        <v>176.9311624765669</v>
      </c>
      <c r="J24">
        <v>176.8530748367767</v>
      </c>
      <c r="K24">
        <v>174.1837176759667</v>
      </c>
      <c r="L24">
        <v>174.2633386564479</v>
      </c>
      <c r="M24">
        <v>178.5967491798765</v>
      </c>
      <c r="N24">
        <v>181.03236627273151</v>
      </c>
      <c r="O24" s="2">
        <v>-0.13385416666666661</v>
      </c>
      <c r="P24" s="2">
        <v>5.729166666666563E-3</v>
      </c>
      <c r="Q24" s="2">
        <v>-7.8424821995103478E-2</v>
      </c>
      <c r="R24" s="2">
        <v>-0.14657427866799611</v>
      </c>
      <c r="S24" s="2">
        <v>-9.2250368248627534E-2</v>
      </c>
      <c r="T24" s="2">
        <v>-7.8483528767880562E-2</v>
      </c>
      <c r="U24" s="2">
        <v>-7.8890235225121508E-2</v>
      </c>
      <c r="V24" s="2">
        <v>-9.2793137104340118E-2</v>
      </c>
      <c r="W24" s="2">
        <v>-9.23784444976673E-2</v>
      </c>
      <c r="X24" s="2">
        <v>-6.9808598021476764E-2</v>
      </c>
      <c r="Y24" s="2">
        <v>-5.7123092329523728E-2</v>
      </c>
    </row>
    <row r="25" spans="2:25" x14ac:dyDescent="0.2">
      <c r="B25" t="s">
        <v>53</v>
      </c>
      <c r="C25">
        <v>184</v>
      </c>
      <c r="D25">
        <v>205</v>
      </c>
      <c r="E25">
        <v>183.3</v>
      </c>
      <c r="F25">
        <v>171.36452195898761</v>
      </c>
      <c r="G25">
        <v>182.51269558136281</v>
      </c>
      <c r="H25">
        <v>168.30855240374169</v>
      </c>
      <c r="I25">
        <v>171.38622106671741</v>
      </c>
      <c r="J25">
        <v>171.37826446815171</v>
      </c>
      <c r="K25">
        <v>168.45786367725671</v>
      </c>
      <c r="L25">
        <v>171.65696033057819</v>
      </c>
      <c r="M25">
        <v>172.37053041083669</v>
      </c>
      <c r="N25">
        <v>169.63053636307089</v>
      </c>
      <c r="O25" s="2">
        <v>0.11413043478260861</v>
      </c>
      <c r="P25" s="2">
        <v>-3.8043478260868509E-3</v>
      </c>
      <c r="Q25" s="2">
        <v>-6.8671076309849921E-2</v>
      </c>
      <c r="R25" s="2">
        <v>-8.083176188245722E-3</v>
      </c>
      <c r="S25" s="2">
        <v>-8.5279606501403871E-2</v>
      </c>
      <c r="T25" s="2">
        <v>-6.8553146376535756E-2</v>
      </c>
      <c r="U25" s="2">
        <v>-6.8596388760044924E-2</v>
      </c>
      <c r="V25" s="2">
        <v>-8.4468132188822431E-2</v>
      </c>
      <c r="W25" s="2">
        <v>-6.7081737333814062E-2</v>
      </c>
      <c r="X25" s="2">
        <v>-6.3203639071539364E-2</v>
      </c>
      <c r="Y25" s="2">
        <v>-7.8094911070267115E-2</v>
      </c>
    </row>
    <row r="26" spans="2:25" x14ac:dyDescent="0.2">
      <c r="B26" t="s">
        <v>54</v>
      </c>
      <c r="C26">
        <v>179</v>
      </c>
      <c r="D26">
        <v>184</v>
      </c>
      <c r="E26">
        <v>194.5</v>
      </c>
      <c r="F26">
        <v>180.25954368038569</v>
      </c>
      <c r="G26">
        <v>175.5221320400469</v>
      </c>
      <c r="H26">
        <v>180.015772135205</v>
      </c>
      <c r="I26">
        <v>180.2437215127039</v>
      </c>
      <c r="J26">
        <v>180.2592635238972</v>
      </c>
      <c r="K26">
        <v>179.9827674737522</v>
      </c>
      <c r="L26">
        <v>179.99371451435161</v>
      </c>
      <c r="M26">
        <v>183.88822914152649</v>
      </c>
      <c r="N26">
        <v>186.5953875794003</v>
      </c>
      <c r="O26" s="2">
        <v>2.7932960893854771E-2</v>
      </c>
      <c r="P26" s="2">
        <v>8.6592178770949824E-2</v>
      </c>
      <c r="Q26" s="2">
        <v>7.0365568736634474E-3</v>
      </c>
      <c r="R26" s="2">
        <v>-1.9429429943872201E-2</v>
      </c>
      <c r="S26" s="2">
        <v>5.6747046659497702E-3</v>
      </c>
      <c r="T26" s="2">
        <v>6.9481648754405878E-3</v>
      </c>
      <c r="U26" s="2">
        <v>7.0349917536154383E-3</v>
      </c>
      <c r="V26" s="2">
        <v>5.4903210824146509E-3</v>
      </c>
      <c r="W26" s="2">
        <v>5.5514777338079302E-3</v>
      </c>
      <c r="X26" s="2">
        <v>2.7308542690092089E-2</v>
      </c>
      <c r="Y26" s="2">
        <v>4.2432332845811598E-2</v>
      </c>
    </row>
    <row r="27" spans="2:25" x14ac:dyDescent="0.2">
      <c r="B27" t="s">
        <v>55</v>
      </c>
      <c r="C27">
        <v>209</v>
      </c>
      <c r="D27">
        <v>194.1</v>
      </c>
      <c r="E27">
        <v>229</v>
      </c>
      <c r="F27">
        <v>203.56781076802639</v>
      </c>
      <c r="G27">
        <v>179.24693524753141</v>
      </c>
      <c r="H27">
        <v>202.6908994506291</v>
      </c>
      <c r="I27">
        <v>203.449000290816</v>
      </c>
      <c r="J27">
        <v>203.5655228297195</v>
      </c>
      <c r="K27">
        <v>202.52242111687531</v>
      </c>
      <c r="L27">
        <v>202.6903736271064</v>
      </c>
      <c r="M27">
        <v>191.5027063124362</v>
      </c>
      <c r="N27">
        <v>171.54433697188321</v>
      </c>
      <c r="O27" s="2">
        <v>-7.1291866028708184E-2</v>
      </c>
      <c r="P27" s="2">
        <v>9.5693779904306275E-2</v>
      </c>
      <c r="Q27" s="2">
        <v>-2.5991336038150958E-2</v>
      </c>
      <c r="R27" s="2">
        <v>-0.14235916149506531</v>
      </c>
      <c r="S27" s="2">
        <v>-3.0187083968281851E-2</v>
      </c>
      <c r="T27" s="2">
        <v>-2.6559807220975951E-2</v>
      </c>
      <c r="U27" s="2">
        <v>-2.6002283111389971E-2</v>
      </c>
      <c r="V27" s="2">
        <v>-3.0993200397725681E-2</v>
      </c>
      <c r="W27" s="2">
        <v>-3.0189599870304229E-2</v>
      </c>
      <c r="X27" s="2">
        <v>-8.3719108552936849E-2</v>
      </c>
      <c r="Y27" s="2">
        <v>-0.17921369869912329</v>
      </c>
    </row>
    <row r="28" spans="2:25" x14ac:dyDescent="0.2">
      <c r="B28" t="s">
        <v>71</v>
      </c>
      <c r="C28">
        <v>210</v>
      </c>
      <c r="D28">
        <v>210</v>
      </c>
      <c r="E28">
        <v>196.9</v>
      </c>
      <c r="F28">
        <v>182.4022345943643</v>
      </c>
      <c r="G28">
        <v>187.84840435112611</v>
      </c>
      <c r="H28">
        <v>182.40590103005701</v>
      </c>
      <c r="I28">
        <v>182.4022258872449</v>
      </c>
      <c r="J28">
        <v>182.402068255232</v>
      </c>
      <c r="K28">
        <v>182.42708823453069</v>
      </c>
      <c r="L28">
        <v>182.40509705103091</v>
      </c>
      <c r="M28">
        <v>183.63345334109519</v>
      </c>
      <c r="N28">
        <v>183.02256120560011</v>
      </c>
      <c r="O28" s="2">
        <v>0</v>
      </c>
      <c r="P28" s="2">
        <v>-6.2380952380952308E-2</v>
      </c>
      <c r="Q28" s="2">
        <v>-0.13141793050302711</v>
      </c>
      <c r="R28" s="2">
        <v>-0.1054837888041613</v>
      </c>
      <c r="S28" s="2">
        <v>-0.13140047128544299</v>
      </c>
      <c r="T28" s="2">
        <v>-0.13141797196550059</v>
      </c>
      <c r="U28" s="2">
        <v>-0.1314187225941332</v>
      </c>
      <c r="V28" s="2">
        <v>-0.13129957983556831</v>
      </c>
      <c r="W28" s="2">
        <v>-0.13140429975699561</v>
      </c>
      <c r="X28" s="2">
        <v>-0.12555498409002311</v>
      </c>
      <c r="Y28" s="2">
        <v>-0.128463994259047</v>
      </c>
    </row>
    <row r="29" spans="2:25" x14ac:dyDescent="0.2">
      <c r="C29" s="125" t="s">
        <v>149</v>
      </c>
      <c r="D29" s="125"/>
      <c r="E29" s="125"/>
      <c r="F29" s="111">
        <f t="shared" ref="F29:F34" si="0">$F$28/(1+Q29)</f>
        <v>187.54238760056015</v>
      </c>
      <c r="G29" s="2">
        <f>F29/$D$28-1</f>
        <v>-0.10694101142590406</v>
      </c>
      <c r="M29" s="125" t="s">
        <v>142</v>
      </c>
      <c r="N29" s="125"/>
      <c r="O29" s="125"/>
      <c r="P29" s="125"/>
      <c r="Q29" s="1">
        <f>AVERAGE(Q18:Q28)</f>
        <v>-2.740795332702959E-2</v>
      </c>
    </row>
    <row r="30" spans="2:25" x14ac:dyDescent="0.2">
      <c r="C30" s="176" t="s">
        <v>150</v>
      </c>
      <c r="D30" s="176"/>
      <c r="E30" s="176"/>
      <c r="F30" s="111">
        <f t="shared" si="0"/>
        <v>187.26962227669549</v>
      </c>
      <c r="G30" s="2">
        <f t="shared" ref="G30:G34" si="1">F30/$D$28-1</f>
        <v>-0.10823989392049771</v>
      </c>
      <c r="M30" s="176" t="s">
        <v>144</v>
      </c>
      <c r="N30" s="176"/>
      <c r="O30" s="176"/>
      <c r="P30" s="176"/>
      <c r="Q30" s="1">
        <f>MEDIAN(Q18:Q28)</f>
        <v>-2.5991336038150958E-2</v>
      </c>
    </row>
    <row r="31" spans="2:25" x14ac:dyDescent="0.2">
      <c r="C31" s="177" t="s">
        <v>151</v>
      </c>
      <c r="D31" s="177"/>
      <c r="E31" s="177"/>
      <c r="F31" s="111">
        <f t="shared" si="0"/>
        <v>195.63013824416669</v>
      </c>
      <c r="G31" s="2">
        <f t="shared" si="1"/>
        <v>-6.8427913123015771E-2</v>
      </c>
      <c r="M31" s="177" t="s">
        <v>143</v>
      </c>
      <c r="N31" s="177"/>
      <c r="O31" s="177"/>
      <c r="P31" s="177"/>
      <c r="Q31" s="1">
        <f>AVERAGE(Q27,Q24:Q25,Q21,Q18,Q28)</f>
        <v>-6.7616900793131263E-2</v>
      </c>
    </row>
    <row r="32" spans="2:25" x14ac:dyDescent="0.2">
      <c r="C32" s="179" t="s">
        <v>152</v>
      </c>
      <c r="D32" s="179"/>
      <c r="E32" s="179"/>
      <c r="F32" s="111">
        <f t="shared" si="0"/>
        <v>194.66283101386961</v>
      </c>
      <c r="G32" s="2">
        <f t="shared" si="1"/>
        <v>-7.3034138029192341E-2</v>
      </c>
      <c r="H32" s="111">
        <f>AVERAGE(F31,F29)</f>
        <v>191.5862629223634</v>
      </c>
      <c r="M32" s="179" t="s">
        <v>145</v>
      </c>
      <c r="N32" s="179"/>
      <c r="O32" s="179"/>
      <c r="P32" s="179"/>
      <c r="Q32" s="1">
        <f>MEDIAN(Q27,Q24:Q25,Q21,Q18,Q28)</f>
        <v>-6.2983756866413498E-2</v>
      </c>
    </row>
    <row r="33" spans="1:17" x14ac:dyDescent="0.2">
      <c r="C33" s="180" t="s">
        <v>153</v>
      </c>
      <c r="D33" s="180"/>
      <c r="E33" s="180"/>
      <c r="F33" s="111">
        <f t="shared" si="0"/>
        <v>178.67808590991186</v>
      </c>
      <c r="G33" s="2">
        <f t="shared" si="1"/>
        <v>-0.14915197185756257</v>
      </c>
      <c r="M33" s="180" t="s">
        <v>146</v>
      </c>
      <c r="N33" s="180"/>
      <c r="O33" s="180"/>
      <c r="P33" s="180"/>
      <c r="Q33" s="1">
        <f>AVERAGE(Q26,Q22:Q23,Q19:Q20)</f>
        <v>2.0842783632292416E-2</v>
      </c>
    </row>
    <row r="34" spans="1:17" x14ac:dyDescent="0.2">
      <c r="C34" s="181" t="s">
        <v>154</v>
      </c>
      <c r="D34" s="181"/>
      <c r="E34" s="181"/>
      <c r="F34" s="111">
        <f t="shared" si="0"/>
        <v>179.79620390797635</v>
      </c>
      <c r="G34" s="2">
        <f t="shared" si="1"/>
        <v>-0.14382760043820786</v>
      </c>
      <c r="M34" s="181" t="s">
        <v>147</v>
      </c>
      <c r="N34" s="181"/>
      <c r="O34" s="181"/>
      <c r="P34" s="181"/>
      <c r="Q34" s="1">
        <f>MEDIAN(Q26,Q22:Q23,Q19:Q20)</f>
        <v>1.449435877812966E-2</v>
      </c>
    </row>
    <row r="37" spans="1:17" x14ac:dyDescent="0.2">
      <c r="A37" s="74" t="s">
        <v>103</v>
      </c>
      <c r="B37" t="s">
        <v>155</v>
      </c>
    </row>
    <row r="38" spans="1:17" x14ac:dyDescent="0.2">
      <c r="B38" t="s">
        <v>156</v>
      </c>
    </row>
    <row r="44" spans="1:17" x14ac:dyDescent="0.2">
      <c r="A44" s="74" t="s">
        <v>105</v>
      </c>
      <c r="B44" s="87" t="s">
        <v>157</v>
      </c>
      <c r="C44" s="88">
        <f>F31</f>
        <v>195.63013824416669</v>
      </c>
      <c r="D44" t="s">
        <v>166</v>
      </c>
    </row>
    <row r="46" spans="1:17" x14ac:dyDescent="0.2">
      <c r="B46" s="178" t="s">
        <v>165</v>
      </c>
      <c r="C46" s="178"/>
      <c r="D46" s="2">
        <f>C44/D28-1</f>
        <v>-6.8427913123015771E-2</v>
      </c>
    </row>
    <row r="47" spans="1:17" x14ac:dyDescent="0.2">
      <c r="B47" s="166" t="s">
        <v>164</v>
      </c>
      <c r="C47" s="166"/>
      <c r="D47" s="2">
        <f>'1. Data &amp; Confidence Interval'!R25</f>
        <v>-7.3163513167218697E-2</v>
      </c>
    </row>
  </sheetData>
  <mergeCells count="14">
    <mergeCell ref="B47:C47"/>
    <mergeCell ref="B46:C46"/>
    <mergeCell ref="M29:P29"/>
    <mergeCell ref="M30:P30"/>
    <mergeCell ref="M31:P31"/>
    <mergeCell ref="M32:P32"/>
    <mergeCell ref="M33:P33"/>
    <mergeCell ref="M34:P34"/>
    <mergeCell ref="C34:E34"/>
    <mergeCell ref="C29:E29"/>
    <mergeCell ref="C30:E30"/>
    <mergeCell ref="C31:E31"/>
    <mergeCell ref="C32:E32"/>
    <mergeCell ref="C33:E33"/>
  </mergeCells>
  <conditionalFormatting sqref="Q29:Q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0:W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W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2021-10-25T14:05:24Z</dcterms:modified>
</cp:coreProperties>
</file>