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BT\"/>
    </mc:Choice>
  </mc:AlternateContent>
  <xr:revisionPtr revIDLastSave="0" documentId="13_ncr:1_{B7EB7F22-DA5E-4112-A2D3-7A86696CE493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4" l="1"/>
  <c r="C45" i="4" l="1"/>
  <c r="Q35" i="4"/>
  <c r="Q34" i="4"/>
  <c r="Q33" i="4"/>
  <c r="Q32" i="4"/>
  <c r="Q31" i="4"/>
  <c r="Q30" i="4"/>
  <c r="J21" i="2"/>
  <c r="L21" i="2" l="1"/>
  <c r="M21" i="2"/>
  <c r="N21" i="2"/>
  <c r="O21" i="2"/>
  <c r="P21" i="2"/>
  <c r="Q21" i="2" s="1"/>
  <c r="K21" i="2"/>
  <c r="R25" i="1"/>
  <c r="O25" i="1"/>
  <c r="R24" i="1"/>
  <c r="O24" i="1"/>
  <c r="F35" i="4"/>
  <c r="F34" i="4"/>
  <c r="F33" i="4"/>
  <c r="F32" i="4"/>
  <c r="F31" i="4"/>
  <c r="F30" i="4"/>
  <c r="C2" i="4"/>
  <c r="G40" i="2"/>
  <c r="J22" i="2"/>
  <c r="N2" i="1"/>
  <c r="M2" i="1"/>
  <c r="O2" i="1"/>
  <c r="AK26" i="1"/>
  <c r="AK25" i="1"/>
  <c r="AK24" i="1"/>
  <c r="AK23" i="1"/>
  <c r="AK22" i="1"/>
  <c r="I18" i="1"/>
  <c r="H18" i="1"/>
  <c r="G18" i="1"/>
  <c r="F18" i="1"/>
  <c r="AK21" i="1"/>
  <c r="AK20" i="1"/>
  <c r="J17" i="1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27" i="2"/>
  <c r="P27" i="2"/>
  <c r="O27" i="2"/>
  <c r="N27" i="2"/>
  <c r="M27" i="2"/>
  <c r="L27" i="2"/>
  <c r="K27" i="2"/>
  <c r="R27" i="2"/>
  <c r="A26" i="2"/>
  <c r="B26" i="2"/>
  <c r="C26" i="2"/>
  <c r="D26" i="2"/>
  <c r="E26" i="2"/>
  <c r="F26" i="2"/>
  <c r="G26" i="2"/>
  <c r="H26" i="2"/>
  <c r="I26" i="2"/>
  <c r="J26" i="2"/>
  <c r="R26" i="2"/>
  <c r="Q22" i="2"/>
  <c r="P22" i="2"/>
  <c r="O22" i="2"/>
  <c r="N22" i="2"/>
  <c r="M22" i="2"/>
  <c r="L22" i="2"/>
  <c r="K22" i="2"/>
  <c r="I22" i="2"/>
  <c r="H22" i="2"/>
  <c r="G22" i="2"/>
  <c r="F22" i="2"/>
  <c r="R22" i="2"/>
  <c r="E22" i="2"/>
  <c r="AJ17" i="1"/>
  <c r="AI17" i="1"/>
  <c r="AH17" i="1"/>
  <c r="AG17" i="1"/>
  <c r="AF17" i="1"/>
  <c r="Q22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K18" i="1"/>
  <c r="AJ18" i="1"/>
  <c r="AI18" i="1"/>
  <c r="AH18" i="1"/>
  <c r="S18" i="1"/>
  <c r="R18" i="1"/>
  <c r="Q18" i="1"/>
  <c r="P18" i="1"/>
  <c r="O18" i="1"/>
  <c r="N18" i="1"/>
  <c r="M18" i="1"/>
  <c r="L18" i="1"/>
  <c r="K18" i="1"/>
  <c r="J18" i="1"/>
  <c r="L17" i="1"/>
  <c r="K17" i="1"/>
  <c r="J27" i="2"/>
  <c r="I27" i="2"/>
  <c r="H27" i="2"/>
  <c r="G27" i="2"/>
  <c r="F27" i="2"/>
  <c r="E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B27" i="2"/>
  <c r="C27" i="2"/>
  <c r="D27" i="2"/>
  <c r="A27" i="2"/>
  <c r="I24" i="3"/>
  <c r="E24" i="3"/>
  <c r="AE17" i="1"/>
  <c r="AD17" i="1"/>
  <c r="AC17" i="1"/>
  <c r="AB17" i="1"/>
  <c r="D47" i="4" l="1"/>
  <c r="C7" i="1"/>
  <c r="B7" i="1"/>
  <c r="U21" i="1"/>
  <c r="T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C18" i="1"/>
  <c r="AB18" i="1"/>
  <c r="AA18" i="1"/>
  <c r="Z18" i="1"/>
  <c r="Y18" i="1"/>
  <c r="X18" i="1"/>
  <c r="W18" i="1"/>
  <c r="V18" i="1"/>
  <c r="U18" i="1"/>
  <c r="T18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F20" i="3"/>
  <c r="T23" i="1" l="1"/>
  <c r="D48" i="4"/>
  <c r="V21" i="1"/>
  <c r="U23" i="1"/>
  <c r="R40" i="2"/>
  <c r="R39" i="2"/>
  <c r="R38" i="2"/>
  <c r="R37" i="2"/>
  <c r="R35" i="2"/>
  <c r="R34" i="2"/>
  <c r="R33" i="2"/>
  <c r="R32" i="2"/>
  <c r="R31" i="2"/>
  <c r="R30" i="2"/>
  <c r="R29" i="2"/>
  <c r="R28" i="2"/>
  <c r="P2" i="1" l="1"/>
  <c r="N3" i="1"/>
  <c r="M3" i="1"/>
  <c r="H20" i="3"/>
  <c r="O3" i="1" l="1"/>
  <c r="P3" i="1" s="1"/>
  <c r="R36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E40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E38" i="2"/>
  <c r="F38" i="2"/>
  <c r="G38" i="2"/>
  <c r="H38" i="2"/>
  <c r="I38" i="2"/>
  <c r="J38" i="2"/>
  <c r="E39" i="2"/>
  <c r="F39" i="2"/>
  <c r="G39" i="2"/>
  <c r="H39" i="2"/>
  <c r="I39" i="2"/>
  <c r="J39" i="2"/>
  <c r="F40" i="2"/>
  <c r="H40" i="2"/>
  <c r="I40" i="2"/>
  <c r="J40" i="2"/>
  <c r="AJ10" i="1"/>
  <c r="E42" i="2" l="1" a="1"/>
  <c r="E42" i="2" s="1"/>
  <c r="E41" i="2" a="1"/>
  <c r="E41" i="2" s="1"/>
  <c r="Q42" i="2" a="1"/>
  <c r="Q42" i="2" s="1"/>
  <c r="Q41" i="2" a="1"/>
  <c r="Q41" i="2" s="1"/>
  <c r="H41" i="2" a="1"/>
  <c r="H41" i="2" s="1"/>
  <c r="H42" i="2" a="1"/>
  <c r="H42" i="2" s="1"/>
  <c r="R41" i="2" a="1"/>
  <c r="R41" i="2" s="1"/>
  <c r="R42" i="2" a="1"/>
  <c r="R42" i="2" s="1"/>
  <c r="G41" i="2" a="1"/>
  <c r="G41" i="2" s="1"/>
  <c r="G42" i="2" a="1"/>
  <c r="G42" i="2" s="1"/>
  <c r="P42" i="2" a="1"/>
  <c r="P42" i="2" s="1"/>
  <c r="P41" i="2" a="1"/>
  <c r="P41" i="2" s="1"/>
  <c r="O42" i="2" a="1"/>
  <c r="O42" i="2" s="1"/>
  <c r="O41" i="2" a="1"/>
  <c r="O41" i="2" s="1"/>
  <c r="N42" i="2" a="1"/>
  <c r="N42" i="2" s="1"/>
  <c r="N41" i="2" a="1"/>
  <c r="N41" i="2" s="1"/>
  <c r="F42" i="2" a="1"/>
  <c r="F42" i="2" s="1"/>
  <c r="F41" i="2" a="1"/>
  <c r="F41" i="2" s="1"/>
  <c r="M42" i="2" a="1"/>
  <c r="M42" i="2" s="1"/>
  <c r="M41" i="2" a="1"/>
  <c r="M41" i="2" s="1"/>
  <c r="J41" i="2" a="1"/>
  <c r="J41" i="2" s="1"/>
  <c r="J42" i="2" a="1"/>
  <c r="J42" i="2" s="1"/>
  <c r="L42" i="2" a="1"/>
  <c r="L42" i="2" s="1"/>
  <c r="L41" i="2" a="1"/>
  <c r="L41" i="2" s="1"/>
  <c r="I41" i="2" a="1"/>
  <c r="I41" i="2" s="1"/>
  <c r="I42" i="2" a="1"/>
  <c r="I42" i="2" s="1"/>
  <c r="K41" i="2" a="1"/>
  <c r="K41" i="2" s="1"/>
  <c r="K42" i="2" a="1"/>
  <c r="K42" i="2" s="1"/>
  <c r="J10" i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<sst xmlns="http://schemas.openxmlformats.org/spreadsheetml/2006/main" count="305" uniqueCount="173">
  <si>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</si>
  <si>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</si>
  <si>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</si>
  <si>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</si>
  <si>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</si>
  <si>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</si>
  <si>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</si>
  <si>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</si>
  <si>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</si>
  <si>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</si>
  <si>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</si>
  <si>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</si>
  <si>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</si>
  <si>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</si>
  <si>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</si>
  <si>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</si>
  <si>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</si>
  <si>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</si>
  <si>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</si>
  <si>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</si>
  <si>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</si>
  <si>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</si>
  <si>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</si>
  <si>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</si>
  <si>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</si>
  <si>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</si>
  <si>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</si>
  <si>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</si>
  <si>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</si>
  <si>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</si>
  <si>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</si>
  <si>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</si>
  <si>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</si>
  <si>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</si>
  <si>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</si>
  <si>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</si>
  <si>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</si>
  <si>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</si>
  <si>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</si>
  <si>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</si>
  <si>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</si>
  <si>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</si>
  <si>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</si>
  <si>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</si>
  <si>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</si>
  <si>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</si>
  <si>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</si>
  <si>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</si>
  <si>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</si>
  <si>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</si>
  <si>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</si>
  <si>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</si>
  <si>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</si>
  <si>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</si>
  <si>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</si>
  <si>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</si>
  <si>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</si>
  <si>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</si>
  <si>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</si>
  <si>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</si>
  <si>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</si>
  <si>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</si>
  <si>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</si>
  <si>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</si>
  <si>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</si>
  <si>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</si>
  <si>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</si>
  <si>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</si>
  <si>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</si>
  <si>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</si>
  <si>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</si>
  <si>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</si>
  <si>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</si>
  <si>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</si>
  <si>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</si>
  <si>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</si>
  <si>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</si>
  <si>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</si>
  <si>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</si>
  <si>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</si>
  <si>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</si>
  <si>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</si>
  <si>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</si>
  <si>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</si>
  <si>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</si>
  <si>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</si>
  <si>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</si>
  <si>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</si>
  <si>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</si>
  <si>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</si>
  <si>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</si>
  <si>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</si>
  <si>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</si>
  <si>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</si>
  <si>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</si>
  <si>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</si>
  <si>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</si>
  <si>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</si>
  <si>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</si>
  <si>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</si>
  <si>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</si>
  <si>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</si>
  <si>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</si>
  <si>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</si>
  <si>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</si>
  <si>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</si>
  <si>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</si>
  <si>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</si>
  <si>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</si>
  <si>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</si>
  <si>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</si>
  <si>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</si>
  <si>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</si>
  <si>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</si>
  <si>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</si>
  <si>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</si>
  <si>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</si>
  <si>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</si>
  <si>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</si>
  <si>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</si>
  <si>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</si>
  <si>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</si>
  <si>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</si>
  <si>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</si>
  <si>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</si>
  <si>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</si>
  <si>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</si>
  <si>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</si>
  <si>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</si>
  <si>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</si>
  <si>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</si>
  <si>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</si>
  <si>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</si>
  <si>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</si>
  <si>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</si>
  <si>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</si>
  <si>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</si>
  <si>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</si>
  <si>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</si>
  <si>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</si>
  <si>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</si>
  <si>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</si>
  <si>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</si>
  <si>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</si>
  <si>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</si>
  <si>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</si>
  <si>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</si>
  <si>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</si>
  <si>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</si>
  <si>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</si>
  <si>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</si>
  <si>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</si>
  <si>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</si>
  <si>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</si>
  <si>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</si>
  <si>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</si>
  <si>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</si>
  <si>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</si>
  <si>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</si>
  <si>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</si>
  <si>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</si>
  <si>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</si>
  <si>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</si>
  <si>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</si>
  <si>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</si>
  <si>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</si>
  <si>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which is inline with the confidence interval in step1. If this value is unsatisfactory, use confidence interval.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</si>
  <si>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</si>
  <si>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</si>
  <si>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ABT</t>
  </si>
  <si>
    <t>2017Q4</t>
  </si>
  <si>
    <t>ABT_HF</t>
  </si>
  <si>
    <t>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</si>
</sst>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2" fillId="0" borderId="3" xfId="0" applyNumberFormat="1" applyFont="1" applyBorder="1"/>
    <xf numFmtId="165" fontId="4" fillId="0" borderId="3" xfId="0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9" fontId="0" fillId="3" borderId="0" xfId="1" applyFont="1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6" fontId="4" fillId="0" borderId="0" xfId="0" applyNumberFormat="1" applyFont="1" applyBorder="1"/>
    <xf numFmtId="166" fontId="4" fillId="0" borderId="3" xfId="0" applyNumberFormat="1" applyFont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E1" zoomScale="70" zoomScaleNormal="70" workbookViewId="0">
      <selection activeCell="AF24" sqref="AF24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21" t="s">
        <v>171</v>
      </c>
      <c r="B1" s="122"/>
      <c r="C1" s="123"/>
      <c r="K1" s="130" t="s">
        <v>35</v>
      </c>
      <c r="L1" s="131"/>
      <c r="M1" s="64" t="s">
        <v>31</v>
      </c>
      <c r="N1" s="64" t="s">
        <v>32</v>
      </c>
      <c r="O1" s="4" t="s">
        <v>39</v>
      </c>
      <c r="P1" s="132" t="s">
        <v>41</v>
      </c>
      <c r="Q1" s="133"/>
    </row>
    <row r="2" spans="1:37" x14ac:dyDescent="0.2">
      <c r="A2" s="124"/>
      <c r="B2" s="125"/>
      <c r="C2" s="126"/>
      <c r="K2" s="62" t="s">
        <v>37</v>
      </c>
      <c r="L2" s="63"/>
      <c r="M2" s="65">
        <f>$B$7*($AK$25-2*$AK$26)</f>
        <v>140.13411172103781</v>
      </c>
      <c r="N2" s="65">
        <f>$B$7*($AK$25+2*$AK$26)</f>
        <v>171.26214798362955</v>
      </c>
      <c r="O2" s="68">
        <f>AVERAGE(M2:N2)</f>
        <v>155.69812985233369</v>
      </c>
      <c r="P2" s="134">
        <f>$O$2/AF14-1</f>
        <v>8.1237012863428326E-2</v>
      </c>
      <c r="Q2" s="135"/>
    </row>
    <row r="3" spans="1:37" x14ac:dyDescent="0.2">
      <c r="A3" s="127"/>
      <c r="B3" s="128"/>
      <c r="C3" s="129"/>
      <c r="K3" s="47" t="s">
        <v>38</v>
      </c>
      <c r="L3" s="20"/>
      <c r="M3" s="67">
        <f>$C$7*($AK$25-2*$AK$26)</f>
        <v>150.74944833017938</v>
      </c>
      <c r="N3" s="67">
        <f>$C$7*($AK$25+2*$AK$26)</f>
        <v>184.23547280028743</v>
      </c>
      <c r="O3" s="69">
        <f>AVERAGE(M3:N3)</f>
        <v>167.49246056523339</v>
      </c>
      <c r="P3" s="136">
        <f>$O$3/AF15-1</f>
        <v>0.16314208725856516</v>
      </c>
      <c r="Q3" s="137"/>
    </row>
    <row r="4" spans="1:37" x14ac:dyDescent="0.2">
      <c r="A4" s="53"/>
      <c r="B4" s="53"/>
      <c r="C4" s="53"/>
      <c r="N4" s="4" t="s">
        <v>40</v>
      </c>
      <c r="O4" s="69">
        <f>AVERAGE(O2:O3)</f>
        <v>161.59529520878354</v>
      </c>
      <c r="P4" s="136">
        <f>$O$4/AF15-1</f>
        <v>0.12218955006099685</v>
      </c>
      <c r="Q4" s="137"/>
    </row>
    <row r="5" spans="1:37" x14ac:dyDescent="0.2">
      <c r="A5" s="61" t="s">
        <v>34</v>
      </c>
      <c r="B5" s="51" t="s">
        <v>31</v>
      </c>
      <c r="C5" s="52" t="s">
        <v>32</v>
      </c>
      <c r="D5" s="100"/>
      <c r="E5" s="100"/>
    </row>
    <row r="6" spans="1:37" ht="15.75" x14ac:dyDescent="0.25">
      <c r="A6" s="55" t="s">
        <v>33</v>
      </c>
      <c r="B6" s="59">
        <v>38557.606224738753</v>
      </c>
      <c r="C6" s="60">
        <v>41478.39377526124</v>
      </c>
    </row>
    <row r="7" spans="1:37" ht="14.25" x14ac:dyDescent="0.2">
      <c r="A7" s="56" t="s">
        <v>36</v>
      </c>
      <c r="B7" s="57">
        <f>B6*$AK$24</f>
        <v>616.78576713600569</v>
      </c>
      <c r="C7" s="58">
        <f>C6*$AK$24</f>
        <v>663.50807088821466</v>
      </c>
    </row>
    <row r="8" spans="1:37" x14ac:dyDescent="0.2">
      <c r="F8" s="53"/>
      <c r="G8" s="53"/>
      <c r="H8" s="53"/>
    </row>
    <row r="9" spans="1:37" x14ac:dyDescent="0.2">
      <c r="F9" s="53"/>
      <c r="G9" s="53"/>
      <c r="H9" s="53"/>
    </row>
    <row r="10" spans="1:37" x14ac:dyDescent="0.2">
      <c r="H10" s="120" t="s">
        <v>15</v>
      </c>
      <c r="I10" s="120"/>
      <c r="J10" s="37">
        <f>AVERAGE(F13:AJ13)</f>
        <v>1.0838933379829581</v>
      </c>
      <c r="AG10" s="120" t="s">
        <v>16</v>
      </c>
      <c r="AH10" s="120"/>
      <c r="AI10" s="120"/>
      <c r="AJ10" s="89">
        <f>AVERAGE(AH13:AJ13)</f>
        <v>1.1882723112128146</v>
      </c>
    </row>
    <row r="11" spans="1:37" x14ac:dyDescent="0.2">
      <c r="A11" s="54" t="s">
        <v>6</v>
      </c>
      <c r="B11" s="138">
        <v>2013</v>
      </c>
      <c r="C11" s="139"/>
      <c r="D11" s="139"/>
      <c r="E11" s="140"/>
      <c r="F11" s="150">
        <v>2014</v>
      </c>
      <c r="G11" s="150"/>
      <c r="H11" s="150"/>
      <c r="I11" s="151"/>
      <c r="J11" s="152">
        <v>2015</v>
      </c>
      <c r="K11" s="153"/>
      <c r="L11" s="153"/>
      <c r="M11" s="154"/>
      <c r="N11" s="152">
        <v>2016</v>
      </c>
      <c r="O11" s="153"/>
      <c r="P11" s="153"/>
      <c r="Q11" s="154"/>
      <c r="R11" s="155">
        <v>2017</v>
      </c>
      <c r="S11" s="156"/>
      <c r="T11" s="156"/>
      <c r="U11" s="157"/>
      <c r="V11" s="113">
        <v>2018</v>
      </c>
      <c r="W11" s="114"/>
      <c r="X11" s="114"/>
      <c r="Y11" s="115"/>
      <c r="Z11" s="158">
        <v>2019</v>
      </c>
      <c r="AA11" s="159"/>
      <c r="AB11" s="159"/>
      <c r="AC11" s="160"/>
      <c r="AD11" s="161">
        <v>2020</v>
      </c>
      <c r="AE11" s="150"/>
      <c r="AF11" s="150"/>
      <c r="AG11" s="151"/>
      <c r="AH11" s="152">
        <v>2021</v>
      </c>
      <c r="AI11" s="153"/>
      <c r="AJ11" s="153"/>
      <c r="AK11" s="154"/>
    </row>
    <row r="12" spans="1:37" x14ac:dyDescent="0.2">
      <c r="A12" s="15" t="s">
        <v>19</v>
      </c>
      <c r="B12" s="90" t="s">
        <v>20</v>
      </c>
      <c r="C12" s="91" t="s">
        <v>3</v>
      </c>
      <c r="D12" s="91" t="s">
        <v>4</v>
      </c>
      <c r="E12" s="92" t="s">
        <v>5</v>
      </c>
      <c r="F12" s="21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2" t="s">
        <v>20</v>
      </c>
      <c r="O12" s="23" t="s">
        <v>3</v>
      </c>
      <c r="P12" s="23" t="s">
        <v>4</v>
      </c>
      <c r="Q12" s="23" t="s">
        <v>5</v>
      </c>
      <c r="R12" s="24" t="s">
        <v>20</v>
      </c>
      <c r="S12" s="25" t="s">
        <v>3</v>
      </c>
      <c r="T12" s="25" t="s">
        <v>4</v>
      </c>
      <c r="U12" s="25" t="s">
        <v>5</v>
      </c>
      <c r="V12" s="26" t="s">
        <v>20</v>
      </c>
      <c r="W12" s="27" t="s">
        <v>3</v>
      </c>
      <c r="X12" s="27" t="s">
        <v>4</v>
      </c>
      <c r="Y12" s="27" t="s">
        <v>5</v>
      </c>
      <c r="Z12" s="28" t="s">
        <v>20</v>
      </c>
      <c r="AA12" s="29" t="s">
        <v>3</v>
      </c>
      <c r="AB12" s="29" t="s">
        <v>4</v>
      </c>
      <c r="AC12" s="29" t="s">
        <v>5</v>
      </c>
      <c r="AD12" s="30" t="s">
        <v>20</v>
      </c>
      <c r="AE12" s="21" t="s">
        <v>3</v>
      </c>
      <c r="AF12" s="21" t="s">
        <v>4</v>
      </c>
      <c r="AG12" s="21" t="s">
        <v>5</v>
      </c>
      <c r="AH12" s="39" t="s">
        <v>20</v>
      </c>
      <c r="AI12" s="40" t="s">
        <v>3</v>
      </c>
      <c r="AJ12" s="41" t="s">
        <v>21</v>
      </c>
      <c r="AK12" s="31" t="s">
        <v>22</v>
      </c>
    </row>
    <row r="13" spans="1:37" x14ac:dyDescent="0.2">
      <c r="A13" s="36" t="s">
        <v>2</v>
      </c>
      <c r="B13" s="32"/>
      <c r="C13" s="32"/>
      <c r="D13" s="32"/>
      <c r="E13" s="32"/>
      <c r="F13" s="96"/>
      <c r="G13" s="96"/>
      <c r="H13" s="97"/>
      <c r="I13" s="98"/>
      <c r="J13" s="99">
        <f>J15/F15</f>
        <v>1.2489539748953977</v>
      </c>
      <c r="K13" s="99">
        <f t="shared" ref="K13:AI13" si="0">K15/G15</f>
        <v>1.3747346072186837</v>
      </c>
      <c r="L13" s="99">
        <f t="shared" si="0"/>
        <v>1.3890746934225193</v>
      </c>
      <c r="M13" s="99">
        <f t="shared" si="0"/>
        <v>1.2885304659498209</v>
      </c>
      <c r="N13" s="99">
        <f t="shared" si="0"/>
        <v>1.0134003350083751</v>
      </c>
      <c r="O13" s="99">
        <f t="shared" si="0"/>
        <v>0.94208494208494209</v>
      </c>
      <c r="P13" s="99">
        <f t="shared" si="0"/>
        <v>0.94703049759229541</v>
      </c>
      <c r="Q13" s="99">
        <f t="shared" si="0"/>
        <v>0.80667593880389421</v>
      </c>
      <c r="R13" s="99">
        <f t="shared" si="0"/>
        <v>0.90082644628099173</v>
      </c>
      <c r="S13" s="99">
        <f t="shared" si="0"/>
        <v>1.0081967213114753</v>
      </c>
      <c r="T13" s="99">
        <f t="shared" si="0"/>
        <v>1.1101694915254237</v>
      </c>
      <c r="U13" s="99">
        <f t="shared" si="0"/>
        <v>1.103448275862069</v>
      </c>
      <c r="V13" s="99">
        <f t="shared" si="0"/>
        <v>1.0458715596330275</v>
      </c>
      <c r="W13" s="99">
        <f t="shared" si="0"/>
        <v>0.95121951219512191</v>
      </c>
      <c r="X13" s="99">
        <f t="shared" si="0"/>
        <v>0.84732824427480913</v>
      </c>
      <c r="Y13" s="99">
        <f t="shared" si="0"/>
        <v>0.9765625</v>
      </c>
      <c r="Z13" s="99">
        <f t="shared" si="0"/>
        <v>1.2543859649122806</v>
      </c>
      <c r="AA13" s="99">
        <f t="shared" si="0"/>
        <v>1.2735042735042734</v>
      </c>
      <c r="AB13" s="99">
        <f t="shared" si="0"/>
        <v>1.2252252252252251</v>
      </c>
      <c r="AC13" s="99">
        <f t="shared" si="0"/>
        <v>1.1679999999999999</v>
      </c>
      <c r="AD13" s="99">
        <f t="shared" si="0"/>
        <v>1.0629370629370629</v>
      </c>
      <c r="AE13" s="99">
        <f t="shared" si="0"/>
        <v>0.77181208053691275</v>
      </c>
      <c r="AF13" s="99">
        <f t="shared" si="0"/>
        <v>1.0588235294117647</v>
      </c>
      <c r="AG13" s="99">
        <f t="shared" si="0"/>
        <v>0.93150684931506844</v>
      </c>
      <c r="AH13" s="99">
        <f t="shared" si="0"/>
        <v>0.95394736842105265</v>
      </c>
      <c r="AI13" s="99">
        <f t="shared" si="0"/>
        <v>1.4608695652173913</v>
      </c>
      <c r="AJ13" s="99">
        <f>AJ14/AF14</f>
        <v>1.1499999999999999</v>
      </c>
      <c r="AK13" s="33"/>
    </row>
    <row r="14" spans="1:37" x14ac:dyDescent="0.2">
      <c r="A14" s="16" t="s">
        <v>0</v>
      </c>
      <c r="B14" s="8"/>
      <c r="C14" s="8"/>
      <c r="D14" s="8"/>
      <c r="E14" s="8"/>
      <c r="F14" s="8">
        <v>95.6</v>
      </c>
      <c r="G14" s="8">
        <v>94.2</v>
      </c>
      <c r="H14" s="8">
        <v>89.7</v>
      </c>
      <c r="I14" s="8">
        <v>111.6</v>
      </c>
      <c r="J14" s="10">
        <v>119.4</v>
      </c>
      <c r="K14" s="6">
        <v>129.5</v>
      </c>
      <c r="L14" s="6">
        <v>124.6</v>
      </c>
      <c r="M14" s="6">
        <v>143.80000000000001</v>
      </c>
      <c r="N14" s="10">
        <v>121</v>
      </c>
      <c r="O14" s="6">
        <v>122</v>
      </c>
      <c r="P14" s="6">
        <v>118</v>
      </c>
      <c r="Q14" s="6">
        <v>116</v>
      </c>
      <c r="R14" s="10">
        <v>109</v>
      </c>
      <c r="S14" s="6">
        <v>123</v>
      </c>
      <c r="T14" s="6">
        <v>131</v>
      </c>
      <c r="U14" s="6">
        <v>128.1</v>
      </c>
      <c r="V14" s="10">
        <v>114</v>
      </c>
      <c r="W14" s="6">
        <v>117</v>
      </c>
      <c r="X14" s="6">
        <v>111</v>
      </c>
      <c r="Y14" s="6">
        <v>125</v>
      </c>
      <c r="Z14" s="10">
        <v>143</v>
      </c>
      <c r="AA14" s="6">
        <v>149</v>
      </c>
      <c r="AB14" s="6">
        <v>136</v>
      </c>
      <c r="AC14" s="6">
        <v>146</v>
      </c>
      <c r="AD14" s="10">
        <v>152</v>
      </c>
      <c r="AE14" s="6">
        <v>115</v>
      </c>
      <c r="AF14" s="6">
        <v>144</v>
      </c>
      <c r="AG14" s="6">
        <v>136</v>
      </c>
      <c r="AH14" s="6">
        <v>145</v>
      </c>
      <c r="AI14" s="6">
        <v>168</v>
      </c>
      <c r="AJ14" s="6">
        <v>165.6</v>
      </c>
      <c r="AK14" s="6">
        <v>171.6</v>
      </c>
    </row>
    <row r="15" spans="1:37" x14ac:dyDescent="0.2">
      <c r="A15" s="16" t="s">
        <v>1</v>
      </c>
      <c r="B15" s="6"/>
      <c r="C15" s="6"/>
      <c r="D15" s="6"/>
      <c r="E15" s="6"/>
      <c r="F15" s="6">
        <v>95.6</v>
      </c>
      <c r="G15" s="6">
        <v>94.2</v>
      </c>
      <c r="H15" s="6">
        <v>89.7</v>
      </c>
      <c r="I15" s="6">
        <v>111.6</v>
      </c>
      <c r="J15" s="10">
        <v>119.4</v>
      </c>
      <c r="K15" s="6">
        <v>129.5</v>
      </c>
      <c r="L15" s="6">
        <v>124.6</v>
      </c>
      <c r="M15" s="6">
        <v>143.80000000000001</v>
      </c>
      <c r="N15" s="10">
        <v>121</v>
      </c>
      <c r="O15" s="6">
        <v>122</v>
      </c>
      <c r="P15" s="6">
        <v>118</v>
      </c>
      <c r="Q15" s="6">
        <v>116</v>
      </c>
      <c r="R15" s="10">
        <v>109</v>
      </c>
      <c r="S15" s="6">
        <v>123</v>
      </c>
      <c r="T15" s="6">
        <v>131</v>
      </c>
      <c r="U15" s="6">
        <v>128</v>
      </c>
      <c r="V15" s="10">
        <v>114</v>
      </c>
      <c r="W15" s="6">
        <v>117</v>
      </c>
      <c r="X15" s="6">
        <v>111</v>
      </c>
      <c r="Y15" s="6">
        <v>125</v>
      </c>
      <c r="Z15" s="10">
        <v>143</v>
      </c>
      <c r="AA15" s="6">
        <v>149</v>
      </c>
      <c r="AB15" s="6">
        <v>136</v>
      </c>
      <c r="AC15" s="6">
        <v>146</v>
      </c>
      <c r="AD15" s="10">
        <v>152</v>
      </c>
      <c r="AE15" s="6">
        <v>115</v>
      </c>
      <c r="AF15" s="6">
        <v>144</v>
      </c>
      <c r="AG15" s="6">
        <v>136</v>
      </c>
      <c r="AH15" s="10">
        <v>145</v>
      </c>
      <c r="AI15" s="6">
        <v>168</v>
      </c>
      <c r="AJ15" s="10"/>
      <c r="AK15" s="11"/>
    </row>
    <row r="16" spans="1:37" x14ac:dyDescent="0.2">
      <c r="A16" s="16" t="s">
        <v>158</v>
      </c>
      <c r="B16" s="10"/>
      <c r="C16" s="6"/>
      <c r="D16" s="6"/>
      <c r="E16" s="11"/>
      <c r="F16" s="10"/>
      <c r="G16" s="6"/>
      <c r="H16" s="6"/>
      <c r="I16" s="11"/>
      <c r="J16" s="10">
        <v>4897</v>
      </c>
      <c r="K16" s="6">
        <v>5170</v>
      </c>
      <c r="L16" s="6">
        <v>5150</v>
      </c>
      <c r="M16" s="11">
        <v>5188</v>
      </c>
      <c r="N16" s="10">
        <v>4885</v>
      </c>
      <c r="O16" s="6">
        <v>5333</v>
      </c>
      <c r="P16" s="6">
        <v>5302</v>
      </c>
      <c r="Q16" s="11">
        <v>5333</v>
      </c>
      <c r="R16" s="10">
        <v>6335</v>
      </c>
      <c r="S16" s="6">
        <v>6637</v>
      </c>
      <c r="T16" s="6">
        <v>6829</v>
      </c>
      <c r="U16" s="11">
        <v>7589</v>
      </c>
      <c r="V16" s="10">
        <v>7390</v>
      </c>
      <c r="W16" s="6">
        <v>7767</v>
      </c>
      <c r="X16" s="6">
        <v>7656</v>
      </c>
      <c r="Y16" s="11">
        <v>7765</v>
      </c>
      <c r="Z16" s="10">
        <v>7535</v>
      </c>
      <c r="AA16" s="6">
        <v>7979</v>
      </c>
      <c r="AB16" s="6">
        <v>8076</v>
      </c>
      <c r="AC16" s="11">
        <v>8314</v>
      </c>
      <c r="AD16" s="10">
        <v>7726</v>
      </c>
      <c r="AE16" s="6">
        <v>7328</v>
      </c>
      <c r="AF16" s="6">
        <v>8853</v>
      </c>
      <c r="AG16" s="11">
        <v>10701</v>
      </c>
      <c r="AH16" s="10">
        <v>10456</v>
      </c>
      <c r="AI16">
        <v>10223</v>
      </c>
      <c r="AJ16" s="93">
        <v>9554.4</v>
      </c>
      <c r="AK16" s="11"/>
    </row>
    <row r="17" spans="1:38" x14ac:dyDescent="0.2">
      <c r="A17" s="101" t="s">
        <v>18</v>
      </c>
      <c r="B17" s="102"/>
      <c r="C17" s="102"/>
      <c r="D17" s="102"/>
      <c r="E17" s="102"/>
      <c r="F17" s="102"/>
      <c r="G17" s="102"/>
      <c r="H17" s="102"/>
      <c r="I17" s="102"/>
      <c r="J17" s="103">
        <f>J15/J16</f>
        <v>2.4382274862160509E-2</v>
      </c>
      <c r="K17" s="103">
        <f>K15/K16</f>
        <v>2.5048355899419728E-2</v>
      </c>
      <c r="L17" s="103">
        <f>L15/L16</f>
        <v>2.4194174757281552E-2</v>
      </c>
      <c r="M17" s="103">
        <f t="shared" ref="M17:AA17" si="1">M15/M16</f>
        <v>2.7717810331534313E-2</v>
      </c>
      <c r="N17" s="103">
        <f t="shared" si="1"/>
        <v>2.4769703172978507E-2</v>
      </c>
      <c r="O17" s="103">
        <f t="shared" si="1"/>
        <v>2.2876429776861055E-2</v>
      </c>
      <c r="P17" s="103">
        <f t="shared" si="1"/>
        <v>2.2255752546208978E-2</v>
      </c>
      <c r="Q17" s="103">
        <f t="shared" si="1"/>
        <v>2.1751359459966247E-2</v>
      </c>
      <c r="R17" s="103">
        <f t="shared" si="1"/>
        <v>1.7205998421468034E-2</v>
      </c>
      <c r="S17" s="103">
        <f t="shared" si="1"/>
        <v>1.8532469489227061E-2</v>
      </c>
      <c r="T17" s="103">
        <f t="shared" si="1"/>
        <v>1.9182896470932787E-2</v>
      </c>
      <c r="U17" s="103">
        <f t="shared" si="1"/>
        <v>1.6866517327711161E-2</v>
      </c>
      <c r="V17" s="103">
        <f t="shared" si="1"/>
        <v>1.5426251691474966E-2</v>
      </c>
      <c r="W17" s="103">
        <f t="shared" si="1"/>
        <v>1.5063731170336037E-2</v>
      </c>
      <c r="X17" s="103">
        <f t="shared" si="1"/>
        <v>1.4498432601880877E-2</v>
      </c>
      <c r="Y17" s="103">
        <f t="shared" si="1"/>
        <v>1.6097875080489377E-2</v>
      </c>
      <c r="Z17" s="103">
        <f t="shared" si="1"/>
        <v>1.8978102189781021E-2</v>
      </c>
      <c r="AA17" s="103">
        <f t="shared" si="1"/>
        <v>1.8674019300664244E-2</v>
      </c>
      <c r="AB17" s="103">
        <f t="shared" ref="AB17:AE17" si="2">AB15/AB16</f>
        <v>1.6840019811788013E-2</v>
      </c>
      <c r="AC17" s="103">
        <f t="shared" si="2"/>
        <v>1.7560740918931922E-2</v>
      </c>
      <c r="AD17" s="103">
        <f t="shared" si="2"/>
        <v>1.9673828630597981E-2</v>
      </c>
      <c r="AE17" s="103">
        <f t="shared" si="2"/>
        <v>1.5693231441048033E-2</v>
      </c>
      <c r="AF17" s="103">
        <f>AF15/AF16</f>
        <v>1.6265672653337851E-2</v>
      </c>
      <c r="AG17" s="103">
        <f>AG15/AG16</f>
        <v>1.2709092608167461E-2</v>
      </c>
      <c r="AH17" s="103">
        <f>AH15/AH16</f>
        <v>1.3867635807192042E-2</v>
      </c>
      <c r="AI17" s="103">
        <f>AI15/AI16</f>
        <v>1.6433532231243275E-2</v>
      </c>
      <c r="AJ17" s="104">
        <f>AJ14/AJ16</f>
        <v>1.7332328560663149E-2</v>
      </c>
      <c r="AK17" s="105"/>
    </row>
    <row r="18" spans="1:38" x14ac:dyDescent="0.2">
      <c r="A18" s="101" t="s">
        <v>24</v>
      </c>
      <c r="B18" s="103"/>
      <c r="C18" s="103"/>
      <c r="D18" s="103"/>
      <c r="E18" s="106"/>
      <c r="F18" s="103">
        <f>F15/SUM(F15:I15)</f>
        <v>0.24443876246484272</v>
      </c>
      <c r="G18" s="103">
        <f>G15/SUM(F15:I15)</f>
        <v>0.240859115315776</v>
      </c>
      <c r="H18" s="103">
        <f>H15/SUM(F15:I15)</f>
        <v>0.22935310662234723</v>
      </c>
      <c r="I18" s="106">
        <f>I15/SUM(F15:I15)</f>
        <v>0.28534901559703396</v>
      </c>
      <c r="J18" s="103">
        <f>J15/SUM(J15:M15)</f>
        <v>0.23081384109800893</v>
      </c>
      <c r="K18" s="103">
        <f>K15/SUM(J15:M15)</f>
        <v>0.25033829499323412</v>
      </c>
      <c r="L18" s="103">
        <f>L15/SUM(J15:M15)</f>
        <v>0.24086603518267929</v>
      </c>
      <c r="M18" s="106">
        <f>M15/SUM(J15:M15)</f>
        <v>0.27798182872607774</v>
      </c>
      <c r="N18" s="103">
        <f>N15/SUM(N15:Q15)</f>
        <v>0.25366876310272535</v>
      </c>
      <c r="O18" s="103">
        <f>O15/SUM(N15:Q15)</f>
        <v>0.25576519916142559</v>
      </c>
      <c r="P18" s="103">
        <f>P15/SUM(N15:Q15)</f>
        <v>0.24737945492662475</v>
      </c>
      <c r="Q18" s="106">
        <f>Q15/SUM(N15:Q15)</f>
        <v>0.24318658280922431</v>
      </c>
      <c r="R18" s="103">
        <f>R15/SUM(R15:U15)</f>
        <v>0.2219959266802444</v>
      </c>
      <c r="S18" s="103">
        <f>S15/SUM(R15:U15)</f>
        <v>0.25050916496945008</v>
      </c>
      <c r="T18" s="103">
        <f>T15/SUM(R15:U15)</f>
        <v>0.26680244399185338</v>
      </c>
      <c r="U18" s="106">
        <f>U15/SUM(R15:U15)</f>
        <v>0.26069246435845211</v>
      </c>
      <c r="V18" s="103">
        <f>V15/SUM(V15:Y15)</f>
        <v>0.24411134903640258</v>
      </c>
      <c r="W18" s="103">
        <f>W15/SUM(V15:Y15)</f>
        <v>0.25053533190578159</v>
      </c>
      <c r="X18" s="103">
        <f>X15/SUM(V15:Y15)</f>
        <v>0.23768736616702354</v>
      </c>
      <c r="Y18" s="106">
        <f>Y15/SUM(V15:Y15)</f>
        <v>0.26766595289079231</v>
      </c>
      <c r="Z18" s="103">
        <f>Z15/SUM(Z15:AC15)</f>
        <v>0.24912891986062718</v>
      </c>
      <c r="AA18" s="103">
        <f>AA15/SUM(Z15:AC15)</f>
        <v>0.25958188153310102</v>
      </c>
      <c r="AB18" s="103">
        <f>AB15/SUM(Z15:AC15)</f>
        <v>0.23693379790940766</v>
      </c>
      <c r="AC18" s="106">
        <f>AC15/SUM(Z15:AC15)</f>
        <v>0.25435540069686413</v>
      </c>
      <c r="AD18" s="103"/>
      <c r="AE18" s="103"/>
      <c r="AF18" s="103"/>
      <c r="AG18" s="106"/>
      <c r="AH18" s="103">
        <f>AH15/SUM(AH15:AI15,AJ14:AK14)</f>
        <v>0.22300830513688094</v>
      </c>
      <c r="AI18" s="103">
        <f>AI15/SUM(AH15:AI15,AJ14:AK14)</f>
        <v>0.25838203629652412</v>
      </c>
      <c r="AJ18" s="103">
        <f>AJ14/SUM(AH15:AI15,AJ14:AK14)</f>
        <v>0.25469086434943095</v>
      </c>
      <c r="AK18" s="106">
        <f>AK14/SUM(AH15:AI15,AJ14:AK14)</f>
        <v>0.26391879421716391</v>
      </c>
      <c r="AL18" s="3"/>
    </row>
    <row r="19" spans="1:38" x14ac:dyDescent="0.2">
      <c r="A19" s="17" t="s">
        <v>17</v>
      </c>
      <c r="B19" s="13"/>
      <c r="C19" s="13"/>
      <c r="D19" s="13"/>
      <c r="E19" s="13"/>
      <c r="F19" s="13"/>
      <c r="G19" s="13"/>
      <c r="H19" s="13"/>
      <c r="I19" s="13"/>
      <c r="J19" s="12"/>
      <c r="K19" s="13"/>
      <c r="L19" s="13"/>
      <c r="M19" s="13"/>
      <c r="N19" s="12"/>
      <c r="O19" s="13"/>
      <c r="P19" s="13"/>
      <c r="Q19" s="6">
        <v>214.4</v>
      </c>
      <c r="R19" s="94">
        <v>253.6</v>
      </c>
      <c r="S19" s="94">
        <v>116.5</v>
      </c>
      <c r="T19" s="94">
        <v>121.2</v>
      </c>
      <c r="U19" s="94">
        <v>128.5</v>
      </c>
      <c r="V19" s="94">
        <v>122.4</v>
      </c>
      <c r="W19" s="67">
        <v>125.9</v>
      </c>
      <c r="X19" s="67">
        <v>128.1</v>
      </c>
      <c r="Y19" s="67">
        <v>127.3</v>
      </c>
      <c r="Z19" s="94">
        <v>119.1</v>
      </c>
      <c r="AA19" s="67">
        <v>141.30000000000001</v>
      </c>
      <c r="AB19" s="67">
        <v>139.4</v>
      </c>
      <c r="AC19" s="67">
        <v>146.1</v>
      </c>
      <c r="AD19" s="94">
        <v>150.69999999999999</v>
      </c>
      <c r="AE19" s="67">
        <v>138.69999999999999</v>
      </c>
      <c r="AF19" s="67">
        <v>131.30000000000001</v>
      </c>
      <c r="AG19" s="67">
        <v>155.80000000000001</v>
      </c>
      <c r="AH19" s="94">
        <v>150.6</v>
      </c>
      <c r="AI19" s="67">
        <v>152.6</v>
      </c>
      <c r="AJ19" s="95">
        <v>163.6</v>
      </c>
      <c r="AK19" s="14">
        <v>166.6</v>
      </c>
    </row>
    <row r="20" spans="1:38" x14ac:dyDescent="0.2">
      <c r="M20" s="116" t="s">
        <v>7</v>
      </c>
      <c r="N20" s="162"/>
      <c r="O20" s="7"/>
      <c r="P20" s="8"/>
      <c r="Q20" s="8">
        <f t="shared" ref="Q20:AI20" si="3">IF(Q15&gt;Q19,1,0)</f>
        <v>0</v>
      </c>
      <c r="R20" s="8">
        <f t="shared" si="3"/>
        <v>0</v>
      </c>
      <c r="S20" s="8">
        <f t="shared" si="3"/>
        <v>1</v>
      </c>
      <c r="T20" s="8">
        <f t="shared" si="3"/>
        <v>1</v>
      </c>
      <c r="U20" s="8">
        <f t="shared" si="3"/>
        <v>0</v>
      </c>
      <c r="V20" s="8">
        <f t="shared" si="3"/>
        <v>0</v>
      </c>
      <c r="W20" s="8">
        <f t="shared" si="3"/>
        <v>0</v>
      </c>
      <c r="X20" s="8">
        <f t="shared" si="3"/>
        <v>0</v>
      </c>
      <c r="Y20" s="8">
        <f t="shared" si="3"/>
        <v>0</v>
      </c>
      <c r="Z20" s="8">
        <f t="shared" si="3"/>
        <v>1</v>
      </c>
      <c r="AA20" s="8">
        <f t="shared" si="3"/>
        <v>1</v>
      </c>
      <c r="AB20" s="8">
        <f t="shared" si="3"/>
        <v>0</v>
      </c>
      <c r="AC20" s="8">
        <f t="shared" si="3"/>
        <v>0</v>
      </c>
      <c r="AD20" s="8">
        <f t="shared" si="3"/>
        <v>1</v>
      </c>
      <c r="AE20" s="8">
        <f t="shared" si="3"/>
        <v>0</v>
      </c>
      <c r="AF20" s="8">
        <f t="shared" si="3"/>
        <v>1</v>
      </c>
      <c r="AG20" s="8">
        <f t="shared" si="3"/>
        <v>0</v>
      </c>
      <c r="AH20" s="8">
        <f t="shared" si="3"/>
        <v>0</v>
      </c>
      <c r="AI20" s="9">
        <f t="shared" si="3"/>
        <v>1</v>
      </c>
      <c r="AJ20" s="47" t="s">
        <v>8</v>
      </c>
      <c r="AK20" s="44">
        <f>AVERAGE(O20:AI20)</f>
        <v>0.36842105263157893</v>
      </c>
    </row>
    <row r="21" spans="1:38" x14ac:dyDescent="0.2">
      <c r="M21" s="111" t="s">
        <v>9</v>
      </c>
      <c r="N21" s="112"/>
      <c r="O21" s="10"/>
      <c r="P21" s="6"/>
      <c r="Q21" s="6"/>
      <c r="R21" s="6"/>
      <c r="S21" s="6"/>
      <c r="T21" s="6">
        <f>AVERAGE(Q20:T20)</f>
        <v>0.5</v>
      </c>
      <c r="U21" s="6">
        <f>AVERAGE(R20:U20)</f>
        <v>0.5</v>
      </c>
      <c r="V21" s="6">
        <f t="shared" ref="V21:AI21" si="4">AVERAGE(S20:V20)</f>
        <v>0.5</v>
      </c>
      <c r="W21" s="6">
        <f t="shared" si="4"/>
        <v>0.25</v>
      </c>
      <c r="X21" s="6">
        <f t="shared" si="4"/>
        <v>0</v>
      </c>
      <c r="Y21" s="6">
        <f t="shared" si="4"/>
        <v>0</v>
      </c>
      <c r="Z21" s="6">
        <f t="shared" si="4"/>
        <v>0.25</v>
      </c>
      <c r="AA21" s="6">
        <f t="shared" si="4"/>
        <v>0.5</v>
      </c>
      <c r="AB21" s="6">
        <f t="shared" si="4"/>
        <v>0.5</v>
      </c>
      <c r="AC21" s="6">
        <f t="shared" si="4"/>
        <v>0.5</v>
      </c>
      <c r="AD21" s="6">
        <f t="shared" si="4"/>
        <v>0.5</v>
      </c>
      <c r="AE21" s="6">
        <f t="shared" si="4"/>
        <v>0.25</v>
      </c>
      <c r="AF21" s="6">
        <f t="shared" si="4"/>
        <v>0.5</v>
      </c>
      <c r="AG21" s="6">
        <f t="shared" si="4"/>
        <v>0.5</v>
      </c>
      <c r="AH21" s="6">
        <f>AVERAGE(AE20:AH20)</f>
        <v>0.25</v>
      </c>
      <c r="AI21" s="11">
        <f t="shared" si="4"/>
        <v>0.5</v>
      </c>
      <c r="AJ21" s="43" t="s">
        <v>10</v>
      </c>
      <c r="AK21" s="44">
        <f>AVERAGE(R21:AI21)</f>
        <v>0.375</v>
      </c>
    </row>
    <row r="22" spans="1:38" x14ac:dyDescent="0.2">
      <c r="M22" s="148" t="s">
        <v>11</v>
      </c>
      <c r="N22" s="149"/>
      <c r="O22" s="48"/>
      <c r="P22" s="19"/>
      <c r="Q22" s="19">
        <f t="shared" ref="Q22:AI22" si="5">Q15/Q19-1</f>
        <v>-0.45895522388059706</v>
      </c>
      <c r="R22" s="19">
        <f t="shared" si="5"/>
        <v>-0.57018927444794953</v>
      </c>
      <c r="S22" s="19">
        <f t="shared" si="5"/>
        <v>5.579399141630903E-2</v>
      </c>
      <c r="T22" s="19">
        <f t="shared" si="5"/>
        <v>8.0858085808580782E-2</v>
      </c>
      <c r="U22" s="19">
        <f t="shared" si="5"/>
        <v>-3.8910505836575737E-3</v>
      </c>
      <c r="V22" s="19">
        <f t="shared" si="5"/>
        <v>-6.8627450980392246E-2</v>
      </c>
      <c r="W22" s="19">
        <f t="shared" si="5"/>
        <v>-7.0691024622716481E-2</v>
      </c>
      <c r="X22" s="19">
        <f t="shared" si="5"/>
        <v>-0.13348946135831374</v>
      </c>
      <c r="Y22" s="19">
        <f t="shared" si="5"/>
        <v>-1.806755695208162E-2</v>
      </c>
      <c r="Z22" s="19">
        <f t="shared" si="5"/>
        <v>0.20067170445004212</v>
      </c>
      <c r="AA22" s="19">
        <f t="shared" si="5"/>
        <v>5.4493984430290077E-2</v>
      </c>
      <c r="AB22" s="19">
        <f t="shared" si="5"/>
        <v>-2.4390243902439046E-2</v>
      </c>
      <c r="AC22" s="19">
        <f t="shared" si="5"/>
        <v>-6.8446269678301697E-4</v>
      </c>
      <c r="AD22" s="19">
        <f t="shared" si="5"/>
        <v>8.6264100862640802E-3</v>
      </c>
      <c r="AE22" s="19">
        <f t="shared" si="5"/>
        <v>-0.1708723864455659</v>
      </c>
      <c r="AF22" s="19">
        <f t="shared" si="5"/>
        <v>9.6725057121096691E-2</v>
      </c>
      <c r="AG22" s="19">
        <f t="shared" si="5"/>
        <v>-0.12708600770218237</v>
      </c>
      <c r="AH22" s="19">
        <f t="shared" si="5"/>
        <v>-3.7184594953519223E-2</v>
      </c>
      <c r="AI22" s="42">
        <f t="shared" si="5"/>
        <v>0.10091743119266061</v>
      </c>
      <c r="AJ22" s="43" t="s">
        <v>13</v>
      </c>
      <c r="AK22" s="45">
        <f>MEDIAN(O22:AI22)</f>
        <v>-1.806755695208162E-2</v>
      </c>
    </row>
    <row r="23" spans="1:38" x14ac:dyDescent="0.2">
      <c r="M23" s="111" t="s">
        <v>12</v>
      </c>
      <c r="N23" s="112"/>
      <c r="O23" s="12"/>
      <c r="P23" s="13"/>
      <c r="Q23" s="13"/>
      <c r="R23" s="34"/>
      <c r="S23" s="34"/>
      <c r="T23" s="34">
        <f>AVERAGE(Q22:T22)</f>
        <v>-0.22312310527591417</v>
      </c>
      <c r="U23" s="34">
        <f>AVERAGE(R22:U22)</f>
        <v>-0.10935706195167932</v>
      </c>
      <c r="V23" s="34">
        <f t="shared" ref="V23:AI23" si="6">AVERAGE(S22:V22)</f>
        <v>1.6033393915209998E-2</v>
      </c>
      <c r="W23" s="34">
        <f t="shared" si="6"/>
        <v>-1.558786009454638E-2</v>
      </c>
      <c r="X23" s="34">
        <f t="shared" si="6"/>
        <v>-6.9174746886270011E-2</v>
      </c>
      <c r="Y23" s="34">
        <f t="shared" si="6"/>
        <v>-7.2718873478376023E-2</v>
      </c>
      <c r="Z23" s="34">
        <f t="shared" si="6"/>
        <v>-5.3940846207674309E-3</v>
      </c>
      <c r="AA23" s="34">
        <f t="shared" si="6"/>
        <v>2.5902167642484208E-2</v>
      </c>
      <c r="AB23" s="34">
        <f t="shared" si="6"/>
        <v>5.3176972006452883E-2</v>
      </c>
      <c r="AC23" s="34">
        <f t="shared" si="6"/>
        <v>5.7522745570277534E-2</v>
      </c>
      <c r="AD23" s="34">
        <f t="shared" si="6"/>
        <v>9.5114219793330235E-3</v>
      </c>
      <c r="AE23" s="34">
        <f t="shared" si="6"/>
        <v>-4.6830170739630972E-2</v>
      </c>
      <c r="AF23" s="34">
        <f t="shared" si="6"/>
        <v>-1.6551345483747038E-2</v>
      </c>
      <c r="AG23" s="34">
        <f t="shared" si="6"/>
        <v>-4.8151731735096875E-2</v>
      </c>
      <c r="AH23" s="34">
        <f t="shared" si="6"/>
        <v>-5.9604482995042701E-2</v>
      </c>
      <c r="AI23" s="35">
        <f t="shared" si="6"/>
        <v>8.3429714145139278E-3</v>
      </c>
      <c r="AJ23" s="20" t="s">
        <v>14</v>
      </c>
      <c r="AK23" s="35">
        <f>MEDIAN(O23:AI23)</f>
        <v>-1.6069602789146709E-2</v>
      </c>
    </row>
    <row r="24" spans="1:38" x14ac:dyDescent="0.2">
      <c r="M24" s="116" t="s">
        <v>25</v>
      </c>
      <c r="N24" s="117"/>
      <c r="O24" s="80">
        <f>AVERAGE(S22,T22,Z22:AA22,AD22,AF22,AI22)</f>
        <v>8.5440952072177626E-2</v>
      </c>
      <c r="P24" s="116" t="s">
        <v>29</v>
      </c>
      <c r="Q24" s="117"/>
      <c r="R24" s="49">
        <f>MEDIAN(S22,T22,Z22:AA22,AD22,AF22,AI22)</f>
        <v>8.0858085808580782E-2</v>
      </c>
      <c r="AF24" s="3"/>
      <c r="AG24" s="141" t="s">
        <v>23</v>
      </c>
      <c r="AH24" s="142"/>
      <c r="AI24" s="142"/>
      <c r="AJ24" s="143"/>
      <c r="AK24" s="46">
        <f>AVERAGE(AD17:AJ17)</f>
        <v>1.599647456174997E-2</v>
      </c>
    </row>
    <row r="25" spans="1:38" x14ac:dyDescent="0.2">
      <c r="M25" s="118" t="s">
        <v>26</v>
      </c>
      <c r="N25" s="119"/>
      <c r="O25" s="35">
        <f>AVERAGE(Q22:R22,U22:Y22,AB22:AC22,AE22,AG22:AH22)</f>
        <v>-0.14034406154384982</v>
      </c>
      <c r="P25" s="118" t="s">
        <v>30</v>
      </c>
      <c r="Q25" s="119"/>
      <c r="R25" s="35">
        <f>MEDIAN(Q22:R22,U22:Y22,AB22:AC22,AE22,AG22:AH22)</f>
        <v>-6.9659237801554363E-2</v>
      </c>
      <c r="AG25" s="144" t="s">
        <v>27</v>
      </c>
      <c r="AH25" s="145"/>
      <c r="AI25" s="145"/>
      <c r="AJ25" s="145"/>
      <c r="AK25" s="49">
        <f>AVERAGE(AJ18,P18,L18,T18)</f>
        <v>0.25243469961264708</v>
      </c>
    </row>
    <row r="26" spans="1:38" x14ac:dyDescent="0.2">
      <c r="AG26" s="146" t="s">
        <v>28</v>
      </c>
      <c r="AH26" s="147"/>
      <c r="AI26" s="147"/>
      <c r="AJ26" s="147"/>
      <c r="AK26" s="50">
        <f>_xlfn.STDEV.S(L18,P18,T18,X18,AJ18,AB18,H18)</f>
        <v>1.2617037357692384E-2</v>
      </c>
    </row>
    <row r="29" spans="1:38" ht="18" customHeight="1" x14ac:dyDescent="0.2"/>
  </sheetData>
  <mergeCells count="28">
    <mergeCell ref="B11:E11"/>
    <mergeCell ref="M23:N23"/>
    <mergeCell ref="AG24:AJ24"/>
    <mergeCell ref="AG25:AJ25"/>
    <mergeCell ref="AG26:AJ26"/>
    <mergeCell ref="P24:Q24"/>
    <mergeCell ref="P25:Q25"/>
    <mergeCell ref="M22:N22"/>
    <mergeCell ref="F11:I11"/>
    <mergeCell ref="J11:M11"/>
    <mergeCell ref="N11:Q11"/>
    <mergeCell ref="R11:U11"/>
    <mergeCell ref="Z11:AC11"/>
    <mergeCell ref="AD11:AG11"/>
    <mergeCell ref="AH11:AK11"/>
    <mergeCell ref="M20:N20"/>
    <mergeCell ref="AG10:AI10"/>
    <mergeCell ref="A1:C3"/>
    <mergeCell ref="K1:L1"/>
    <mergeCell ref="P1:Q1"/>
    <mergeCell ref="P2:Q2"/>
    <mergeCell ref="P3:Q3"/>
    <mergeCell ref="P4:Q4"/>
    <mergeCell ref="M21:N21"/>
    <mergeCell ref="V11:Y11"/>
    <mergeCell ref="M24:N24"/>
    <mergeCell ref="M25:N25"/>
    <mergeCell ref="H10:I10"/>
  </mergeCells>
  <conditionalFormatting sqref="O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zoomScale="85" zoomScaleNormal="85" workbookViewId="0">
      <selection activeCell="G21" sqref="G21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7.570312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5" t="s">
        <v>76</v>
      </c>
      <c r="B4" s="165"/>
      <c r="T4" s="77" t="s">
        <v>167</v>
      </c>
    </row>
    <row r="5" spans="1:21" x14ac:dyDescent="0.2">
      <c r="A5" s="18" t="s">
        <v>56</v>
      </c>
      <c r="B5" s="18" t="s">
        <v>57</v>
      </c>
      <c r="C5" s="18" t="s">
        <v>68</v>
      </c>
      <c r="D5" s="18" t="s">
        <v>58</v>
      </c>
      <c r="E5" s="18" t="s">
        <v>59</v>
      </c>
      <c r="F5" s="18" t="s">
        <v>69</v>
      </c>
      <c r="G5" s="18" t="s">
        <v>60</v>
      </c>
      <c r="H5" s="18" t="s">
        <v>61</v>
      </c>
      <c r="I5" s="18" t="s">
        <v>70</v>
      </c>
      <c r="J5" s="18" t="s">
        <v>62</v>
      </c>
      <c r="K5" s="18" t="s">
        <v>63</v>
      </c>
      <c r="L5" s="18" t="s">
        <v>73</v>
      </c>
      <c r="M5" s="18" t="s">
        <v>64</v>
      </c>
      <c r="N5" s="18" t="s">
        <v>65</v>
      </c>
      <c r="O5" s="18" t="s">
        <v>74</v>
      </c>
      <c r="P5" s="18" t="s">
        <v>66</v>
      </c>
      <c r="Q5" s="18" t="s">
        <v>67</v>
      </c>
      <c r="R5" s="18" t="s">
        <v>0</v>
      </c>
      <c r="S5" s="18" t="s">
        <v>72</v>
      </c>
      <c r="T5" s="38" t="s">
        <v>0</v>
      </c>
      <c r="U5" s="38" t="s">
        <v>72</v>
      </c>
    </row>
    <row r="6" spans="1:21" x14ac:dyDescent="0.2">
      <c r="A6" t="s">
        <v>169</v>
      </c>
      <c r="B6" t="s">
        <v>172</v>
      </c>
      <c r="C6" s="6" t="s">
        <v>170</v>
      </c>
      <c r="D6" s="6">
        <v>20180118</v>
      </c>
      <c r="E6" s="65">
        <v>160.813429176</v>
      </c>
      <c r="F6" s="65">
        <v>164.96287255009599</v>
      </c>
      <c r="G6" s="109">
        <v>130.26481575739189</v>
      </c>
      <c r="H6" s="65">
        <v>147.857319585</v>
      </c>
      <c r="I6" s="65">
        <v>161.061384810052</v>
      </c>
      <c r="J6" s="65">
        <v>152.99196437570799</v>
      </c>
      <c r="K6" s="65"/>
      <c r="L6" s="65"/>
      <c r="M6" s="65"/>
      <c r="N6" s="65"/>
      <c r="O6" s="65"/>
      <c r="P6" s="65"/>
      <c r="Q6" s="65"/>
      <c r="R6" s="6">
        <v>128.5</v>
      </c>
      <c r="S6" s="65">
        <v>128</v>
      </c>
      <c r="T6" s="108"/>
      <c r="U6" s="107"/>
    </row>
    <row r="7" spans="1:21" x14ac:dyDescent="0.2">
      <c r="A7" t="s">
        <v>169</v>
      </c>
      <c r="B7" t="s">
        <v>172</v>
      </c>
      <c r="C7" s="6" t="s">
        <v>42</v>
      </c>
      <c r="D7" s="6">
        <v>20180412</v>
      </c>
      <c r="E7" s="65">
        <v>192.54854800000001</v>
      </c>
      <c r="F7" s="65">
        <v>194.576412</v>
      </c>
      <c r="G7" s="109">
        <v>105.868296</v>
      </c>
      <c r="H7" s="65">
        <v>122.86056000000001</v>
      </c>
      <c r="I7" s="65">
        <v>134.507745</v>
      </c>
      <c r="J7" s="65">
        <v>150.07231200000001</v>
      </c>
      <c r="K7" s="65">
        <v>153.25967657232343</v>
      </c>
      <c r="L7" s="65">
        <v>150.9780979864824</v>
      </c>
      <c r="M7" s="65">
        <v>104.0276440665141</v>
      </c>
      <c r="N7" s="65">
        <v>106.36031901660014</v>
      </c>
      <c r="O7" s="65">
        <v>106.89707765958231</v>
      </c>
      <c r="P7" s="65">
        <v>125.5572867136154</v>
      </c>
      <c r="Q7" s="65">
        <v>124.51335033585298</v>
      </c>
      <c r="R7" s="6">
        <v>122.4</v>
      </c>
      <c r="S7" s="65">
        <v>114</v>
      </c>
      <c r="T7" s="10"/>
      <c r="U7" s="65"/>
    </row>
    <row r="8" spans="1:21" x14ac:dyDescent="0.2">
      <c r="A8" t="s">
        <v>169</v>
      </c>
      <c r="B8" t="s">
        <v>172</v>
      </c>
      <c r="C8" s="6" t="s">
        <v>43</v>
      </c>
      <c r="D8" s="6">
        <v>20180712</v>
      </c>
      <c r="E8" s="65">
        <v>125.51834599999999</v>
      </c>
      <c r="F8" s="65">
        <v>128.08569800000001</v>
      </c>
      <c r="G8" s="109">
        <v>119.245034</v>
      </c>
      <c r="H8" s="65">
        <v>108.73358899999999</v>
      </c>
      <c r="I8" s="65">
        <v>122.25282300000001</v>
      </c>
      <c r="J8" s="65">
        <v>120.767098</v>
      </c>
      <c r="K8" s="65">
        <v>74.314200717836627</v>
      </c>
      <c r="L8" s="65">
        <v>75.043883387057207</v>
      </c>
      <c r="M8" s="65">
        <v>128.40420021495387</v>
      </c>
      <c r="N8" s="65">
        <v>100.89184963832167</v>
      </c>
      <c r="O8" s="65">
        <v>103.61352665603012</v>
      </c>
      <c r="P8" s="65">
        <v>91.738769054214345</v>
      </c>
      <c r="Q8" s="65">
        <v>95.667738278068967</v>
      </c>
      <c r="R8" s="6">
        <v>125.9</v>
      </c>
      <c r="S8" s="65">
        <v>117</v>
      </c>
      <c r="T8" s="10"/>
      <c r="U8" s="65"/>
    </row>
    <row r="9" spans="1:21" x14ac:dyDescent="0.2">
      <c r="A9" t="s">
        <v>169</v>
      </c>
      <c r="B9" t="s">
        <v>172</v>
      </c>
      <c r="C9" s="6" t="s">
        <v>44</v>
      </c>
      <c r="D9" s="6">
        <v>20181011</v>
      </c>
      <c r="E9" s="65">
        <v>90.181703999999996</v>
      </c>
      <c r="F9" s="65">
        <v>93.998746999999995</v>
      </c>
      <c r="G9" s="109">
        <v>106.617268</v>
      </c>
      <c r="H9" s="65">
        <v>86.940691999999999</v>
      </c>
      <c r="I9" s="65">
        <v>90.072156000000007</v>
      </c>
      <c r="J9" s="65">
        <v>93.562112999999997</v>
      </c>
      <c r="K9" s="65">
        <v>84.061491441259108</v>
      </c>
      <c r="L9" s="65">
        <v>85.863242896954816</v>
      </c>
      <c r="M9" s="65">
        <v>104.60997777064661</v>
      </c>
      <c r="N9" s="65">
        <v>93.550310051846068</v>
      </c>
      <c r="O9" s="65">
        <v>86.20203602169579</v>
      </c>
      <c r="P9" s="65">
        <v>90.64362232998262</v>
      </c>
      <c r="Q9" s="65">
        <v>90.821780085397492</v>
      </c>
      <c r="R9" s="6">
        <v>128.1</v>
      </c>
      <c r="S9" s="65">
        <v>111</v>
      </c>
      <c r="T9" s="10"/>
      <c r="U9" s="65"/>
    </row>
    <row r="10" spans="1:21" x14ac:dyDescent="0.2">
      <c r="A10" t="s">
        <v>169</v>
      </c>
      <c r="B10" t="s">
        <v>172</v>
      </c>
      <c r="C10" s="6" t="s">
        <v>45</v>
      </c>
      <c r="D10" s="6">
        <v>20190117</v>
      </c>
      <c r="E10" s="65">
        <v>192.40891999999999</v>
      </c>
      <c r="F10" s="65">
        <v>186.15821299999999</v>
      </c>
      <c r="G10" s="109">
        <v>123.99197100000001</v>
      </c>
      <c r="H10" s="65">
        <v>188.16032999999999</v>
      </c>
      <c r="I10" s="65">
        <v>194.70036899999999</v>
      </c>
      <c r="J10" s="65">
        <v>177.08396099999999</v>
      </c>
      <c r="K10" s="65">
        <v>236.82619836058984</v>
      </c>
      <c r="L10" s="65">
        <v>219.82805412289167</v>
      </c>
      <c r="M10" s="65">
        <v>129.08892751782011</v>
      </c>
      <c r="N10" s="65">
        <v>240.23039326625099</v>
      </c>
      <c r="O10" s="65">
        <v>239.93808873632375</v>
      </c>
      <c r="P10" s="65">
        <v>210.0884539770922</v>
      </c>
      <c r="Q10" s="65">
        <v>212.66668599682814</v>
      </c>
      <c r="R10" s="6">
        <v>127.3</v>
      </c>
      <c r="S10" s="65">
        <v>125</v>
      </c>
      <c r="T10" s="10"/>
      <c r="U10" s="65"/>
    </row>
    <row r="11" spans="1:21" x14ac:dyDescent="0.2">
      <c r="A11" t="s">
        <v>169</v>
      </c>
      <c r="B11" t="s">
        <v>172</v>
      </c>
      <c r="C11" s="6" t="s">
        <v>46</v>
      </c>
      <c r="D11" s="6">
        <v>20190411</v>
      </c>
      <c r="E11" s="65">
        <v>128.53204600000001</v>
      </c>
      <c r="F11" s="65">
        <v>128.17413400000001</v>
      </c>
      <c r="G11" s="109">
        <v>150.94702799999999</v>
      </c>
      <c r="H11" s="65">
        <v>153.71911700000001</v>
      </c>
      <c r="I11" s="65">
        <v>154.67774900000001</v>
      </c>
      <c r="J11" s="65">
        <v>143.210015</v>
      </c>
      <c r="K11" s="65">
        <v>83.501875848583339</v>
      </c>
      <c r="L11" s="65">
        <v>86.065323102344152</v>
      </c>
      <c r="M11" s="65">
        <v>152.17419602112784</v>
      </c>
      <c r="N11" s="65">
        <v>102.11977001209554</v>
      </c>
      <c r="O11" s="65">
        <v>99.30499220060544</v>
      </c>
      <c r="P11" s="65">
        <v>101.08906404572689</v>
      </c>
      <c r="Q11" s="65">
        <v>104.0425368717472</v>
      </c>
      <c r="R11" s="6">
        <v>119.1</v>
      </c>
      <c r="S11" s="65">
        <v>143</v>
      </c>
      <c r="T11" s="10"/>
      <c r="U11" s="65"/>
    </row>
    <row r="12" spans="1:21" x14ac:dyDescent="0.2">
      <c r="A12" t="s">
        <v>169</v>
      </c>
      <c r="B12" t="s">
        <v>172</v>
      </c>
      <c r="C12" s="6" t="s">
        <v>47</v>
      </c>
      <c r="D12" s="6">
        <v>20190711</v>
      </c>
      <c r="E12" s="65">
        <v>144.54093900000001</v>
      </c>
      <c r="F12" s="65">
        <v>140.80177399999999</v>
      </c>
      <c r="G12" s="109">
        <v>127.42400000000001</v>
      </c>
      <c r="H12" s="65">
        <v>125.223654</v>
      </c>
      <c r="I12" s="65">
        <v>129.68147300000001</v>
      </c>
      <c r="J12" s="65">
        <v>133.534368</v>
      </c>
      <c r="K12" s="65">
        <v>160.8109021854363</v>
      </c>
      <c r="L12" s="65">
        <v>157.08827556424137</v>
      </c>
      <c r="M12" s="65">
        <v>120.71540752693721</v>
      </c>
      <c r="N12" s="65">
        <v>116.49157809044661</v>
      </c>
      <c r="O12" s="65">
        <v>119.89087479544328</v>
      </c>
      <c r="P12" s="65">
        <v>133.33854216829738</v>
      </c>
      <c r="Q12" s="65">
        <v>134.72259672180039</v>
      </c>
      <c r="R12" s="6">
        <v>141.30000000000001</v>
      </c>
      <c r="S12" s="65">
        <v>149</v>
      </c>
      <c r="T12" s="10"/>
      <c r="U12" s="65"/>
    </row>
    <row r="13" spans="1:21" x14ac:dyDescent="0.2">
      <c r="A13" t="s">
        <v>169</v>
      </c>
      <c r="B13" t="s">
        <v>172</v>
      </c>
      <c r="C13" s="6" t="s">
        <v>48</v>
      </c>
      <c r="D13" s="6">
        <v>20191010</v>
      </c>
      <c r="E13" s="65">
        <v>145.414354</v>
      </c>
      <c r="F13" s="65">
        <v>149.33507700000001</v>
      </c>
      <c r="G13" s="109">
        <v>141.56578099999999</v>
      </c>
      <c r="H13" s="65">
        <v>129.094538</v>
      </c>
      <c r="I13" s="65">
        <v>122.95785100000001</v>
      </c>
      <c r="J13" s="65">
        <v>137.67352</v>
      </c>
      <c r="K13" s="65">
        <v>149.90035968979004</v>
      </c>
      <c r="L13" s="65">
        <v>158.03015715554835</v>
      </c>
      <c r="M13" s="65">
        <v>165.53633043225764</v>
      </c>
      <c r="N13" s="65">
        <v>153.60585278880296</v>
      </c>
      <c r="O13" s="65">
        <v>141.27476635772021</v>
      </c>
      <c r="P13" s="65">
        <v>153.61853871207148</v>
      </c>
      <c r="Q13" s="65">
        <v>153.66100085603179</v>
      </c>
      <c r="R13" s="6">
        <v>139.4</v>
      </c>
      <c r="S13" s="65">
        <v>136</v>
      </c>
      <c r="T13" s="10"/>
      <c r="U13" s="65"/>
    </row>
    <row r="14" spans="1:21" x14ac:dyDescent="0.2">
      <c r="A14" t="s">
        <v>169</v>
      </c>
      <c r="B14" t="s">
        <v>172</v>
      </c>
      <c r="C14" s="6" t="s">
        <v>49</v>
      </c>
      <c r="D14" s="6">
        <v>20200116</v>
      </c>
      <c r="E14" s="65">
        <v>142.17123799999999</v>
      </c>
      <c r="F14" s="65">
        <v>139.18983499999999</v>
      </c>
      <c r="G14" s="109">
        <v>139.03748100000001</v>
      </c>
      <c r="H14" s="65">
        <v>150.88392400000001</v>
      </c>
      <c r="I14" s="65">
        <v>143.41623799999999</v>
      </c>
      <c r="J14" s="65">
        <v>142.93974299999999</v>
      </c>
      <c r="K14" s="65">
        <v>132.96684843093274</v>
      </c>
      <c r="L14" s="65">
        <v>126.76069105987736</v>
      </c>
      <c r="M14" s="65">
        <v>133.57110229907892</v>
      </c>
      <c r="N14" s="65">
        <v>158.95493319787087</v>
      </c>
      <c r="O14" s="65">
        <v>158.62840973042054</v>
      </c>
      <c r="P14" s="65">
        <v>141.20220829684604</v>
      </c>
      <c r="Q14" s="65">
        <v>142.01403216917109</v>
      </c>
      <c r="R14" s="6">
        <v>146.1</v>
      </c>
      <c r="S14" s="65">
        <v>146</v>
      </c>
      <c r="T14" s="10"/>
      <c r="U14" s="65"/>
    </row>
    <row r="15" spans="1:21" x14ac:dyDescent="0.2">
      <c r="A15" t="s">
        <v>169</v>
      </c>
      <c r="B15" t="s">
        <v>172</v>
      </c>
      <c r="C15" s="6" t="s">
        <v>50</v>
      </c>
      <c r="D15" s="6">
        <v>20200409</v>
      </c>
      <c r="E15" s="65">
        <v>200.25262599999999</v>
      </c>
      <c r="F15" s="65">
        <v>194.801098</v>
      </c>
      <c r="G15" s="109">
        <v>171.28296499999999</v>
      </c>
      <c r="H15" s="65">
        <v>176.072586</v>
      </c>
      <c r="I15" s="65">
        <v>174.11894599999999</v>
      </c>
      <c r="J15" s="65">
        <v>183.305644</v>
      </c>
      <c r="K15" s="65">
        <v>205.64555677569609</v>
      </c>
      <c r="L15" s="65">
        <v>204.33216483085855</v>
      </c>
      <c r="M15" s="65">
        <v>179.8602269700211</v>
      </c>
      <c r="N15" s="65">
        <v>170.37333649938742</v>
      </c>
      <c r="O15" s="65">
        <v>177.25584264732981</v>
      </c>
      <c r="P15" s="65">
        <v>187.2301115302831</v>
      </c>
      <c r="Q15" s="65">
        <v>187.449539875596</v>
      </c>
      <c r="R15" s="6">
        <v>150.69999999999999</v>
      </c>
      <c r="S15" s="65">
        <v>152</v>
      </c>
      <c r="T15" s="10"/>
      <c r="U15" s="65"/>
    </row>
    <row r="16" spans="1:21" x14ac:dyDescent="0.2">
      <c r="A16" t="s">
        <v>169</v>
      </c>
      <c r="B16" t="s">
        <v>172</v>
      </c>
      <c r="C16" s="6" t="s">
        <v>51</v>
      </c>
      <c r="D16" s="6">
        <v>20200709</v>
      </c>
      <c r="E16" s="65">
        <v>216.10321400000001</v>
      </c>
      <c r="F16" s="65">
        <v>217.980707</v>
      </c>
      <c r="G16" s="109">
        <v>108.700563</v>
      </c>
      <c r="H16" s="65">
        <v>173.96062800000001</v>
      </c>
      <c r="I16" s="65">
        <v>175.72358700000001</v>
      </c>
      <c r="J16" s="65">
        <v>178.49374</v>
      </c>
      <c r="K16" s="65">
        <v>164.03124984738028</v>
      </c>
      <c r="L16" s="65">
        <v>170.08665661627842</v>
      </c>
      <c r="M16" s="65">
        <v>96.463098802615889</v>
      </c>
      <c r="N16" s="65">
        <v>150.17678820256552</v>
      </c>
      <c r="O16" s="65">
        <v>153.40079777418364</v>
      </c>
      <c r="P16" s="65">
        <v>148.00989150121313</v>
      </c>
      <c r="Q16" s="65">
        <v>147.02808045737279</v>
      </c>
      <c r="R16" s="6">
        <v>138.69999999999999</v>
      </c>
      <c r="S16" s="65">
        <v>115</v>
      </c>
      <c r="T16" s="10"/>
      <c r="U16" s="65"/>
    </row>
    <row r="17" spans="1:21" x14ac:dyDescent="0.2">
      <c r="A17" t="s">
        <v>169</v>
      </c>
      <c r="B17" t="s">
        <v>172</v>
      </c>
      <c r="C17" s="6" t="s">
        <v>52</v>
      </c>
      <c r="D17" s="6">
        <v>20201015</v>
      </c>
      <c r="E17" s="65">
        <v>131.382859</v>
      </c>
      <c r="F17" s="65">
        <v>140.34415799999999</v>
      </c>
      <c r="G17" s="109">
        <v>163.57728499999999</v>
      </c>
      <c r="H17" s="65">
        <v>123.992158</v>
      </c>
      <c r="I17" s="65">
        <v>133.26971</v>
      </c>
      <c r="J17" s="65">
        <v>138.51323400000001</v>
      </c>
      <c r="K17" s="65">
        <v>69.915798591500803</v>
      </c>
      <c r="L17" s="65">
        <v>74.041314904075435</v>
      </c>
      <c r="M17" s="65">
        <v>173.05694888627207</v>
      </c>
      <c r="N17" s="65">
        <v>81.967387298693822</v>
      </c>
      <c r="O17" s="65">
        <v>87.216616230352727</v>
      </c>
      <c r="P17" s="65">
        <v>89.241347679756174</v>
      </c>
      <c r="Q17" s="65">
        <v>95.906568931775169</v>
      </c>
      <c r="R17" s="6">
        <v>131.30000000000001</v>
      </c>
      <c r="S17" s="65">
        <v>144</v>
      </c>
      <c r="T17" s="10"/>
      <c r="U17" s="65"/>
    </row>
    <row r="18" spans="1:21" x14ac:dyDescent="0.2">
      <c r="A18" t="s">
        <v>169</v>
      </c>
      <c r="B18" t="s">
        <v>172</v>
      </c>
      <c r="C18" s="6" t="s">
        <v>53</v>
      </c>
      <c r="D18" s="6">
        <v>20210121</v>
      </c>
      <c r="E18" s="65">
        <v>125.812836</v>
      </c>
      <c r="F18" s="65">
        <v>126.218768</v>
      </c>
      <c r="G18" s="109">
        <v>127.139978</v>
      </c>
      <c r="H18" s="65">
        <v>117.44843899999999</v>
      </c>
      <c r="I18" s="65">
        <v>120.068296</v>
      </c>
      <c r="J18" s="65">
        <v>123.33766300000001</v>
      </c>
      <c r="K18" s="65">
        <v>137.89506882324736</v>
      </c>
      <c r="L18" s="65">
        <v>129.50665600202609</v>
      </c>
      <c r="M18" s="65">
        <v>111.92358909734931</v>
      </c>
      <c r="N18" s="65">
        <v>136.40036183578641</v>
      </c>
      <c r="O18" s="65">
        <v>129.73566629656506</v>
      </c>
      <c r="P18" s="65">
        <v>128.22329649743071</v>
      </c>
      <c r="Q18" s="65">
        <v>128.94743975873416</v>
      </c>
      <c r="R18" s="6">
        <v>155.80000000000001</v>
      </c>
      <c r="S18" s="65">
        <v>136</v>
      </c>
    </row>
    <row r="19" spans="1:21" x14ac:dyDescent="0.2">
      <c r="A19" t="s">
        <v>169</v>
      </c>
      <c r="B19" t="s">
        <v>172</v>
      </c>
      <c r="C19" s="6" t="s">
        <v>54</v>
      </c>
      <c r="D19" s="6">
        <v>20210415</v>
      </c>
      <c r="E19" s="65">
        <v>155.14559399999999</v>
      </c>
      <c r="F19" s="65">
        <v>152.33460299999999</v>
      </c>
      <c r="G19" s="109">
        <v>159.38507100000001</v>
      </c>
      <c r="H19" s="65">
        <v>135.55782600000001</v>
      </c>
      <c r="I19" s="65">
        <v>129.038523</v>
      </c>
      <c r="J19" s="65">
        <v>146.29232300000001</v>
      </c>
      <c r="K19" s="65">
        <v>167.70785441956016</v>
      </c>
      <c r="L19" s="65">
        <v>164.13966271640362</v>
      </c>
      <c r="M19" s="65">
        <v>170.49216145058639</v>
      </c>
      <c r="N19" s="65">
        <v>156.9698541161539</v>
      </c>
      <c r="O19" s="65">
        <v>146.16047460188824</v>
      </c>
      <c r="P19" s="65">
        <v>161.31127705897916</v>
      </c>
      <c r="Q19" s="65">
        <v>161.13021406059525</v>
      </c>
      <c r="R19" s="6">
        <v>150.6</v>
      </c>
      <c r="S19" s="66">
        <v>145</v>
      </c>
    </row>
    <row r="20" spans="1:21" x14ac:dyDescent="0.2">
      <c r="A20" t="s">
        <v>169</v>
      </c>
      <c r="B20" t="s">
        <v>172</v>
      </c>
      <c r="C20" s="6" t="s">
        <v>55</v>
      </c>
      <c r="D20" s="6">
        <v>20210715</v>
      </c>
      <c r="E20" s="65">
        <v>156.04208499999999</v>
      </c>
      <c r="F20" s="65">
        <v>148.349222</v>
      </c>
      <c r="G20" s="109">
        <v>149.13761</v>
      </c>
      <c r="H20" s="65">
        <v>161.55753999999999</v>
      </c>
      <c r="I20" s="65">
        <v>144.660876</v>
      </c>
      <c r="J20" s="65">
        <v>151.949466</v>
      </c>
      <c r="K20" s="65">
        <v>145.83786585006081</v>
      </c>
      <c r="L20" s="65">
        <v>141.20650703373022</v>
      </c>
      <c r="M20" s="65">
        <v>135.67740889609416</v>
      </c>
      <c r="N20" s="65">
        <v>172.81070367711561</v>
      </c>
      <c r="O20" s="65">
        <v>162.55476684276681</v>
      </c>
      <c r="P20" s="65">
        <v>150.60716870289906</v>
      </c>
      <c r="Q20" s="65">
        <v>151.44907016711113</v>
      </c>
      <c r="R20" s="6">
        <v>152.6</v>
      </c>
      <c r="S20" s="66">
        <v>168</v>
      </c>
    </row>
    <row r="21" spans="1:21" x14ac:dyDescent="0.2">
      <c r="A21" t="s">
        <v>169</v>
      </c>
      <c r="B21" t="s">
        <v>172</v>
      </c>
      <c r="C21" s="13" t="s">
        <v>71</v>
      </c>
      <c r="D21" s="13">
        <v>20211014</v>
      </c>
      <c r="E21" s="67">
        <v>193.489712</v>
      </c>
      <c r="F21" s="67">
        <v>177.858124</v>
      </c>
      <c r="G21" s="110">
        <v>160.07669000000001</v>
      </c>
      <c r="H21" s="67">
        <v>187.02709300000001</v>
      </c>
      <c r="I21" s="67">
        <v>161.27597499999999</v>
      </c>
      <c r="J21" s="67">
        <f>AVERAGE(E21:I21)</f>
        <v>175.9455188</v>
      </c>
      <c r="K21" s="65">
        <f>(E21/E20)*$S20</f>
        <v>208.31733705685878</v>
      </c>
      <c r="L21" s="65">
        <f t="shared" ref="L21:P21" si="0">(F21/F20)*$S20</f>
        <v>201.41773869228652</v>
      </c>
      <c r="M21" s="65">
        <f t="shared" si="0"/>
        <v>180.32261560313327</v>
      </c>
      <c r="N21" s="65">
        <f t="shared" si="0"/>
        <v>194.48520709092256</v>
      </c>
      <c r="O21" s="65">
        <f t="shared" si="0"/>
        <v>187.29572603998332</v>
      </c>
      <c r="P21" s="65">
        <f t="shared" si="0"/>
        <v>194.5307735296681</v>
      </c>
      <c r="Q21" s="65">
        <f>AVERAGE(K21:P21)</f>
        <v>194.39489966880876</v>
      </c>
      <c r="R21" s="6">
        <v>165.6</v>
      </c>
      <c r="S21" s="11"/>
    </row>
    <row r="22" spans="1:21" x14ac:dyDescent="0.2">
      <c r="A22" s="163" t="s">
        <v>75</v>
      </c>
      <c r="B22" s="164"/>
      <c r="C22" s="164"/>
      <c r="D22" s="164"/>
      <c r="E22" s="72">
        <f t="shared" ref="E22:Q22" si="1">CORREL(E$6:E$20,$S$6:$S$20)</f>
        <v>-3.5558669581522609E-2</v>
      </c>
      <c r="F22" s="72">
        <f t="shared" si="1"/>
        <v>-0.11135773165241272</v>
      </c>
      <c r="G22" s="71">
        <f t="shared" si="1"/>
        <v>0.80585171269951195</v>
      </c>
      <c r="H22" s="72">
        <f t="shared" si="1"/>
        <v>0.32703572236171208</v>
      </c>
      <c r="I22" s="72">
        <f t="shared" si="1"/>
        <v>0.12255935805723234</v>
      </c>
      <c r="J22" s="72">
        <f>CORREL(J$6:J$20,$S$6:$S$20)</f>
        <v>0.20746896580457241</v>
      </c>
      <c r="K22" s="72">
        <f t="shared" si="1"/>
        <v>0.13941844966864941</v>
      </c>
      <c r="L22" s="72">
        <f t="shared" si="1"/>
        <v>0.12802255394437376</v>
      </c>
      <c r="M22" s="71">
        <f t="shared" si="1"/>
        <v>0.60326947203089165</v>
      </c>
      <c r="N22" s="72">
        <f t="shared" si="1"/>
        <v>0.23188627188060909</v>
      </c>
      <c r="O22" s="72">
        <f t="shared" si="1"/>
        <v>0.21293697808716983</v>
      </c>
      <c r="P22" s="72">
        <f t="shared" si="1"/>
        <v>0.25597556255170267</v>
      </c>
      <c r="Q22" s="72">
        <f t="shared" si="1"/>
        <v>0.2705637537785166</v>
      </c>
      <c r="R22" s="71">
        <f t="shared" ref="R22" si="2">CORREL(R$6:R$20,$S$6:$S$20)</f>
        <v>0.61655148846787577</v>
      </c>
      <c r="S22" s="5"/>
    </row>
    <row r="24" spans="1:21" x14ac:dyDescent="0.2">
      <c r="A24" s="166" t="s">
        <v>77</v>
      </c>
      <c r="B24" s="167"/>
    </row>
    <row r="25" spans="1:21" x14ac:dyDescent="0.2">
      <c r="A25" s="18" t="s">
        <v>56</v>
      </c>
      <c r="B25" s="18" t="s">
        <v>57</v>
      </c>
      <c r="C25" s="18" t="s">
        <v>68</v>
      </c>
      <c r="D25" s="18" t="s">
        <v>58</v>
      </c>
      <c r="E25" s="18" t="s">
        <v>59</v>
      </c>
      <c r="F25" s="18" t="s">
        <v>69</v>
      </c>
      <c r="G25" s="18" t="s">
        <v>60</v>
      </c>
      <c r="H25" s="18" t="s">
        <v>61</v>
      </c>
      <c r="I25" s="18" t="s">
        <v>70</v>
      </c>
      <c r="J25" s="18" t="s">
        <v>62</v>
      </c>
      <c r="K25" s="18" t="s">
        <v>63</v>
      </c>
      <c r="L25" s="18" t="s">
        <v>73</v>
      </c>
      <c r="M25" s="18" t="s">
        <v>64</v>
      </c>
      <c r="N25" s="18" t="s">
        <v>65</v>
      </c>
      <c r="O25" s="18" t="s">
        <v>74</v>
      </c>
      <c r="P25" s="18" t="s">
        <v>66</v>
      </c>
      <c r="Q25" s="18" t="s">
        <v>67</v>
      </c>
      <c r="R25" s="18" t="s">
        <v>0</v>
      </c>
    </row>
    <row r="26" spans="1:21" x14ac:dyDescent="0.2">
      <c r="A26" s="10" t="str">
        <f>A6</f>
        <v>ABT</v>
      </c>
      <c r="B26" s="10" t="str">
        <f t="shared" ref="B26:D27" si="3">B6</f>
        <v>HEART FAILURE</v>
      </c>
      <c r="C26" s="10" t="str">
        <f t="shared" si="3"/>
        <v>2017Q4</v>
      </c>
      <c r="D26" s="10">
        <f t="shared" si="3"/>
        <v>20180118</v>
      </c>
      <c r="E26" s="19">
        <f t="shared" ref="E26:J27" si="4">$S6/E6-1</f>
        <v>-0.20404657337471366</v>
      </c>
      <c r="F26" s="19">
        <f t="shared" si="4"/>
        <v>-0.22406782798275471</v>
      </c>
      <c r="G26" s="19">
        <f t="shared" si="4"/>
        <v>-1.7386243125004142E-2</v>
      </c>
      <c r="H26" s="19">
        <f t="shared" si="4"/>
        <v>-0.13430055164488797</v>
      </c>
      <c r="I26" s="19">
        <f t="shared" si="4"/>
        <v>-0.20527195174090296</v>
      </c>
      <c r="J26" s="19">
        <f t="shared" si="4"/>
        <v>-0.16335475185045867</v>
      </c>
      <c r="K26" s="19"/>
      <c r="L26" s="19"/>
      <c r="M26" s="19"/>
      <c r="N26" s="19"/>
      <c r="O26" s="19"/>
      <c r="P26" s="19"/>
      <c r="Q26" s="19"/>
      <c r="R26" s="42">
        <f>$S6/R6-1</f>
        <v>-3.8910505836575737E-3</v>
      </c>
    </row>
    <row r="27" spans="1:21" x14ac:dyDescent="0.2">
      <c r="A27" s="10" t="str">
        <f>A7</f>
        <v>ABT</v>
      </c>
      <c r="B27" s="10" t="str">
        <f t="shared" si="3"/>
        <v>HEART FAILURE</v>
      </c>
      <c r="C27" s="10" t="str">
        <f t="shared" si="3"/>
        <v>2018Q1</v>
      </c>
      <c r="D27" s="10">
        <f t="shared" si="3"/>
        <v>20180412</v>
      </c>
      <c r="E27" s="19">
        <f t="shared" si="4"/>
        <v>-0.40794152340219159</v>
      </c>
      <c r="F27" s="19">
        <f t="shared" si="4"/>
        <v>-0.41411192226116289</v>
      </c>
      <c r="G27" s="19">
        <f t="shared" si="4"/>
        <v>7.6809623912337255E-2</v>
      </c>
      <c r="H27" s="19">
        <f t="shared" si="4"/>
        <v>-7.2118831299482933E-2</v>
      </c>
      <c r="I27" s="19">
        <f t="shared" si="4"/>
        <v>-0.15246516102102525</v>
      </c>
      <c r="J27" s="19">
        <f t="shared" si="4"/>
        <v>-0.24036620426025024</v>
      </c>
      <c r="K27" s="19">
        <f t="shared" ref="K27:Q27" si="5">$S7/K7-1</f>
        <v>-0.25616442269990525</v>
      </c>
      <c r="L27" s="19">
        <f t="shared" si="5"/>
        <v>-0.24492359143240217</v>
      </c>
      <c r="M27" s="19">
        <f t="shared" si="5"/>
        <v>9.5862556755680117E-2</v>
      </c>
      <c r="N27" s="19">
        <f t="shared" si="5"/>
        <v>7.1828300761372255E-2</v>
      </c>
      <c r="O27" s="19">
        <f t="shared" si="5"/>
        <v>6.6446365943110264E-2</v>
      </c>
      <c r="P27" s="19">
        <f t="shared" si="5"/>
        <v>-9.2047917059377871E-2</v>
      </c>
      <c r="Q27" s="19">
        <f t="shared" si="5"/>
        <v>-8.4435526853104959E-2</v>
      </c>
      <c r="R27" s="42">
        <f>$S7/R7-1</f>
        <v>-6.8627450980392246E-2</v>
      </c>
    </row>
    <row r="28" spans="1:21" x14ac:dyDescent="0.2">
      <c r="A28" s="10" t="str">
        <f t="shared" ref="A28:D28" si="6">A8</f>
        <v>ABT</v>
      </c>
      <c r="B28" s="10" t="str">
        <f t="shared" si="6"/>
        <v>HEART FAILURE</v>
      </c>
      <c r="C28" s="10" t="str">
        <f t="shared" si="6"/>
        <v>2018Q2</v>
      </c>
      <c r="D28" s="10">
        <f t="shared" si="6"/>
        <v>20180712</v>
      </c>
      <c r="E28" s="19">
        <f t="shared" ref="E28:J28" si="7">$S8/E8-1</f>
        <v>-6.7865346154258543E-2</v>
      </c>
      <c r="F28" s="19">
        <f t="shared" si="7"/>
        <v>-8.6549069670526446E-2</v>
      </c>
      <c r="G28" s="19">
        <f t="shared" si="7"/>
        <v>-1.8827064949304306E-2</v>
      </c>
      <c r="H28" s="19">
        <f t="shared" si="7"/>
        <v>7.6024447238654203E-2</v>
      </c>
      <c r="I28" s="19">
        <f t="shared" si="7"/>
        <v>-4.2966885108248198E-2</v>
      </c>
      <c r="J28" s="19">
        <f t="shared" si="7"/>
        <v>-3.1193082076046985E-2</v>
      </c>
      <c r="K28" s="19">
        <f t="shared" ref="K28:Q28" si="8">$S8/K8-1</f>
        <v>0.57439626437263258</v>
      </c>
      <c r="L28" s="19">
        <f t="shared" si="8"/>
        <v>0.55908775931202603</v>
      </c>
      <c r="M28" s="19">
        <f t="shared" si="8"/>
        <v>-8.881485337600159E-2</v>
      </c>
      <c r="N28" s="19">
        <f t="shared" si="8"/>
        <v>0.15965759790729406</v>
      </c>
      <c r="O28" s="19">
        <f t="shared" si="8"/>
        <v>0.12919619451241604</v>
      </c>
      <c r="P28" s="19">
        <f t="shared" si="8"/>
        <v>0.27536047416177079</v>
      </c>
      <c r="Q28" s="19">
        <f t="shared" si="8"/>
        <v>0.22298281642162832</v>
      </c>
      <c r="R28" s="42">
        <f t="shared" ref="R28:R35" si="9">$S8/R8-1</f>
        <v>-7.0691024622716481E-2</v>
      </c>
    </row>
    <row r="29" spans="1:21" x14ac:dyDescent="0.2">
      <c r="A29" s="10" t="str">
        <f t="shared" ref="A29:D29" si="10">A9</f>
        <v>ABT</v>
      </c>
      <c r="B29" s="10" t="str">
        <f t="shared" si="10"/>
        <v>HEART FAILURE</v>
      </c>
      <c r="C29" s="10" t="str">
        <f t="shared" si="10"/>
        <v>2018Q3</v>
      </c>
      <c r="D29" s="10">
        <f t="shared" si="10"/>
        <v>20181011</v>
      </c>
      <c r="E29" s="19">
        <f t="shared" ref="E29:J29" si="11">$S9/E9-1</f>
        <v>0.23084833260635662</v>
      </c>
      <c r="F29" s="19">
        <f t="shared" si="11"/>
        <v>0.18086680453304349</v>
      </c>
      <c r="G29" s="19">
        <f t="shared" si="11"/>
        <v>4.110714973488161E-2</v>
      </c>
      <c r="H29" s="19">
        <f t="shared" si="11"/>
        <v>0.2767324189230056</v>
      </c>
      <c r="I29" s="19">
        <f t="shared" si="11"/>
        <v>0.23234532101130112</v>
      </c>
      <c r="J29" s="19">
        <f t="shared" si="11"/>
        <v>0.18637765267229489</v>
      </c>
      <c r="K29" s="19">
        <f t="shared" ref="K29:Q29" si="12">$S9/K9-1</f>
        <v>0.32046193919322863</v>
      </c>
      <c r="L29" s="19">
        <f t="shared" si="12"/>
        <v>0.29275340943285832</v>
      </c>
      <c r="M29" s="19">
        <f t="shared" si="12"/>
        <v>6.1084251861359462E-2</v>
      </c>
      <c r="N29" s="19">
        <f t="shared" si="12"/>
        <v>0.18652733420640955</v>
      </c>
      <c r="O29" s="19">
        <f t="shared" si="12"/>
        <v>0.28767260174763076</v>
      </c>
      <c r="P29" s="19">
        <f t="shared" si="12"/>
        <v>0.22457595081440163</v>
      </c>
      <c r="Q29" s="19">
        <f t="shared" si="12"/>
        <v>0.22217379901197076</v>
      </c>
      <c r="R29" s="42">
        <f t="shared" si="9"/>
        <v>-0.13348946135831374</v>
      </c>
    </row>
    <row r="30" spans="1:21" x14ac:dyDescent="0.2">
      <c r="A30" s="10" t="str">
        <f t="shared" ref="A30:D30" si="13">A10</f>
        <v>ABT</v>
      </c>
      <c r="B30" s="10" t="str">
        <f t="shared" si="13"/>
        <v>HEART FAILURE</v>
      </c>
      <c r="C30" s="10" t="str">
        <f t="shared" si="13"/>
        <v>2018Q4</v>
      </c>
      <c r="D30" s="10">
        <f t="shared" si="13"/>
        <v>20190117</v>
      </c>
      <c r="E30" s="19">
        <f t="shared" ref="E30:J30" si="14">$S10/E10-1</f>
        <v>-0.35034196959267794</v>
      </c>
      <c r="F30" s="19">
        <f t="shared" si="14"/>
        <v>-0.3285281482584923</v>
      </c>
      <c r="G30" s="19">
        <f t="shared" si="14"/>
        <v>8.1297925330987564E-3</v>
      </c>
      <c r="H30" s="19">
        <f t="shared" si="14"/>
        <v>-0.33567293382191665</v>
      </c>
      <c r="I30" s="19">
        <f t="shared" si="14"/>
        <v>-0.3579878628786779</v>
      </c>
      <c r="J30" s="19">
        <f t="shared" si="14"/>
        <v>-0.29412014902919403</v>
      </c>
      <c r="K30" s="19">
        <f t="shared" ref="K30:Q30" si="15">$S10/K10-1</f>
        <v>-0.47218677297823308</v>
      </c>
      <c r="L30" s="19">
        <f t="shared" si="15"/>
        <v>-0.43137375937413081</v>
      </c>
      <c r="M30" s="19">
        <f t="shared" si="15"/>
        <v>-3.1675276853281309E-2</v>
      </c>
      <c r="N30" s="19">
        <f t="shared" si="15"/>
        <v>-0.47966617254187061</v>
      </c>
      <c r="O30" s="19">
        <f t="shared" si="15"/>
        <v>-0.47903227595779174</v>
      </c>
      <c r="P30" s="19">
        <f t="shared" si="15"/>
        <v>-0.40501251909050717</v>
      </c>
      <c r="Q30" s="19">
        <f t="shared" si="15"/>
        <v>-0.41222575875440903</v>
      </c>
      <c r="R30" s="42">
        <f t="shared" si="9"/>
        <v>-1.806755695208162E-2</v>
      </c>
    </row>
    <row r="31" spans="1:21" x14ac:dyDescent="0.2">
      <c r="A31" s="10" t="str">
        <f t="shared" ref="A31:D31" si="16">A11</f>
        <v>ABT</v>
      </c>
      <c r="B31" s="10" t="str">
        <f t="shared" si="16"/>
        <v>HEART FAILURE</v>
      </c>
      <c r="C31" s="10" t="str">
        <f t="shared" si="16"/>
        <v>2019Q1</v>
      </c>
      <c r="D31" s="10">
        <f t="shared" si="16"/>
        <v>20190411</v>
      </c>
      <c r="E31" s="19">
        <f t="shared" ref="E31:J31" si="17">$S11/E11-1</f>
        <v>0.11256301016168369</v>
      </c>
      <c r="F31" s="19">
        <f t="shared" si="17"/>
        <v>0.11566971850966423</v>
      </c>
      <c r="G31" s="19">
        <f t="shared" si="17"/>
        <v>-5.2647793767757967E-2</v>
      </c>
      <c r="H31" s="19">
        <f t="shared" si="17"/>
        <v>-6.9731840835385528E-2</v>
      </c>
      <c r="I31" s="19">
        <f t="shared" si="17"/>
        <v>-7.5497277892245584E-2</v>
      </c>
      <c r="J31" s="19">
        <f t="shared" si="17"/>
        <v>-1.4664826339135795E-3</v>
      </c>
      <c r="K31" s="19">
        <f t="shared" ref="K31:Q31" si="18">$S11/K11-1</f>
        <v>0.71253637773726841</v>
      </c>
      <c r="L31" s="19">
        <f t="shared" si="18"/>
        <v>0.66152864876777673</v>
      </c>
      <c r="M31" s="19">
        <f t="shared" si="18"/>
        <v>-6.0287461744526594E-2</v>
      </c>
      <c r="N31" s="19">
        <f t="shared" si="18"/>
        <v>0.40031651053525108</v>
      </c>
      <c r="O31" s="19">
        <f t="shared" si="18"/>
        <v>0.44000816908707407</v>
      </c>
      <c r="P31" s="19">
        <f t="shared" si="18"/>
        <v>0.41459416357159085</v>
      </c>
      <c r="Q31" s="19">
        <f t="shared" si="18"/>
        <v>0.37443784340125719</v>
      </c>
      <c r="R31" s="42">
        <f t="shared" si="9"/>
        <v>0.20067170445004212</v>
      </c>
    </row>
    <row r="32" spans="1:21" x14ac:dyDescent="0.2">
      <c r="A32" s="10" t="str">
        <f t="shared" ref="A32:D32" si="19">A12</f>
        <v>ABT</v>
      </c>
      <c r="B32" s="10" t="str">
        <f t="shared" si="19"/>
        <v>HEART FAILURE</v>
      </c>
      <c r="C32" s="10" t="str">
        <f t="shared" si="19"/>
        <v>2019Q2</v>
      </c>
      <c r="D32" s="10">
        <f t="shared" si="19"/>
        <v>20190711</v>
      </c>
      <c r="E32" s="19">
        <f t="shared" ref="E32:J32" si="20">$S12/E12-1</f>
        <v>3.0849813422064498E-2</v>
      </c>
      <c r="F32" s="19">
        <f t="shared" si="20"/>
        <v>5.8225303326078892E-2</v>
      </c>
      <c r="G32" s="19">
        <f t="shared" si="20"/>
        <v>0.16932446007031632</v>
      </c>
      <c r="H32" s="19">
        <f t="shared" si="20"/>
        <v>0.18987104465103699</v>
      </c>
      <c r="I32" s="19">
        <f t="shared" si="20"/>
        <v>0.14896905898038337</v>
      </c>
      <c r="J32" s="19">
        <f t="shared" si="20"/>
        <v>0.11581761483305919</v>
      </c>
      <c r="K32" s="19">
        <f t="shared" ref="K32:Q32" si="21">$S12/K12-1</f>
        <v>-7.3445904630376146E-2</v>
      </c>
      <c r="L32" s="19">
        <f t="shared" si="21"/>
        <v>-5.1488728456591026E-2</v>
      </c>
      <c r="M32" s="19">
        <f t="shared" si="21"/>
        <v>0.23430805605118121</v>
      </c>
      <c r="N32" s="19">
        <f t="shared" si="21"/>
        <v>0.27906242187150343</v>
      </c>
      <c r="O32" s="19">
        <f t="shared" si="21"/>
        <v>0.24279683715897837</v>
      </c>
      <c r="P32" s="19">
        <f t="shared" si="21"/>
        <v>0.11745634515738912</v>
      </c>
      <c r="Q32" s="19">
        <f t="shared" si="21"/>
        <v>0.10597630706066474</v>
      </c>
      <c r="R32" s="42">
        <f t="shared" si="9"/>
        <v>5.4493984430290077E-2</v>
      </c>
    </row>
    <row r="33" spans="1:18" x14ac:dyDescent="0.2">
      <c r="A33" s="10" t="str">
        <f t="shared" ref="A33:D33" si="22">A13</f>
        <v>ABT</v>
      </c>
      <c r="B33" s="10" t="str">
        <f t="shared" si="22"/>
        <v>HEART FAILURE</v>
      </c>
      <c r="C33" s="10" t="str">
        <f t="shared" si="22"/>
        <v>2019Q3</v>
      </c>
      <c r="D33" s="10">
        <f t="shared" si="22"/>
        <v>20191010</v>
      </c>
      <c r="E33" s="19">
        <f t="shared" ref="E33:J33" si="23">$S13/E13-1</f>
        <v>-6.4741572898642463E-2</v>
      </c>
      <c r="F33" s="19">
        <f t="shared" si="23"/>
        <v>-8.9296347970544199E-2</v>
      </c>
      <c r="G33" s="19">
        <f t="shared" si="23"/>
        <v>-3.931586405050802E-2</v>
      </c>
      <c r="H33" s="19">
        <f t="shared" si="23"/>
        <v>5.3491511778755552E-2</v>
      </c>
      <c r="I33" s="19">
        <f t="shared" si="23"/>
        <v>0.10607007925016521</v>
      </c>
      <c r="J33" s="19">
        <f t="shared" si="23"/>
        <v>-1.2155714475811985E-2</v>
      </c>
      <c r="K33" s="19">
        <f t="shared" ref="K33:Q33" si="24">$S13/K13-1</f>
        <v>-9.2730662678568665E-2</v>
      </c>
      <c r="L33" s="19">
        <f t="shared" si="24"/>
        <v>-0.13940476648304645</v>
      </c>
      <c r="M33" s="19">
        <f t="shared" si="24"/>
        <v>-0.17842808497162366</v>
      </c>
      <c r="N33" s="19">
        <f t="shared" si="24"/>
        <v>-0.11461707004751798</v>
      </c>
      <c r="O33" s="19">
        <f t="shared" si="24"/>
        <v>-3.7336932091354802E-2</v>
      </c>
      <c r="P33" s="19">
        <f t="shared" si="24"/>
        <v>-0.11469018557124844</v>
      </c>
      <c r="Q33" s="19">
        <f t="shared" si="24"/>
        <v>-0.11493482899137664</v>
      </c>
      <c r="R33" s="42">
        <f t="shared" si="9"/>
        <v>-2.4390243902439046E-2</v>
      </c>
    </row>
    <row r="34" spans="1:18" x14ac:dyDescent="0.2">
      <c r="A34" s="10" t="str">
        <f t="shared" ref="A34:D34" si="25">A14</f>
        <v>ABT</v>
      </c>
      <c r="B34" s="10" t="str">
        <f t="shared" si="25"/>
        <v>HEART FAILURE</v>
      </c>
      <c r="C34" s="10" t="str">
        <f t="shared" si="25"/>
        <v>2019Q4</v>
      </c>
      <c r="D34" s="10">
        <f t="shared" si="25"/>
        <v>20200116</v>
      </c>
      <c r="E34" s="19">
        <f t="shared" ref="E34:J34" si="26">$S14/E14-1</f>
        <v>2.6930636982988254E-2</v>
      </c>
      <c r="F34" s="19">
        <f t="shared" si="26"/>
        <v>4.8927172016548504E-2</v>
      </c>
      <c r="G34" s="19">
        <f t="shared" si="26"/>
        <v>5.0076561729422986E-2</v>
      </c>
      <c r="H34" s="19">
        <f t="shared" si="26"/>
        <v>-3.2368749900751559E-2</v>
      </c>
      <c r="I34" s="19">
        <f t="shared" si="26"/>
        <v>1.8015826074032182E-2</v>
      </c>
      <c r="J34" s="19">
        <f t="shared" si="26"/>
        <v>2.1409420051916594E-2</v>
      </c>
      <c r="K34" s="19">
        <f t="shared" ref="K34:Q34" si="27">$S14/K14-1</f>
        <v>9.8018052791836174E-2</v>
      </c>
      <c r="L34" s="19">
        <f t="shared" si="27"/>
        <v>0.15177661765061434</v>
      </c>
      <c r="M34" s="19">
        <f t="shared" si="27"/>
        <v>9.3050798316327121E-2</v>
      </c>
      <c r="N34" s="19">
        <f t="shared" si="27"/>
        <v>-8.1500667750552092E-2</v>
      </c>
      <c r="O34" s="19">
        <f t="shared" si="27"/>
        <v>-7.9610012808435604E-2</v>
      </c>
      <c r="P34" s="19">
        <f t="shared" si="27"/>
        <v>3.3978163380190773E-2</v>
      </c>
      <c r="Q34" s="19">
        <f t="shared" si="27"/>
        <v>2.8067422422600519E-2</v>
      </c>
      <c r="R34" s="42">
        <f t="shared" si="9"/>
        <v>-6.8446269678301697E-4</v>
      </c>
    </row>
    <row r="35" spans="1:18" x14ac:dyDescent="0.2">
      <c r="A35" s="10" t="str">
        <f t="shared" ref="A35:D35" si="28">A15</f>
        <v>ABT</v>
      </c>
      <c r="B35" s="10" t="str">
        <f t="shared" si="28"/>
        <v>HEART FAILURE</v>
      </c>
      <c r="C35" s="10" t="str">
        <f t="shared" si="28"/>
        <v>2020Q1</v>
      </c>
      <c r="D35" s="10">
        <f t="shared" si="28"/>
        <v>20200409</v>
      </c>
      <c r="E35" s="19">
        <f t="shared" ref="E35:J35" si="29">$S15/E15-1</f>
        <v>-0.24095876775168978</v>
      </c>
      <c r="F35" s="19">
        <f t="shared" si="29"/>
        <v>-0.21971692377216478</v>
      </c>
      <c r="G35" s="19">
        <f t="shared" si="29"/>
        <v>-0.1125795843153462</v>
      </c>
      <c r="H35" s="19">
        <f t="shared" si="29"/>
        <v>-0.13671967082939307</v>
      </c>
      <c r="I35" s="19">
        <f t="shared" si="29"/>
        <v>-0.1270335394747909</v>
      </c>
      <c r="J35" s="19">
        <f t="shared" si="29"/>
        <v>-0.17078385213277991</v>
      </c>
      <c r="K35" s="19">
        <f t="shared" ref="K35:Q35" si="30">$S15/K15-1</f>
        <v>-0.26086416656309741</v>
      </c>
      <c r="L35" s="19">
        <f t="shared" si="30"/>
        <v>-0.25611320114078906</v>
      </c>
      <c r="M35" s="19">
        <f t="shared" si="30"/>
        <v>-0.15489932065227974</v>
      </c>
      <c r="N35" s="19">
        <f t="shared" si="30"/>
        <v>-0.10784161933374758</v>
      </c>
      <c r="O35" s="19">
        <f t="shared" si="30"/>
        <v>-0.14248242692670565</v>
      </c>
      <c r="P35" s="19">
        <f t="shared" si="30"/>
        <v>-0.18816477350965466</v>
      </c>
      <c r="Q35" s="19">
        <f t="shared" si="30"/>
        <v>-0.18911510745303872</v>
      </c>
      <c r="R35" s="42">
        <f t="shared" si="9"/>
        <v>8.6264100862640802E-3</v>
      </c>
    </row>
    <row r="36" spans="1:18" x14ac:dyDescent="0.2">
      <c r="A36" s="10" t="str">
        <f t="shared" ref="A36:D36" si="31">A16</f>
        <v>ABT</v>
      </c>
      <c r="B36" s="10" t="str">
        <f t="shared" si="31"/>
        <v>HEART FAILURE</v>
      </c>
      <c r="C36" s="10" t="str">
        <f t="shared" si="31"/>
        <v>2020Q2</v>
      </c>
      <c r="D36" s="10">
        <f t="shared" si="31"/>
        <v>20200709</v>
      </c>
      <c r="E36" s="19">
        <f t="shared" ref="E36:J36" si="32">$S16/E16-1</f>
        <v>-0.46784687802005576</v>
      </c>
      <c r="F36" s="19">
        <f t="shared" si="32"/>
        <v>-0.47243037430830981</v>
      </c>
      <c r="G36" s="19">
        <f t="shared" si="32"/>
        <v>5.7952202142688147E-2</v>
      </c>
      <c r="H36" s="19">
        <f t="shared" si="32"/>
        <v>-0.33893087578414582</v>
      </c>
      <c r="I36" s="19">
        <f t="shared" si="32"/>
        <v>-0.34556309734332935</v>
      </c>
      <c r="J36" s="19">
        <f t="shared" si="32"/>
        <v>-0.35571970199066927</v>
      </c>
      <c r="K36" s="19">
        <f t="shared" ref="K36:Q36" si="33">$S16/K16-1</f>
        <v>-0.29891407821985427</v>
      </c>
      <c r="L36" s="19">
        <f t="shared" si="33"/>
        <v>-0.32387406344611669</v>
      </c>
      <c r="M36" s="19">
        <f t="shared" si="33"/>
        <v>0.19216572375841423</v>
      </c>
      <c r="N36" s="19">
        <f t="shared" si="33"/>
        <v>-0.23423585377999567</v>
      </c>
      <c r="O36" s="19">
        <f t="shared" si="33"/>
        <v>-0.25032984398628888</v>
      </c>
      <c r="P36" s="19">
        <f t="shared" si="33"/>
        <v>-0.22302490169005074</v>
      </c>
      <c r="Q36" s="19">
        <f t="shared" si="33"/>
        <v>-0.21783648645714693</v>
      </c>
      <c r="R36" s="42">
        <f t="shared" ref="R36" si="34">$S16/R16-1</f>
        <v>-0.1708723864455659</v>
      </c>
    </row>
    <row r="37" spans="1:18" x14ac:dyDescent="0.2">
      <c r="A37" s="10" t="str">
        <f t="shared" ref="A37:D37" si="35">A17</f>
        <v>ABT</v>
      </c>
      <c r="B37" s="10" t="str">
        <f t="shared" si="35"/>
        <v>HEART FAILURE</v>
      </c>
      <c r="C37" s="10" t="str">
        <f t="shared" si="35"/>
        <v>2020Q3</v>
      </c>
      <c r="D37" s="10">
        <f t="shared" si="35"/>
        <v>20201015</v>
      </c>
      <c r="E37" s="19">
        <f t="shared" ref="E37:J37" si="36">$S17/E17-1</f>
        <v>9.603338742993861E-2</v>
      </c>
      <c r="F37" s="19">
        <f t="shared" si="36"/>
        <v>2.6049121332146985E-2</v>
      </c>
      <c r="G37" s="19">
        <f t="shared" si="36"/>
        <v>-0.11968217347536969</v>
      </c>
      <c r="H37" s="19">
        <f t="shared" si="36"/>
        <v>0.1613637694732275</v>
      </c>
      <c r="I37" s="19">
        <f t="shared" si="36"/>
        <v>8.0515595029057918E-2</v>
      </c>
      <c r="J37" s="19">
        <f t="shared" si="36"/>
        <v>3.9611853983569478E-2</v>
      </c>
      <c r="K37" s="19">
        <f t="shared" ref="K37:Q37" si="37">$S17/K17-1</f>
        <v>1.0596203276079739</v>
      </c>
      <c r="L37" s="19">
        <f t="shared" si="37"/>
        <v>0.94486011204095788</v>
      </c>
      <c r="M37" s="19">
        <f t="shared" si="37"/>
        <v>-0.16790397076379426</v>
      </c>
      <c r="N37" s="19">
        <f t="shared" si="37"/>
        <v>0.75679626673052058</v>
      </c>
      <c r="O37" s="19">
        <f t="shared" si="37"/>
        <v>0.65106153189517779</v>
      </c>
      <c r="P37" s="19">
        <f t="shared" si="37"/>
        <v>0.61360180839879308</v>
      </c>
      <c r="Q37" s="19">
        <f t="shared" si="37"/>
        <v>0.50146128262013989</v>
      </c>
      <c r="R37" s="42">
        <f>$S17/R17-1</f>
        <v>9.6725057121096691E-2</v>
      </c>
    </row>
    <row r="38" spans="1:18" x14ac:dyDescent="0.2">
      <c r="A38" s="10" t="str">
        <f t="shared" ref="A38:D38" si="38">A18</f>
        <v>ABT</v>
      </c>
      <c r="B38" s="10" t="str">
        <f t="shared" si="38"/>
        <v>HEART FAILURE</v>
      </c>
      <c r="C38" s="10" t="str">
        <f t="shared" si="38"/>
        <v>2020Q4</v>
      </c>
      <c r="D38" s="10">
        <f t="shared" si="38"/>
        <v>20210121</v>
      </c>
      <c r="E38" s="19">
        <f t="shared" ref="E38:J38" si="39">$S18/E18-1</f>
        <v>8.0970784252888173E-2</v>
      </c>
      <c r="F38" s="19">
        <f t="shared" si="39"/>
        <v>7.7494275653205547E-2</v>
      </c>
      <c r="G38" s="19">
        <f t="shared" si="39"/>
        <v>6.9687144353603792E-2</v>
      </c>
      <c r="H38" s="19">
        <f t="shared" si="39"/>
        <v>0.15795493884767597</v>
      </c>
      <c r="I38" s="19">
        <f t="shared" si="39"/>
        <v>0.1326886824478628</v>
      </c>
      <c r="J38" s="19">
        <f t="shared" si="39"/>
        <v>0.10266399323619413</v>
      </c>
      <c r="K38" s="19">
        <f t="shared" ref="K38:Q38" si="40">$S18/K18-1</f>
        <v>-1.374283242627361E-2</v>
      </c>
      <c r="L38" s="19">
        <f t="shared" si="40"/>
        <v>5.0139075460896132E-2</v>
      </c>
      <c r="M38" s="19">
        <f t="shared" si="40"/>
        <v>0.21511471439420538</v>
      </c>
      <c r="N38" s="19">
        <f t="shared" si="40"/>
        <v>-2.935196288323727E-3</v>
      </c>
      <c r="O38" s="19">
        <f t="shared" si="40"/>
        <v>4.8285362709088675E-2</v>
      </c>
      <c r="P38" s="19">
        <f t="shared" si="40"/>
        <v>6.0649692489578966E-2</v>
      </c>
      <c r="Q38" s="19">
        <f t="shared" si="40"/>
        <v>5.4693294061995079E-2</v>
      </c>
      <c r="R38" s="42">
        <f>$S18/R18-1</f>
        <v>-0.12708600770218237</v>
      </c>
    </row>
    <row r="39" spans="1:18" x14ac:dyDescent="0.2">
      <c r="A39" s="10" t="str">
        <f t="shared" ref="A39:D39" si="41">A19</f>
        <v>ABT</v>
      </c>
      <c r="B39" s="10" t="str">
        <f t="shared" si="41"/>
        <v>HEART FAILURE</v>
      </c>
      <c r="C39" s="10" t="str">
        <f t="shared" si="41"/>
        <v>2021Q1</v>
      </c>
      <c r="D39" s="10">
        <f t="shared" si="41"/>
        <v>20210415</v>
      </c>
      <c r="E39" s="19">
        <f t="shared" ref="E39:J39" si="42">$S19/E19-1</f>
        <v>-6.53940195040279E-2</v>
      </c>
      <c r="F39" s="19">
        <f t="shared" si="42"/>
        <v>-4.814797725241704E-2</v>
      </c>
      <c r="G39" s="19">
        <f t="shared" si="42"/>
        <v>-9.025356584369193E-2</v>
      </c>
      <c r="H39" s="19">
        <f t="shared" si="42"/>
        <v>6.9654215316200085E-2</v>
      </c>
      <c r="I39" s="19">
        <f t="shared" si="42"/>
        <v>0.12369544093433249</v>
      </c>
      <c r="J39" s="19">
        <f t="shared" si="42"/>
        <v>-8.8338401735544858E-3</v>
      </c>
      <c r="K39" s="19">
        <f t="shared" ref="K39:Q39" si="43">$S19/K19-1</f>
        <v>-0.13540125772971368</v>
      </c>
      <c r="L39" s="19">
        <f t="shared" si="43"/>
        <v>-0.11660595860655965</v>
      </c>
      <c r="M39" s="19">
        <f t="shared" si="43"/>
        <v>-0.14952101746903346</v>
      </c>
      <c r="N39" s="19">
        <f t="shared" si="43"/>
        <v>-7.6255751039282282E-2</v>
      </c>
      <c r="O39" s="19">
        <f t="shared" si="43"/>
        <v>-7.9397292944561881E-3</v>
      </c>
      <c r="P39" s="19">
        <f t="shared" si="43"/>
        <v>-0.10111678089942455</v>
      </c>
      <c r="Q39" s="19">
        <f t="shared" si="43"/>
        <v>-0.10010670037668579</v>
      </c>
      <c r="R39" s="42">
        <f>$S19/R19-1</f>
        <v>-3.7184594953519223E-2</v>
      </c>
    </row>
    <row r="40" spans="1:18" x14ac:dyDescent="0.2">
      <c r="A40" s="10" t="str">
        <f t="shared" ref="A40:D40" si="44">A20</f>
        <v>ABT</v>
      </c>
      <c r="B40" s="10" t="str">
        <f t="shared" si="44"/>
        <v>HEART FAILURE</v>
      </c>
      <c r="C40" s="10" t="str">
        <f t="shared" si="44"/>
        <v>2021Q2</v>
      </c>
      <c r="D40" s="10">
        <f t="shared" si="44"/>
        <v>20210715</v>
      </c>
      <c r="E40" s="19">
        <f>$S20/E20-1</f>
        <v>7.6632627665799369E-2</v>
      </c>
      <c r="F40" s="19">
        <f t="shared" ref="F40:J40" si="45">$S20/F20-1</f>
        <v>0.13246296633763266</v>
      </c>
      <c r="G40" s="19">
        <f>$S20/G20-1</f>
        <v>0.12647641329373593</v>
      </c>
      <c r="H40" s="19">
        <f t="shared" si="45"/>
        <v>3.9877185552590122E-2</v>
      </c>
      <c r="I40" s="19">
        <f t="shared" si="45"/>
        <v>0.1613368081636668</v>
      </c>
      <c r="J40" s="19">
        <f t="shared" si="45"/>
        <v>0.10563073647129495</v>
      </c>
      <c r="K40" s="19">
        <f t="shared" ref="K40:Q40" si="46">$S20/K20-1</f>
        <v>0.15196419682062934</v>
      </c>
      <c r="L40" s="19">
        <f t="shared" si="46"/>
        <v>0.18974687164996995</v>
      </c>
      <c r="M40" s="19">
        <f t="shared" si="46"/>
        <v>0.23823119388032721</v>
      </c>
      <c r="N40" s="19">
        <f t="shared" si="46"/>
        <v>-2.7837995996498388E-2</v>
      </c>
      <c r="O40" s="19">
        <f t="shared" si="46"/>
        <v>3.3497837454992352E-2</v>
      </c>
      <c r="P40" s="19">
        <f t="shared" si="46"/>
        <v>0.11548475047301077</v>
      </c>
      <c r="Q40" s="19">
        <f t="shared" si="46"/>
        <v>0.10928379959432122</v>
      </c>
      <c r="R40" s="42">
        <f>$S20/R20-1</f>
        <v>0.10091743119266061</v>
      </c>
    </row>
    <row r="41" spans="1:18" x14ac:dyDescent="0.2">
      <c r="A41" s="172" t="s">
        <v>78</v>
      </c>
      <c r="B41" s="172"/>
      <c r="C41" s="168"/>
      <c r="D41" s="169"/>
      <c r="E41" s="81" cm="1">
        <f t="array" ref="E41">SUM(ABS(E26:E40))/COUNT(E26:E40)</f>
        <v>0.16826434954799846</v>
      </c>
      <c r="F41" s="81" cm="1">
        <f t="array" ref="F41">SUM(ABS(F26:F40))/COUNT(F26:F40)</f>
        <v>0.16816959687897945</v>
      </c>
      <c r="G41" s="83" cm="1">
        <f t="array" ref="G41">SUM(ABS(G26:G40))/COUNT(G26:G40)</f>
        <v>7.0017042486471143E-2</v>
      </c>
      <c r="H41" s="81" cm="1">
        <f t="array" ref="H41">SUM(ABS(H26:H40))/COUNT(H26:H40)</f>
        <v>0.14298753239314063</v>
      </c>
      <c r="I41" s="81" cm="1">
        <f t="array" ref="I41">SUM(ABS(I26:I40))/COUNT(I26:I40)</f>
        <v>0.15402817249000147</v>
      </c>
      <c r="J41" s="81" cm="1">
        <f t="array" ref="J41">SUM(ABS(J26:J40))/COUNT(J26:J40)</f>
        <v>0.12330033665806724</v>
      </c>
      <c r="K41" s="81" cm="1">
        <f t="array" ref="K41">SUM(ABS(K26:K40))/COUNT(K26:K40)</f>
        <v>0.32288908974639946</v>
      </c>
      <c r="L41" s="81" cm="1">
        <f t="array" ref="L41">SUM(ABS(L26:L40))/COUNT(L26:L40)</f>
        <v>0.31526261166105246</v>
      </c>
      <c r="M41" s="81" cm="1">
        <f t="array" ref="M41">SUM(ABS(M26:M40))/COUNT(M26:M40)</f>
        <v>0.14009623434628821</v>
      </c>
      <c r="N41" s="81" cm="1">
        <f t="array" ref="N41">SUM(ABS(N26:N40))/COUNT(N26:N40)</f>
        <v>0.2127913399135814</v>
      </c>
      <c r="O41" s="81" cm="1">
        <f t="array" ref="O41">SUM(ABS(O26:O40))/COUNT(O26:O40)</f>
        <v>0.20683543725525011</v>
      </c>
      <c r="P41" s="81" cm="1">
        <f t="array" ref="P41">SUM(ABS(P26:P40))/COUNT(P26:P40)</f>
        <v>0.21283988759049927</v>
      </c>
      <c r="Q41" s="81" cm="1">
        <f t="array" ref="Q41">SUM(ABS(Q26:Q40))/COUNT(Q26:Q40)</f>
        <v>0.19555221239145285</v>
      </c>
      <c r="R41" s="83" cm="1">
        <f t="array" ref="R41">SUM(ABS(R26:R40))/COUNT(R26:R40)</f>
        <v>7.4427921831866986E-2</v>
      </c>
    </row>
    <row r="42" spans="1:18" x14ac:dyDescent="0.2">
      <c r="A42" s="173" t="s">
        <v>79</v>
      </c>
      <c r="B42" s="173"/>
      <c r="C42" s="170"/>
      <c r="D42" s="171"/>
      <c r="E42" s="82" cm="1">
        <f t="array" ref="E42">SQRT(SUM(POWER(E26:E40,2))/COUNT(E26:E40))</f>
        <v>0.21757692321157407</v>
      </c>
      <c r="F42" s="82" cm="1">
        <f t="array" ref="F42">SQRT(SUM(POWER(F26:F40,2))/COUNT(F26:F40))</f>
        <v>0.21524889590011959</v>
      </c>
      <c r="G42" s="84" cm="1">
        <f t="array" ref="G42">SQRT(SUM(POWER(G26:G40,2))/COUNT(G26:G40))</f>
        <v>8.2930911866209614E-2</v>
      </c>
      <c r="H42" s="82" cm="1">
        <f t="array" ref="H42">SQRT(SUM(POWER(H26:H40,2))/COUNT(H26:H40))</f>
        <v>0.17399110842851304</v>
      </c>
      <c r="I42" s="82" cm="1">
        <f t="array" ref="I42">SQRT(SUM(POWER(I26:I40,2))/COUNT(I26:I40))</f>
        <v>0.18070336867304684</v>
      </c>
      <c r="J42" s="82" cm="1">
        <f t="array" ref="J42">SQRT(SUM(POWER(J26:J40,2))/COUNT(J26:J40))</f>
        <v>0.16324776595254389</v>
      </c>
      <c r="K42" s="82" cm="1">
        <f t="array" ref="K42">SQRT(SUM(POWER(K26:K40,2))/COUNT(K26:K40))</f>
        <v>0.42881288371813364</v>
      </c>
      <c r="L42" s="82" cm="1">
        <f t="array" ref="L42">SQRT(SUM(POWER(L26:L40,2))/COUNT(L26:L40))</f>
        <v>0.40021952940278227</v>
      </c>
      <c r="M42" s="82" cm="1">
        <f t="array" ref="M42">SQRT(SUM(POWER(M26:M40,2))/COUNT(M26:M40))</f>
        <v>0.1547671933169906</v>
      </c>
      <c r="N42" s="82" cm="1">
        <f t="array" ref="N42">SQRT(SUM(POWER(N26:N40,2))/COUNT(N26:N40))</f>
        <v>0.29268045235908025</v>
      </c>
      <c r="O42" s="82" cm="1">
        <f t="array" ref="O42">SQRT(SUM(POWER(O26:O40,2))/COUNT(O26:O40))</f>
        <v>0.2808135539080287</v>
      </c>
      <c r="P42" s="82" cm="1">
        <f t="array" ref="P42">SQRT(SUM(POWER(P26:P40,2))/COUNT(P26:P40))</f>
        <v>0.26560595948733573</v>
      </c>
      <c r="Q42" s="82" cm="1">
        <f t="array" ref="Q42">SQRT(SUM(POWER(Q26:Q40,2))/COUNT(Q26:Q40))</f>
        <v>0.23922654721648642</v>
      </c>
      <c r="R42" s="84" cm="1">
        <f t="array" ref="R42">SQRT(SUM(POWER(R26:R40,2))/COUNT(R26:R40))</f>
        <v>9.593311573360809E-2</v>
      </c>
    </row>
    <row r="44" spans="1:18" x14ac:dyDescent="0.2">
      <c r="B44" t="s">
        <v>159</v>
      </c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H9" sqref="H9:H11"/>
    </sheetView>
  </sheetViews>
  <sheetFormatPr defaultRowHeight="12.75" x14ac:dyDescent="0.2"/>
  <cols>
    <col min="1" max="1" width="9.140625" style="74"/>
    <col min="3" max="3" width="12.85546875" bestFit="1" customWidth="1"/>
    <col min="4" max="4" width="8.85546875" customWidth="1"/>
    <col min="5" max="5" width="6.42578125" customWidth="1"/>
    <col min="6" max="6" width="8.42578125" bestFit="1" customWidth="1"/>
    <col min="7" max="7" width="14.42578125" bestFit="1" customWidth="1"/>
    <col min="8" max="8" width="8.140625" bestFit="1" customWidth="1"/>
    <col min="9" max="9" width="7.42578125" bestFit="1" customWidth="1"/>
    <col min="10" max="10" width="11.85546875" bestFit="1" customWidth="1"/>
    <col min="11" max="11" width="12.42578125" bestFit="1" customWidth="1"/>
    <col min="12" max="12" width="6.42578125" bestFit="1" customWidth="1"/>
    <col min="13" max="13" width="7.42578125" bestFit="1" customWidth="1"/>
  </cols>
  <sheetData>
    <row r="1" spans="1:17" x14ac:dyDescent="0.2">
      <c r="A1" s="74" t="s">
        <v>104</v>
      </c>
      <c r="B1" t="s">
        <v>84</v>
      </c>
    </row>
    <row r="2" spans="1:17" x14ac:dyDescent="0.2">
      <c r="A2" s="74" t="s">
        <v>99</v>
      </c>
      <c r="B2" t="s">
        <v>82</v>
      </c>
    </row>
    <row r="3" spans="1:17" x14ac:dyDescent="0.2">
      <c r="A3" s="74" t="s">
        <v>100</v>
      </c>
      <c r="B3" t="s">
        <v>148</v>
      </c>
    </row>
    <row r="4" spans="1:17" x14ac:dyDescent="0.2">
      <c r="A4" s="74" t="s">
        <v>101</v>
      </c>
      <c r="B4" t="s">
        <v>168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74" t="s">
        <v>102</v>
      </c>
      <c r="B7" s="174" t="s">
        <v>83</v>
      </c>
      <c r="C7" s="174"/>
      <c r="D7" s="174" t="s">
        <v>113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6"/>
      <c r="P7" s="6"/>
      <c r="Q7" s="6"/>
    </row>
    <row r="8" spans="1:17" ht="15" x14ac:dyDescent="0.2">
      <c r="B8" t="s">
        <v>60</v>
      </c>
      <c r="C8" s="78" t="s">
        <v>85</v>
      </c>
      <c r="D8" s="78" t="s">
        <v>86</v>
      </c>
      <c r="E8" s="78" t="s">
        <v>87</v>
      </c>
      <c r="F8" s="78" t="s">
        <v>88</v>
      </c>
      <c r="G8" s="78" t="s">
        <v>89</v>
      </c>
      <c r="H8" s="78" t="s">
        <v>90</v>
      </c>
      <c r="I8" s="78" t="s">
        <v>91</v>
      </c>
      <c r="J8" s="78" t="s">
        <v>92</v>
      </c>
      <c r="K8" s="78" t="s">
        <v>93</v>
      </c>
      <c r="L8" s="78" t="s">
        <v>94</v>
      </c>
      <c r="M8" s="78" t="s">
        <v>95</v>
      </c>
      <c r="O8" s="6"/>
      <c r="P8" s="6"/>
      <c r="Q8" s="6"/>
    </row>
    <row r="9" spans="1:17" ht="15" x14ac:dyDescent="0.2">
      <c r="B9" s="78" t="s">
        <v>96</v>
      </c>
      <c r="C9" s="2">
        <v>8.2320527514979772E-2</v>
      </c>
      <c r="D9" s="2">
        <v>8.8445179958092673E-2</v>
      </c>
      <c r="E9" s="73">
        <v>6.5422455568919055E-2</v>
      </c>
      <c r="F9" s="2">
        <v>0.12240673468405321</v>
      </c>
      <c r="G9" s="2">
        <v>7.7344673474870604E-2</v>
      </c>
      <c r="H9" s="73">
        <v>6.548974151549497E-2</v>
      </c>
      <c r="I9" s="2">
        <v>6.5373256519661596E-2</v>
      </c>
      <c r="J9" s="2">
        <v>7.4768809428347821E-2</v>
      </c>
      <c r="K9" s="2">
        <v>7.2849890702961911E-2</v>
      </c>
      <c r="L9" s="2">
        <v>6.5540249325976116E-2</v>
      </c>
      <c r="M9" s="2">
        <v>0.24792943002232809</v>
      </c>
      <c r="O9" s="6"/>
      <c r="P9" s="6"/>
      <c r="Q9" s="6"/>
    </row>
    <row r="10" spans="1:17" ht="15" x14ac:dyDescent="0.2">
      <c r="B10" s="78" t="s">
        <v>97</v>
      </c>
      <c r="C10" s="2">
        <v>0.10613339517799431</v>
      </c>
      <c r="D10" s="2">
        <v>9.6183431242652315E-2</v>
      </c>
      <c r="E10" s="73">
        <v>8.1503261328633086E-2</v>
      </c>
      <c r="F10" s="2">
        <v>0.16278993220724941</v>
      </c>
      <c r="G10" s="2">
        <v>9.7015422766942777E-2</v>
      </c>
      <c r="H10" s="73">
        <v>8.1435362067458925E-2</v>
      </c>
      <c r="I10" s="2">
        <v>8.1096636161435781E-2</v>
      </c>
      <c r="J10" s="2">
        <v>9.5418466192605092E-2</v>
      </c>
      <c r="K10" s="2">
        <v>9.1095208353852125E-2</v>
      </c>
      <c r="L10" s="2">
        <v>8.2832263147147769E-2</v>
      </c>
      <c r="M10" s="2">
        <v>0.50938597664001217</v>
      </c>
      <c r="O10" s="6"/>
      <c r="P10" s="6"/>
      <c r="Q10" s="6"/>
    </row>
    <row r="11" spans="1:17" ht="15" x14ac:dyDescent="0.2">
      <c r="B11" s="78" t="s">
        <v>98</v>
      </c>
      <c r="C11" s="2">
        <v>-3.9338500360490691E-3</v>
      </c>
      <c r="D11" s="2">
        <v>-3.3843674456084378E-3</v>
      </c>
      <c r="E11" s="73">
        <v>2.333183097968039E-3</v>
      </c>
      <c r="F11" s="2">
        <v>-2.736842172369525E-2</v>
      </c>
      <c r="G11" s="2">
        <v>2.5944829661380231E-2</v>
      </c>
      <c r="H11" s="73">
        <v>1.3223440824658981E-3</v>
      </c>
      <c r="I11" s="2">
        <v>-7.7127569864615109E-3</v>
      </c>
      <c r="J11" s="2">
        <v>2.37415419567184E-2</v>
      </c>
      <c r="K11" s="2">
        <v>2.2757850665149241E-2</v>
      </c>
      <c r="L11" s="2">
        <v>-1.8882920293483711E-2</v>
      </c>
      <c r="M11" s="2">
        <v>-3.656052735155213E-2</v>
      </c>
      <c r="O11" s="6"/>
      <c r="P11" s="6"/>
      <c r="Q11" s="6"/>
    </row>
    <row r="12" spans="1:17" x14ac:dyDescent="0.2">
      <c r="C12" s="73"/>
      <c r="D12" s="2"/>
      <c r="E12" s="2"/>
      <c r="F12" s="73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74" t="s">
        <v>103</v>
      </c>
      <c r="B15" t="s">
        <v>106</v>
      </c>
      <c r="O15" s="6"/>
      <c r="P15" s="6"/>
      <c r="Q15" s="6"/>
    </row>
    <row r="16" spans="1:17" x14ac:dyDescent="0.2">
      <c r="B16" t="s">
        <v>140</v>
      </c>
      <c r="H16" s="75" t="s">
        <v>107</v>
      </c>
      <c r="O16" s="6"/>
      <c r="P16" s="6"/>
      <c r="Q16" s="6"/>
    </row>
    <row r="17" spans="1:17" x14ac:dyDescent="0.2">
      <c r="B17" t="s">
        <v>141</v>
      </c>
      <c r="H17" s="75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74" t="s">
        <v>105</v>
      </c>
      <c r="B20" s="175" t="s">
        <v>109</v>
      </c>
      <c r="C20" s="175"/>
      <c r="D20" s="175"/>
      <c r="E20" s="175"/>
      <c r="F20" s="70" t="e">
        <f>#REF!+#REF!*'2. Past Proj &amp; Candidate Model'!R20</f>
        <v>#REF!</v>
      </c>
      <c r="G20" s="76" t="s">
        <v>110</v>
      </c>
      <c r="H20" s="2" t="e">
        <f>'2. Past Proj &amp; Candidate Model'!S20/'3.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6" t="s">
        <v>160</v>
      </c>
      <c r="C24" s="176"/>
      <c r="D24" s="176"/>
      <c r="E24" s="3">
        <f>C9</f>
        <v>8.2320527514979772E-2</v>
      </c>
      <c r="F24" t="s">
        <v>111</v>
      </c>
      <c r="G24" s="176" t="s">
        <v>112</v>
      </c>
      <c r="H24" s="176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74" t="s">
        <v>108</v>
      </c>
      <c r="B27" t="s">
        <v>114</v>
      </c>
      <c r="O27" s="6"/>
      <c r="P27" s="6"/>
      <c r="Q27" s="6"/>
    </row>
    <row r="28" spans="1:17" x14ac:dyDescent="0.2">
      <c r="B28" t="s">
        <v>115</v>
      </c>
      <c r="O28" s="6"/>
      <c r="P28" s="6"/>
      <c r="Q28" s="6"/>
    </row>
    <row r="29" spans="1:17" x14ac:dyDescent="0.2">
      <c r="B29" t="s">
        <v>116</v>
      </c>
      <c r="O29" s="6"/>
      <c r="P29" s="6"/>
      <c r="Q29" s="6"/>
    </row>
    <row r="30" spans="1:17" x14ac:dyDescent="0.2">
      <c r="B30" t="s">
        <v>117</v>
      </c>
      <c r="O30" s="6"/>
      <c r="P30" s="6"/>
      <c r="Q30" s="6"/>
    </row>
    <row r="31" spans="1:17" x14ac:dyDescent="0.2">
      <c r="B31" t="s">
        <v>118</v>
      </c>
      <c r="O31" s="6"/>
      <c r="P31" s="6"/>
      <c r="Q31" s="6"/>
    </row>
    <row r="32" spans="1:17" x14ac:dyDescent="0.2">
      <c r="B32" t="s">
        <v>119</v>
      </c>
      <c r="O32" s="6"/>
      <c r="P32" s="6"/>
      <c r="Q32" s="6"/>
    </row>
    <row r="33" spans="2:17" x14ac:dyDescent="0.2">
      <c r="B33" t="s">
        <v>120</v>
      </c>
      <c r="O33" s="6"/>
      <c r="P33" s="6"/>
      <c r="Q33" s="6"/>
    </row>
    <row r="34" spans="2:17" x14ac:dyDescent="0.2">
      <c r="B34" t="s">
        <v>121</v>
      </c>
      <c r="O34" s="6"/>
      <c r="P34" s="6"/>
      <c r="Q34" s="6"/>
    </row>
    <row r="35" spans="2:17" x14ac:dyDescent="0.2">
      <c r="B35" t="s">
        <v>122</v>
      </c>
      <c r="O35" s="6"/>
      <c r="P35" s="6"/>
      <c r="Q35" s="6"/>
    </row>
    <row r="36" spans="2:17" x14ac:dyDescent="0.2">
      <c r="B36" t="s">
        <v>123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H33" sqref="H33"/>
    </sheetView>
  </sheetViews>
  <sheetFormatPr defaultRowHeight="12.75" x14ac:dyDescent="0.2"/>
  <cols>
    <col min="1" max="1" width="9.140625" style="74"/>
    <col min="3" max="3" width="18.5703125" customWidth="1"/>
    <col min="4" max="13" width="14.7109375" customWidth="1"/>
  </cols>
  <sheetData>
    <row r="1" spans="1:25" x14ac:dyDescent="0.2">
      <c r="A1" s="74" t="s">
        <v>125</v>
      </c>
      <c r="B1" t="s">
        <v>84</v>
      </c>
    </row>
    <row r="2" spans="1:25" x14ac:dyDescent="0.2">
      <c r="A2" s="74" t="s">
        <v>99</v>
      </c>
      <c r="B2" s="85" t="s">
        <v>161</v>
      </c>
      <c r="C2" s="86" t="str">
        <f>E5</f>
        <v>LR</v>
      </c>
      <c r="D2" t="s">
        <v>162</v>
      </c>
    </row>
    <row r="4" spans="1:25" x14ac:dyDescent="0.2">
      <c r="A4" s="74" t="s">
        <v>100</v>
      </c>
      <c r="B4" t="s">
        <v>124</v>
      </c>
    </row>
    <row r="5" spans="1:25" ht="15" x14ac:dyDescent="0.2">
      <c r="C5" s="78" t="s">
        <v>85</v>
      </c>
      <c r="D5" s="78" t="s">
        <v>86</v>
      </c>
      <c r="E5" s="78" t="s">
        <v>87</v>
      </c>
      <c r="F5" s="78" t="s">
        <v>88</v>
      </c>
      <c r="G5" s="78" t="s">
        <v>89</v>
      </c>
      <c r="H5" s="78" t="s">
        <v>90</v>
      </c>
      <c r="I5" s="78" t="s">
        <v>91</v>
      </c>
      <c r="J5" s="78" t="s">
        <v>92</v>
      </c>
      <c r="K5" s="78" t="s">
        <v>93</v>
      </c>
      <c r="L5" s="78" t="s">
        <v>94</v>
      </c>
      <c r="M5" s="78" t="s">
        <v>95</v>
      </c>
    </row>
    <row r="6" spans="1:25" ht="15" x14ac:dyDescent="0.2">
      <c r="B6" s="78" t="s">
        <v>96</v>
      </c>
      <c r="C6" s="2">
        <v>7.4836843195436153E-2</v>
      </c>
      <c r="D6" s="2">
        <v>8.3436829166996837E-2</v>
      </c>
      <c r="E6" s="2">
        <v>6.731927640282083E-2</v>
      </c>
      <c r="F6" s="2">
        <v>0.1146662906483561</v>
      </c>
      <c r="G6" s="2">
        <v>7.2257340169969916E-2</v>
      </c>
      <c r="H6" s="2">
        <v>6.7394846065735814E-2</v>
      </c>
      <c r="I6" s="2">
        <v>6.7274889314563241E-2</v>
      </c>
      <c r="J6" s="2">
        <v>6.9953418272817008E-2</v>
      </c>
      <c r="K6" s="2">
        <v>6.9355394054572528E-2</v>
      </c>
      <c r="L6" s="2">
        <v>6.830438817961583E-2</v>
      </c>
      <c r="M6" s="2">
        <v>0.2336133359531867</v>
      </c>
    </row>
    <row r="7" spans="1:25" ht="15" x14ac:dyDescent="0.2">
      <c r="B7" s="78" t="s">
        <v>97</v>
      </c>
      <c r="C7" s="2">
        <v>0.1011942217718361</v>
      </c>
      <c r="D7" s="2">
        <v>9.2257036437685513E-2</v>
      </c>
      <c r="E7" s="2">
        <v>8.1949732982596543E-2</v>
      </c>
      <c r="F7" s="2">
        <v>0.15562018616652601</v>
      </c>
      <c r="G7" s="2">
        <v>9.2725008055116562E-2</v>
      </c>
      <c r="H7" s="2">
        <v>8.1903532013745312E-2</v>
      </c>
      <c r="I7" s="2">
        <v>8.1582539433070339E-2</v>
      </c>
      <c r="J7" s="2">
        <v>9.1215058265727122E-2</v>
      </c>
      <c r="K7" s="2">
        <v>8.7473345226320873E-2</v>
      </c>
      <c r="L7" s="2">
        <v>8.4108928425866231E-2</v>
      </c>
      <c r="M7" s="2">
        <v>0.48644558396818022</v>
      </c>
    </row>
    <row r="8" spans="1:25" ht="15" x14ac:dyDescent="0.2">
      <c r="B8" s="78" t="s">
        <v>98</v>
      </c>
      <c r="C8" s="2">
        <v>0</v>
      </c>
      <c r="D8" s="2">
        <v>-3.3353321256038522E-2</v>
      </c>
      <c r="E8" s="2">
        <v>-1.681107374980528E-2</v>
      </c>
      <c r="F8" s="2">
        <v>-2.811844732117064E-2</v>
      </c>
      <c r="G8" s="2">
        <v>1.5853476066270741E-2</v>
      </c>
      <c r="H8" s="2">
        <v>-1.918289692918607E-2</v>
      </c>
      <c r="I8" s="2">
        <v>-3.285706499605634E-2</v>
      </c>
      <c r="J8" s="2">
        <v>1.1595982056115121E-2</v>
      </c>
      <c r="K8" s="2">
        <v>9.25056144240477E-3</v>
      </c>
      <c r="L8" s="2">
        <v>-3.3043907819954477E-2</v>
      </c>
      <c r="M8" s="2">
        <v>-4.4956167101305122E-2</v>
      </c>
    </row>
    <row r="10" spans="1:25" ht="15" x14ac:dyDescent="0.2">
      <c r="A10" s="74" t="s">
        <v>101</v>
      </c>
      <c r="B10" s="79" t="s">
        <v>163</v>
      </c>
    </row>
    <row r="12" spans="1:25" x14ac:dyDescent="0.2">
      <c r="A12" s="74" t="s">
        <v>102</v>
      </c>
      <c r="B12" t="s">
        <v>139</v>
      </c>
    </row>
    <row r="13" spans="1:25" ht="15" x14ac:dyDescent="0.2">
      <c r="B13" s="78" t="s">
        <v>126</v>
      </c>
      <c r="C13" s="78" t="s">
        <v>127</v>
      </c>
      <c r="D13" s="78" t="s">
        <v>85</v>
      </c>
      <c r="E13" s="78" t="s">
        <v>86</v>
      </c>
      <c r="F13" s="78" t="s">
        <v>87</v>
      </c>
      <c r="G13" s="78" t="s">
        <v>88</v>
      </c>
      <c r="H13" s="78" t="s">
        <v>89</v>
      </c>
      <c r="I13" s="78" t="s">
        <v>90</v>
      </c>
      <c r="J13" s="78" t="s">
        <v>91</v>
      </c>
      <c r="K13" s="78" t="s">
        <v>92</v>
      </c>
      <c r="L13" s="78" t="s">
        <v>93</v>
      </c>
      <c r="M13" s="78" t="s">
        <v>94</v>
      </c>
      <c r="N13" s="78" t="s">
        <v>95</v>
      </c>
      <c r="O13" s="78" t="s">
        <v>128</v>
      </c>
      <c r="P13" s="78" t="s">
        <v>129</v>
      </c>
      <c r="Q13" s="78" t="s">
        <v>130</v>
      </c>
      <c r="R13" s="78" t="s">
        <v>131</v>
      </c>
      <c r="S13" s="78" t="s">
        <v>132</v>
      </c>
      <c r="T13" s="78" t="s">
        <v>133</v>
      </c>
      <c r="U13" s="78" t="s">
        <v>134</v>
      </c>
      <c r="V13" s="78" t="s">
        <v>135</v>
      </c>
      <c r="W13" s="78" t="s">
        <v>136</v>
      </c>
      <c r="X13" s="78" t="s">
        <v>137</v>
      </c>
      <c r="Y13" s="78" t="s">
        <v>138</v>
      </c>
    </row>
    <row r="14" spans="1:25" x14ac:dyDescent="0.2">
      <c r="B14" t="s">
        <v>170</v>
      </c>
      <c r="C14">
        <v>128</v>
      </c>
      <c r="D14">
        <v>128.5</v>
      </c>
      <c r="E14">
        <v>130.30000000000001</v>
      </c>
    </row>
    <row r="15" spans="1:25" x14ac:dyDescent="0.2">
      <c r="B15" t="s">
        <v>42</v>
      </c>
      <c r="C15">
        <v>114</v>
      </c>
      <c r="D15">
        <v>122.4</v>
      </c>
      <c r="E15">
        <v>105.9</v>
      </c>
    </row>
    <row r="16" spans="1:25" x14ac:dyDescent="0.2">
      <c r="B16" t="s">
        <v>43</v>
      </c>
      <c r="C16">
        <v>117</v>
      </c>
      <c r="D16">
        <v>125.9</v>
      </c>
      <c r="E16">
        <v>119.2</v>
      </c>
    </row>
    <row r="17" spans="2:25" x14ac:dyDescent="0.2">
      <c r="B17" t="s">
        <v>44</v>
      </c>
      <c r="C17">
        <v>111</v>
      </c>
      <c r="D17">
        <v>128.1</v>
      </c>
      <c r="E17">
        <v>106.6</v>
      </c>
    </row>
    <row r="18" spans="2:25" x14ac:dyDescent="0.2">
      <c r="B18" t="s">
        <v>45</v>
      </c>
      <c r="C18">
        <v>125</v>
      </c>
      <c r="D18">
        <v>127.3</v>
      </c>
      <c r="E18">
        <v>124</v>
      </c>
    </row>
    <row r="19" spans="2:25" x14ac:dyDescent="0.2">
      <c r="B19" t="s">
        <v>46</v>
      </c>
      <c r="C19">
        <v>143</v>
      </c>
      <c r="D19">
        <v>119.1</v>
      </c>
      <c r="E19">
        <v>150.9</v>
      </c>
      <c r="F19">
        <v>140.59601645377779</v>
      </c>
      <c r="G19">
        <v>109.4452201051251</v>
      </c>
      <c r="H19">
        <v>145.26704707747669</v>
      </c>
      <c r="I19">
        <v>140.25684573912639</v>
      </c>
      <c r="J19">
        <v>138.30143970556401</v>
      </c>
      <c r="K19">
        <v>142.66260391090199</v>
      </c>
      <c r="L19">
        <v>138.30143970556401</v>
      </c>
      <c r="M19">
        <v>159.21463913197931</v>
      </c>
      <c r="N19">
        <v>-76.990922414483066</v>
      </c>
      <c r="O19" s="2">
        <v>-0.1671328671328671</v>
      </c>
      <c r="P19" s="2">
        <v>5.524475524475525E-2</v>
      </c>
      <c r="Q19" s="2">
        <v>-1.681107374980528E-2</v>
      </c>
      <c r="R19" s="2">
        <v>-0.23464881045367089</v>
      </c>
      <c r="S19" s="2">
        <v>1.5853476066270741E-2</v>
      </c>
      <c r="T19" s="2">
        <v>-1.918289692918607E-2</v>
      </c>
      <c r="U19" s="2">
        <v>-3.285706499605634E-2</v>
      </c>
      <c r="V19" s="2">
        <v>-2.3594132104757248E-3</v>
      </c>
      <c r="W19" s="2">
        <v>-3.285706499605634E-2</v>
      </c>
      <c r="X19" s="2">
        <v>0.1133890848390162</v>
      </c>
      <c r="Y19" s="2">
        <v>-1.538398058842539</v>
      </c>
    </row>
    <row r="20" spans="2:25" x14ac:dyDescent="0.2">
      <c r="B20" t="s">
        <v>47</v>
      </c>
      <c r="C20">
        <v>149</v>
      </c>
      <c r="D20">
        <v>141.30000000000001</v>
      </c>
      <c r="E20">
        <v>127.4</v>
      </c>
      <c r="F20">
        <v>126.1568607726764</v>
      </c>
      <c r="G20">
        <v>96.267346987894086</v>
      </c>
      <c r="H20">
        <v>121.7698162682468</v>
      </c>
      <c r="I20">
        <v>126.1568383570696</v>
      </c>
      <c r="J20">
        <v>126.1566655029379</v>
      </c>
      <c r="K20">
        <v>122.2556906793328</v>
      </c>
      <c r="L20">
        <v>122.9256836885919</v>
      </c>
      <c r="M20">
        <v>125.3428475158003</v>
      </c>
      <c r="N20">
        <v>126.0939617807794</v>
      </c>
      <c r="O20" s="2">
        <v>-5.1677852348993247E-2</v>
      </c>
      <c r="P20" s="2">
        <v>-0.14496644295302011</v>
      </c>
      <c r="Q20" s="2">
        <v>-0.15330965924378279</v>
      </c>
      <c r="R20" s="2">
        <v>-0.35391042290003971</v>
      </c>
      <c r="S20" s="2">
        <v>-0.1827529109513637</v>
      </c>
      <c r="T20" s="2">
        <v>-0.15330980968409669</v>
      </c>
      <c r="U20" s="2">
        <v>-0.1533109697789401</v>
      </c>
      <c r="V20" s="2">
        <v>-0.179492008863538</v>
      </c>
      <c r="W20" s="2">
        <v>-0.1749954114859601</v>
      </c>
      <c r="X20" s="2">
        <v>-0.15877283546442719</v>
      </c>
      <c r="Y20" s="2">
        <v>-0.1537318001289972</v>
      </c>
    </row>
    <row r="21" spans="2:25" x14ac:dyDescent="0.2">
      <c r="B21" t="s">
        <v>48</v>
      </c>
      <c r="C21">
        <v>136</v>
      </c>
      <c r="D21">
        <v>139.4</v>
      </c>
      <c r="E21">
        <v>141.6</v>
      </c>
      <c r="F21">
        <v>140.34130926864449</v>
      </c>
      <c r="G21">
        <v>136.65396360922639</v>
      </c>
      <c r="H21">
        <v>154.17476580835449</v>
      </c>
      <c r="I21">
        <v>140.24652854100921</v>
      </c>
      <c r="J21">
        <v>140.3404195629094</v>
      </c>
      <c r="K21">
        <v>153.5851874621313</v>
      </c>
      <c r="L21">
        <v>151.65158703995149</v>
      </c>
      <c r="M21">
        <v>140.46043600252261</v>
      </c>
      <c r="N21">
        <v>150.43985854353471</v>
      </c>
      <c r="O21" s="2">
        <v>2.500000000000013E-2</v>
      </c>
      <c r="P21" s="2">
        <v>4.1176470588235148E-2</v>
      </c>
      <c r="Q21" s="2">
        <v>3.1921391681209547E-2</v>
      </c>
      <c r="R21" s="2">
        <v>4.8085559501938047E-3</v>
      </c>
      <c r="S21" s="2">
        <v>0.13363798388495929</v>
      </c>
      <c r="T21" s="2">
        <v>3.122447456624378E-2</v>
      </c>
      <c r="U21" s="2">
        <v>3.1914849727274992E-2</v>
      </c>
      <c r="V21" s="2">
        <v>0.12930284898625979</v>
      </c>
      <c r="W21" s="2">
        <v>0.1150851988231727</v>
      </c>
      <c r="X21" s="2">
        <v>3.2797323547960611E-2</v>
      </c>
      <c r="Y21" s="2">
        <v>0.1061754304671667</v>
      </c>
    </row>
    <row r="22" spans="2:25" x14ac:dyDescent="0.2">
      <c r="B22" t="s">
        <v>49</v>
      </c>
      <c r="C22">
        <v>146</v>
      </c>
      <c r="D22">
        <v>146.1</v>
      </c>
      <c r="E22">
        <v>139</v>
      </c>
      <c r="F22">
        <v>137.31136756319549</v>
      </c>
      <c r="G22">
        <v>141.89470669110909</v>
      </c>
      <c r="H22">
        <v>147.88198502770049</v>
      </c>
      <c r="I22">
        <v>137.2566828246047</v>
      </c>
      <c r="J22">
        <v>137.3107484995657</v>
      </c>
      <c r="K22">
        <v>147.59371904113709</v>
      </c>
      <c r="L22">
        <v>147.35058197059109</v>
      </c>
      <c r="M22">
        <v>138.11508496903051</v>
      </c>
      <c r="N22">
        <v>139.43639960320951</v>
      </c>
      <c r="O22" s="2">
        <v>6.8493150684934001E-4</v>
      </c>
      <c r="P22" s="2">
        <v>-4.7945205479452017E-2</v>
      </c>
      <c r="Q22" s="2">
        <v>-5.9511181074003661E-2</v>
      </c>
      <c r="R22" s="2">
        <v>-2.811844732117064E-2</v>
      </c>
      <c r="S22" s="2">
        <v>1.289030840890759E-2</v>
      </c>
      <c r="T22" s="2">
        <v>-5.9885734078050201E-2</v>
      </c>
      <c r="U22" s="2">
        <v>-5.9515421235851518E-2</v>
      </c>
      <c r="V22" s="2">
        <v>1.0915883843404689E-2</v>
      </c>
      <c r="W22" s="2">
        <v>9.25056144240477E-3</v>
      </c>
      <c r="X22" s="2">
        <v>-5.4006267335407483E-2</v>
      </c>
      <c r="Y22" s="2">
        <v>-4.4956167101305122E-2</v>
      </c>
    </row>
    <row r="23" spans="2:25" x14ac:dyDescent="0.2">
      <c r="B23" t="s">
        <v>50</v>
      </c>
      <c r="C23">
        <v>152</v>
      </c>
      <c r="D23">
        <v>150.69999999999999</v>
      </c>
      <c r="E23">
        <v>171.3</v>
      </c>
      <c r="F23">
        <v>163.67313685906529</v>
      </c>
      <c r="G23">
        <v>147.95400378881459</v>
      </c>
      <c r="H23">
        <v>171.32558687612701</v>
      </c>
      <c r="I23">
        <v>163.49363401542479</v>
      </c>
      <c r="J23">
        <v>161.55359308367491</v>
      </c>
      <c r="K23">
        <v>171.0702150430912</v>
      </c>
      <c r="L23">
        <v>167.69336553871301</v>
      </c>
      <c r="M23">
        <v>142.87869551230841</v>
      </c>
      <c r="N23">
        <v>90.01547486752952</v>
      </c>
      <c r="O23" s="2">
        <v>-8.5526315789474783E-3</v>
      </c>
      <c r="P23" s="2">
        <v>0.12697368421052649</v>
      </c>
      <c r="Q23" s="2">
        <v>7.6796953020166203E-2</v>
      </c>
      <c r="R23" s="2">
        <v>-2.661839612621986E-2</v>
      </c>
      <c r="S23" s="2">
        <v>0.12714201892188789</v>
      </c>
      <c r="T23" s="2">
        <v>7.5616013259373949E-2</v>
      </c>
      <c r="U23" s="2">
        <v>6.2852586076808326E-2</v>
      </c>
      <c r="V23" s="2">
        <v>0.12546194107296851</v>
      </c>
      <c r="W23" s="2">
        <v>0.1032458259125857</v>
      </c>
      <c r="X23" s="2">
        <v>-6.000858215586613E-2</v>
      </c>
      <c r="Y23" s="2">
        <v>-0.40779292850309518</v>
      </c>
    </row>
    <row r="24" spans="2:25" x14ac:dyDescent="0.2">
      <c r="B24" t="s">
        <v>55</v>
      </c>
      <c r="C24">
        <v>115</v>
      </c>
      <c r="D24">
        <v>138.69999999999999</v>
      </c>
      <c r="E24">
        <v>108.7</v>
      </c>
      <c r="F24">
        <v>117.4699055937603</v>
      </c>
      <c r="G24">
        <v>137.81850339129551</v>
      </c>
      <c r="H24">
        <v>123.16747419807859</v>
      </c>
      <c r="I24">
        <v>117.5101722858236</v>
      </c>
      <c r="J24">
        <v>117.47053879960529</v>
      </c>
      <c r="K24">
        <v>123.14617290396041</v>
      </c>
      <c r="L24">
        <v>123.09066512714131</v>
      </c>
      <c r="M24">
        <v>114.4569777317935</v>
      </c>
      <c r="N24">
        <v>114.43385923788961</v>
      </c>
      <c r="O24" s="2">
        <v>0.20608695652173911</v>
      </c>
      <c r="P24" s="2">
        <v>-5.4782608695652102E-2</v>
      </c>
      <c r="Q24" s="2">
        <v>2.1477439945741361E-2</v>
      </c>
      <c r="R24" s="2">
        <v>0.19842176861996119</v>
      </c>
      <c r="S24" s="2">
        <v>7.1021514765900573E-2</v>
      </c>
      <c r="T24" s="2">
        <v>2.1827585094117859E-2</v>
      </c>
      <c r="U24" s="2">
        <v>2.1482946083523968E-2</v>
      </c>
      <c r="V24" s="2">
        <v>7.0836286121395142E-2</v>
      </c>
      <c r="W24" s="2">
        <v>7.0353609801228734E-2</v>
      </c>
      <c r="X24" s="2">
        <v>-4.7219327670129374E-3</v>
      </c>
      <c r="Y24" s="2">
        <v>-4.9229631487857084E-3</v>
      </c>
    </row>
    <row r="25" spans="2:25" x14ac:dyDescent="0.2">
      <c r="B25" t="s">
        <v>52</v>
      </c>
      <c r="C25">
        <v>144</v>
      </c>
      <c r="D25">
        <v>131.30000000000001</v>
      </c>
      <c r="E25">
        <v>163.6</v>
      </c>
      <c r="F25">
        <v>152.71651730541811</v>
      </c>
      <c r="G25">
        <v>128.7137881440828</v>
      </c>
      <c r="H25">
        <v>149.1892103889345</v>
      </c>
      <c r="I25">
        <v>152.66259078490921</v>
      </c>
      <c r="J25">
        <v>152.7156027885697</v>
      </c>
      <c r="K25">
        <v>149.16774266745429</v>
      </c>
      <c r="L25">
        <v>149.22218014385669</v>
      </c>
      <c r="M25">
        <v>149.85471371555971</v>
      </c>
      <c r="N25">
        <v>149.46529371853831</v>
      </c>
      <c r="O25" s="2">
        <v>-8.8194444444444353E-2</v>
      </c>
      <c r="P25" s="2">
        <v>0.1361111111111111</v>
      </c>
      <c r="Q25" s="2">
        <v>6.0531370176514443E-2</v>
      </c>
      <c r="R25" s="2">
        <v>-0.10615424899942499</v>
      </c>
      <c r="S25" s="2">
        <v>3.6036183256489718E-2</v>
      </c>
      <c r="T25" s="2">
        <v>6.0156880450758621E-2</v>
      </c>
      <c r="U25" s="2">
        <v>6.0525019365067267E-2</v>
      </c>
      <c r="V25" s="2">
        <v>3.588710185732169E-2</v>
      </c>
      <c r="W25" s="2">
        <v>3.6265139887893698E-2</v>
      </c>
      <c r="X25" s="2">
        <v>4.0657734135831618E-2</v>
      </c>
      <c r="Y25" s="2">
        <v>3.7953428600960182E-2</v>
      </c>
    </row>
    <row r="26" spans="2:25" x14ac:dyDescent="0.2">
      <c r="B26" t="s">
        <v>53</v>
      </c>
      <c r="C26">
        <v>136</v>
      </c>
      <c r="D26">
        <v>155.80000000000001</v>
      </c>
      <c r="E26">
        <v>127.1</v>
      </c>
      <c r="F26">
        <v>128.51150909429421</v>
      </c>
      <c r="G26">
        <v>150.63710765638831</v>
      </c>
      <c r="H26">
        <v>137.6477104337628</v>
      </c>
      <c r="I26">
        <v>128.51760478204261</v>
      </c>
      <c r="J26">
        <v>128.51163174773561</v>
      </c>
      <c r="K26">
        <v>137.57705355963171</v>
      </c>
      <c r="L26">
        <v>136.9932975744735</v>
      </c>
      <c r="M26">
        <v>131.50602853648621</v>
      </c>
      <c r="N26">
        <v>132.16957528615529</v>
      </c>
      <c r="O26" s="2">
        <v>0.1455882352941178</v>
      </c>
      <c r="P26" s="2">
        <v>-6.5441176470588225E-2</v>
      </c>
      <c r="Q26" s="2">
        <v>-5.5062433130189992E-2</v>
      </c>
      <c r="R26" s="2">
        <v>0.10762579159109049</v>
      </c>
      <c r="S26" s="2">
        <v>1.2115517895314509E-2</v>
      </c>
      <c r="T26" s="2">
        <v>-5.5017611896745477E-2</v>
      </c>
      <c r="U26" s="2">
        <v>-5.5061531266649699E-2</v>
      </c>
      <c r="V26" s="2">
        <v>1.1595982056115121E-2</v>
      </c>
      <c r="W26" s="2">
        <v>7.3036586358343758E-3</v>
      </c>
      <c r="X26" s="2">
        <v>-3.3043907819954477E-2</v>
      </c>
      <c r="Y26" s="2">
        <v>-2.8164887601799141E-2</v>
      </c>
    </row>
    <row r="27" spans="2:25" x14ac:dyDescent="0.2">
      <c r="B27" t="s">
        <v>54</v>
      </c>
      <c r="C27">
        <v>145</v>
      </c>
      <c r="D27">
        <v>150.6</v>
      </c>
      <c r="E27">
        <v>159.4</v>
      </c>
      <c r="F27">
        <v>148.21443260683151</v>
      </c>
      <c r="G27">
        <v>142.0295606267953</v>
      </c>
      <c r="H27">
        <v>152.36879072401729</v>
      </c>
      <c r="I27">
        <v>148.18326155257861</v>
      </c>
      <c r="J27">
        <v>147.52757489835429</v>
      </c>
      <c r="K27">
        <v>152.31791281461571</v>
      </c>
      <c r="L27">
        <v>150.79140471479201</v>
      </c>
      <c r="M27">
        <v>147.45684163207531</v>
      </c>
      <c r="N27">
        <v>146.02374365338221</v>
      </c>
      <c r="O27" s="2">
        <v>3.8620689655172402E-2</v>
      </c>
      <c r="P27" s="2">
        <v>9.9310344827586272E-2</v>
      </c>
      <c r="Q27" s="2">
        <v>2.2168500736769129E-2</v>
      </c>
      <c r="R27" s="2">
        <v>-2.0485788780722051E-2</v>
      </c>
      <c r="S27" s="2">
        <v>5.0819246372532767E-2</v>
      </c>
      <c r="T27" s="2">
        <v>2.1953527948817889E-2</v>
      </c>
      <c r="U27" s="2">
        <v>1.7431551023133322E-2</v>
      </c>
      <c r="V27" s="2">
        <v>5.0468364238728913E-2</v>
      </c>
      <c r="W27" s="2">
        <v>3.9940722170979333E-2</v>
      </c>
      <c r="X27" s="2">
        <v>1.6943735393623038E-2</v>
      </c>
      <c r="Y27" s="2">
        <v>7.0603010578083047E-3</v>
      </c>
    </row>
    <row r="28" spans="2:25" x14ac:dyDescent="0.2">
      <c r="B28" t="s">
        <v>55</v>
      </c>
      <c r="C28">
        <v>168</v>
      </c>
      <c r="D28">
        <v>152.6</v>
      </c>
      <c r="E28">
        <v>149.1</v>
      </c>
      <c r="F28">
        <v>141.68539510759061</v>
      </c>
      <c r="G28">
        <v>143.92978049552951</v>
      </c>
      <c r="H28">
        <v>145.96216753018669</v>
      </c>
      <c r="I28">
        <v>141.67055595041009</v>
      </c>
      <c r="J28">
        <v>141.32485489192379</v>
      </c>
      <c r="K28">
        <v>145.93013164241049</v>
      </c>
      <c r="L28">
        <v>144.61411206925141</v>
      </c>
      <c r="M28">
        <v>144.3017369134889</v>
      </c>
      <c r="N28">
        <v>142.7767597585015</v>
      </c>
      <c r="O28" s="2">
        <v>-9.1666666666666674E-2</v>
      </c>
      <c r="P28" s="2">
        <v>-0.1125</v>
      </c>
      <c r="Q28" s="2">
        <v>-0.15663455293100809</v>
      </c>
      <c r="R28" s="2">
        <v>-0.14327511609803839</v>
      </c>
      <c r="S28" s="2">
        <v>-0.13117757422507931</v>
      </c>
      <c r="T28" s="2">
        <v>-0.1567228812475592</v>
      </c>
      <c r="U28" s="2">
        <v>-0.15878062564331041</v>
      </c>
      <c r="V28" s="2">
        <v>-0.1313682640332707</v>
      </c>
      <c r="W28" s="2">
        <v>-0.1392017138735033</v>
      </c>
      <c r="X28" s="2">
        <v>-0.14106108980066151</v>
      </c>
      <c r="Y28" s="2">
        <v>-0.15013833477082439</v>
      </c>
    </row>
    <row r="29" spans="2:25" x14ac:dyDescent="0.2">
      <c r="B29" t="s">
        <v>71</v>
      </c>
      <c r="C29">
        <v>165.6</v>
      </c>
      <c r="D29">
        <v>165.6</v>
      </c>
      <c r="E29">
        <v>160.07669000000001</v>
      </c>
      <c r="F29">
        <v>151.3107925267515</v>
      </c>
      <c r="G29">
        <v>159.42943759174659</v>
      </c>
      <c r="H29">
        <v>162.05880842076849</v>
      </c>
      <c r="I29">
        <v>151.2845603563153</v>
      </c>
      <c r="J29">
        <v>151.3101744211512</v>
      </c>
      <c r="K29">
        <v>161.9900016875805</v>
      </c>
      <c r="L29">
        <v>159.90163319429561</v>
      </c>
      <c r="M29">
        <v>149.71137937582819</v>
      </c>
      <c r="N29">
        <v>150.6210833446504</v>
      </c>
      <c r="O29" s="2">
        <v>0</v>
      </c>
      <c r="P29" s="2">
        <v>-3.3353321256038522E-2</v>
      </c>
      <c r="Q29" s="2">
        <v>-8.628748474183856E-2</v>
      </c>
      <c r="R29" s="2">
        <v>-3.726185029138529E-2</v>
      </c>
      <c r="S29" s="2">
        <v>-2.1384007120963E-2</v>
      </c>
      <c r="T29" s="2">
        <v>-8.6445891568144195E-2</v>
      </c>
      <c r="U29" s="2">
        <v>-8.6291217263579689E-2</v>
      </c>
      <c r="V29" s="2">
        <v>-2.1799506717508851E-2</v>
      </c>
      <c r="W29" s="2">
        <v>-3.4410427570678803E-2</v>
      </c>
      <c r="X29" s="2">
        <v>-9.5945776716013009E-2</v>
      </c>
      <c r="Y29" s="2">
        <v>-9.0452395261772955E-2</v>
      </c>
    </row>
    <row r="30" spans="2:25" x14ac:dyDescent="0.2">
      <c r="C30" s="117" t="s">
        <v>149</v>
      </c>
      <c r="D30" s="117"/>
      <c r="E30" s="117"/>
      <c r="F30">
        <f>F$29/(1+Q30)</f>
        <v>154.84803646523119</v>
      </c>
      <c r="M30" s="117" t="s">
        <v>142</v>
      </c>
      <c r="N30" s="117"/>
      <c r="O30" s="117"/>
      <c r="P30" s="117"/>
      <c r="Q30" s="1">
        <f>AVERAGE(Q19:Q28)</f>
        <v>-2.2843324456838912E-2</v>
      </c>
    </row>
    <row r="31" spans="2:25" x14ac:dyDescent="0.2">
      <c r="C31" s="175" t="s">
        <v>150</v>
      </c>
      <c r="D31" s="175"/>
      <c r="E31" s="175"/>
      <c r="F31">
        <f t="shared" ref="F31:F35" si="0">F$29/(1+Q31)</f>
        <v>150.95857852284871</v>
      </c>
      <c r="M31" s="175" t="s">
        <v>144</v>
      </c>
      <c r="N31" s="175"/>
      <c r="O31" s="175"/>
      <c r="P31" s="175"/>
      <c r="Q31" s="1">
        <f>MEDIAN(Q19:Q28)</f>
        <v>2.3331830979680425E-3</v>
      </c>
    </row>
    <row r="32" spans="2:25" x14ac:dyDescent="0.2">
      <c r="C32" s="176" t="s">
        <v>151</v>
      </c>
      <c r="D32" s="176"/>
      <c r="E32" s="176"/>
      <c r="F32">
        <f t="shared" si="0"/>
        <v>165.9593214906711</v>
      </c>
      <c r="G32">
        <f>F32</f>
        <v>165.9593214906711</v>
      </c>
      <c r="M32" s="176" t="s">
        <v>143</v>
      </c>
      <c r="N32" s="176"/>
      <c r="O32" s="176"/>
      <c r="P32" s="176"/>
      <c r="Q32" s="1">
        <f>AVERAGE(Q28,Q26,Q22,Q19:Q20)</f>
        <v>-8.8265780025757953E-2</v>
      </c>
    </row>
    <row r="33" spans="1:17" x14ac:dyDescent="0.2">
      <c r="C33" s="178" t="s">
        <v>152</v>
      </c>
      <c r="D33" s="178"/>
      <c r="E33" s="178"/>
      <c r="F33">
        <f t="shared" si="0"/>
        <v>160.88526464306386</v>
      </c>
      <c r="M33" s="178" t="s">
        <v>145</v>
      </c>
      <c r="N33" s="178"/>
      <c r="O33" s="178"/>
      <c r="P33" s="178"/>
      <c r="Q33" s="1">
        <f>MEDIAN(Q28,Q26,Q22,Q19:Q20)</f>
        <v>-5.9511181074003661E-2</v>
      </c>
    </row>
    <row r="34" spans="1:17" x14ac:dyDescent="0.2">
      <c r="C34" s="179" t="s">
        <v>153</v>
      </c>
      <c r="D34" s="179"/>
      <c r="E34" s="179"/>
      <c r="F34">
        <f t="shared" si="0"/>
        <v>145.13123082115976</v>
      </c>
      <c r="M34" s="179" t="s">
        <v>146</v>
      </c>
      <c r="N34" s="179"/>
      <c r="O34" s="179"/>
      <c r="P34" s="179"/>
      <c r="Q34" s="1">
        <f>AVERAGE(Q27,Q23:Q25,Q21)</f>
        <v>4.2579131112080136E-2</v>
      </c>
    </row>
    <row r="35" spans="1:17" x14ac:dyDescent="0.2">
      <c r="C35" s="180" t="s">
        <v>154</v>
      </c>
      <c r="D35" s="180"/>
      <c r="E35" s="180"/>
      <c r="F35">
        <f t="shared" si="0"/>
        <v>146.63015395023015</v>
      </c>
      <c r="M35" s="180" t="s">
        <v>147</v>
      </c>
      <c r="N35" s="180"/>
      <c r="O35" s="180"/>
      <c r="P35" s="180"/>
      <c r="Q35" s="1">
        <f>MEDIAN(Q27,Q23:Q25,Q21)</f>
        <v>3.1921391681209547E-2</v>
      </c>
    </row>
    <row r="38" spans="1:17" x14ac:dyDescent="0.2">
      <c r="A38" s="74" t="s">
        <v>103</v>
      </c>
      <c r="B38" t="s">
        <v>155</v>
      </c>
    </row>
    <row r="39" spans="1:17" x14ac:dyDescent="0.2">
      <c r="B39" t="s">
        <v>156</v>
      </c>
    </row>
    <row r="45" spans="1:17" x14ac:dyDescent="0.2">
      <c r="A45" s="74" t="s">
        <v>105</v>
      </c>
      <c r="B45" s="87" t="s">
        <v>157</v>
      </c>
      <c r="C45" s="88">
        <f>F33</f>
        <v>160.88526464306386</v>
      </c>
      <c r="D45" t="s">
        <v>166</v>
      </c>
    </row>
    <row r="47" spans="1:17" x14ac:dyDescent="0.2">
      <c r="B47" s="177" t="s">
        <v>165</v>
      </c>
      <c r="C47" s="177"/>
      <c r="D47" s="2">
        <f>C45/D29-1</f>
        <v>-2.8470624136087697E-2</v>
      </c>
    </row>
    <row r="48" spans="1:17" x14ac:dyDescent="0.2">
      <c r="B48" s="165" t="s">
        <v>164</v>
      </c>
      <c r="C48" s="165"/>
      <c r="D48" s="2">
        <f>'1. Data &amp; Confidence Interval'!R25</f>
        <v>-6.9659237801554363E-2</v>
      </c>
    </row>
  </sheetData>
  <mergeCells count="14">
    <mergeCell ref="B48:C48"/>
    <mergeCell ref="B47:C47"/>
    <mergeCell ref="M30:P30"/>
    <mergeCell ref="M31:P31"/>
    <mergeCell ref="M32:P32"/>
    <mergeCell ref="M33:P33"/>
    <mergeCell ref="M34:P34"/>
    <mergeCell ref="M35:P35"/>
    <mergeCell ref="C35:E35"/>
    <mergeCell ref="C30:E30"/>
    <mergeCell ref="C31:E31"/>
    <mergeCell ref="C32:E32"/>
    <mergeCell ref="C33:E33"/>
    <mergeCell ref="C34:E34"/>
  </mergeCells>
  <conditionalFormatting sqref="Q30:Q3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W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2021-10-25T14:07:57Z</dcterms:modified>
</cp:coreProperties>
</file>