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ABT\"/>
    </mc:Choice>
  </mc:AlternateContent>
  <xr:revisionPtr revIDLastSave="0" documentId="13_ncr:1_{3E4C25F6-C9CC-4130-A5CC-1DF131CD22E6}" xr6:coauthVersionLast="46" xr6:coauthVersionMax="46" xr10:uidLastSave="{00000000-0000-0000-0000-000000000000}"/>
  <bookViews>
    <workbookView xWindow="-28920" yWindow="-120" windowWidth="29040" windowHeight="15840" activeTab="3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4" l="1"/>
  <c r="W29" i="4" l="1"/>
  <c r="L29" i="4" s="1"/>
  <c r="C43" i="4" s="1"/>
  <c r="W28" i="4"/>
  <c r="L28" i="4" s="1"/>
  <c r="R25" i="1"/>
  <c r="O25" i="1"/>
  <c r="R24" i="1"/>
  <c r="O24" i="1"/>
  <c r="W31" i="4"/>
  <c r="L31" i="4" s="1"/>
  <c r="W30" i="4"/>
  <c r="L30" i="4" s="1"/>
  <c r="W33" i="4"/>
  <c r="L33" i="4" s="1"/>
  <c r="W32" i="4"/>
  <c r="L32" i="4" s="1"/>
  <c r="C2" i="4"/>
  <c r="J18" i="2"/>
  <c r="J38" i="2" s="1"/>
  <c r="J17" i="2"/>
  <c r="J37" i="2" s="1"/>
  <c r="J16" i="2"/>
  <c r="J36" i="2" s="1"/>
  <c r="J7" i="2"/>
  <c r="J8" i="2"/>
  <c r="J9" i="2"/>
  <c r="J10" i="2"/>
  <c r="J11" i="2"/>
  <c r="J12" i="2"/>
  <c r="J13" i="2"/>
  <c r="J14" i="2"/>
  <c r="J15" i="2"/>
  <c r="J19" i="2"/>
  <c r="J20" i="2"/>
  <c r="J21" i="2"/>
  <c r="P21" i="2" s="1"/>
  <c r="Q21" i="2" s="1"/>
  <c r="J6" i="2"/>
  <c r="G36" i="2"/>
  <c r="R22" i="2"/>
  <c r="AK26" i="1"/>
  <c r="AK25" i="1"/>
  <c r="AK24" i="1"/>
  <c r="AK23" i="1"/>
  <c r="AK22" i="1"/>
  <c r="AK21" i="1"/>
  <c r="AK20" i="1"/>
  <c r="T23" i="1"/>
  <c r="U23" i="1"/>
  <c r="T21" i="1"/>
  <c r="U21" i="1"/>
  <c r="Q22" i="1"/>
  <c r="R22" i="1"/>
  <c r="Q20" i="1"/>
  <c r="R20" i="1"/>
  <c r="J35" i="2"/>
  <c r="H35" i="2"/>
  <c r="H36" i="2"/>
  <c r="G40" i="2"/>
  <c r="G39" i="2"/>
  <c r="G38" i="2"/>
  <c r="G37" i="2"/>
  <c r="G35" i="2"/>
  <c r="G33" i="2"/>
  <c r="G32" i="2"/>
  <c r="E37" i="2"/>
  <c r="E36" i="2"/>
  <c r="E35" i="2"/>
  <c r="E34" i="2"/>
  <c r="E33" i="2"/>
  <c r="E32" i="2"/>
  <c r="E31" i="2"/>
  <c r="E30" i="2"/>
  <c r="E29" i="2"/>
  <c r="E28" i="2"/>
  <c r="E27" i="2"/>
  <c r="L21" i="2"/>
  <c r="M21" i="2"/>
  <c r="N21" i="2"/>
  <c r="O21" i="2"/>
  <c r="K21" i="2"/>
  <c r="AJ18" i="1"/>
  <c r="AK18" i="1"/>
  <c r="J17" i="1"/>
  <c r="I17" i="1"/>
  <c r="H17" i="1"/>
  <c r="G17" i="1"/>
  <c r="F17" i="1"/>
  <c r="R17" i="1"/>
  <c r="Q17" i="1"/>
  <c r="P17" i="1"/>
  <c r="O17" i="1"/>
  <c r="M18" i="1"/>
  <c r="L18" i="1"/>
  <c r="J18" i="1"/>
  <c r="I18" i="1"/>
  <c r="H18" i="1"/>
  <c r="G18" i="1"/>
  <c r="F18" i="1"/>
  <c r="S20" i="1"/>
  <c r="S22" i="1"/>
  <c r="J22" i="2" l="1"/>
  <c r="A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J13" i="1"/>
  <c r="Q27" i="2"/>
  <c r="P27" i="2"/>
  <c r="O27" i="2"/>
  <c r="N27" i="2"/>
  <c r="M27" i="2"/>
  <c r="L27" i="2"/>
  <c r="K27" i="2"/>
  <c r="R27" i="2"/>
  <c r="A26" i="2"/>
  <c r="B26" i="2"/>
  <c r="C26" i="2"/>
  <c r="D26" i="2"/>
  <c r="E26" i="2"/>
  <c r="F26" i="2"/>
  <c r="G26" i="2"/>
  <c r="H26" i="2"/>
  <c r="I26" i="2"/>
  <c r="J26" i="2"/>
  <c r="R26" i="2"/>
  <c r="Q22" i="2"/>
  <c r="P22" i="2"/>
  <c r="O22" i="2"/>
  <c r="N22" i="2"/>
  <c r="M22" i="2"/>
  <c r="L22" i="2"/>
  <c r="K22" i="2"/>
  <c r="I22" i="2"/>
  <c r="H22" i="2"/>
  <c r="G22" i="2"/>
  <c r="F22" i="2"/>
  <c r="E22" i="2"/>
  <c r="AJ17" i="1"/>
  <c r="AI17" i="1"/>
  <c r="AH17" i="1"/>
  <c r="AG17" i="1"/>
  <c r="AF17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AI18" i="1"/>
  <c r="AH18" i="1"/>
  <c r="S18" i="1"/>
  <c r="R18" i="1"/>
  <c r="Q18" i="1"/>
  <c r="P18" i="1"/>
  <c r="O18" i="1"/>
  <c r="N18" i="1"/>
  <c r="K18" i="1"/>
  <c r="L17" i="1"/>
  <c r="K17" i="1"/>
  <c r="J27" i="2"/>
  <c r="I27" i="2"/>
  <c r="H27" i="2"/>
  <c r="G27" i="2"/>
  <c r="F27" i="2"/>
  <c r="A28" i="2"/>
  <c r="B28" i="2"/>
  <c r="C28" i="2"/>
  <c r="D28" i="2"/>
  <c r="A29" i="2"/>
  <c r="B29" i="2"/>
  <c r="C29" i="2"/>
  <c r="D29" i="2"/>
  <c r="A30" i="2"/>
  <c r="B30" i="2"/>
  <c r="C30" i="2"/>
  <c r="D30" i="2"/>
  <c r="A31" i="2"/>
  <c r="B31" i="2"/>
  <c r="C31" i="2"/>
  <c r="D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B27" i="2"/>
  <c r="C27" i="2"/>
  <c r="D27" i="2"/>
  <c r="A27" i="2"/>
  <c r="I34" i="3"/>
  <c r="E34" i="3"/>
  <c r="AE17" i="1"/>
  <c r="AD17" i="1"/>
  <c r="AC17" i="1"/>
  <c r="AB17" i="1"/>
  <c r="AJ10" i="1" l="1"/>
  <c r="D45" i="4"/>
  <c r="C7" i="1"/>
  <c r="B7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AC18" i="1"/>
  <c r="AB18" i="1"/>
  <c r="AA18" i="1"/>
  <c r="Z18" i="1"/>
  <c r="Y18" i="1"/>
  <c r="X18" i="1"/>
  <c r="W18" i="1"/>
  <c r="V18" i="1"/>
  <c r="U18" i="1"/>
  <c r="T18" i="1"/>
  <c r="M17" i="1"/>
  <c r="N17" i="1"/>
  <c r="S17" i="1"/>
  <c r="T17" i="1"/>
  <c r="U17" i="1"/>
  <c r="V17" i="1"/>
  <c r="W17" i="1"/>
  <c r="X17" i="1"/>
  <c r="Y17" i="1"/>
  <c r="Z17" i="1"/>
  <c r="AA17" i="1"/>
  <c r="F30" i="3"/>
  <c r="D46" i="4" l="1"/>
  <c r="M2" i="1"/>
  <c r="V21" i="1"/>
  <c r="R40" i="2"/>
  <c r="R39" i="2"/>
  <c r="R38" i="2"/>
  <c r="R37" i="2"/>
  <c r="R35" i="2"/>
  <c r="R34" i="2"/>
  <c r="R33" i="2"/>
  <c r="R32" i="2"/>
  <c r="R31" i="2"/>
  <c r="R30" i="2"/>
  <c r="R29" i="2"/>
  <c r="R28" i="2"/>
  <c r="N2" i="1" l="1"/>
  <c r="O2" i="1" s="1"/>
  <c r="P2" i="1" s="1"/>
  <c r="N3" i="1"/>
  <c r="M3" i="1"/>
  <c r="H30" i="3"/>
  <c r="O3" i="1" l="1"/>
  <c r="P3" i="1" s="1"/>
  <c r="R36" i="2"/>
  <c r="K28" i="2"/>
  <c r="L28" i="2"/>
  <c r="M28" i="2"/>
  <c r="N28" i="2"/>
  <c r="O28" i="2"/>
  <c r="P28" i="2"/>
  <c r="Q28" i="2"/>
  <c r="K29" i="2"/>
  <c r="L29" i="2"/>
  <c r="M29" i="2"/>
  <c r="N29" i="2"/>
  <c r="O29" i="2"/>
  <c r="P29" i="2"/>
  <c r="Q29" i="2"/>
  <c r="K30" i="2"/>
  <c r="L30" i="2"/>
  <c r="M30" i="2"/>
  <c r="N30" i="2"/>
  <c r="O30" i="2"/>
  <c r="P30" i="2"/>
  <c r="Q30" i="2"/>
  <c r="K31" i="2"/>
  <c r="L31" i="2"/>
  <c r="M31" i="2"/>
  <c r="N31" i="2"/>
  <c r="O31" i="2"/>
  <c r="P31" i="2"/>
  <c r="Q31" i="2"/>
  <c r="K32" i="2"/>
  <c r="L32" i="2"/>
  <c r="M32" i="2"/>
  <c r="N32" i="2"/>
  <c r="O32" i="2"/>
  <c r="P32" i="2"/>
  <c r="Q32" i="2"/>
  <c r="K33" i="2"/>
  <c r="L33" i="2"/>
  <c r="M33" i="2"/>
  <c r="N33" i="2"/>
  <c r="O33" i="2"/>
  <c r="P33" i="2"/>
  <c r="Q33" i="2"/>
  <c r="K34" i="2"/>
  <c r="L34" i="2"/>
  <c r="M34" i="2"/>
  <c r="N34" i="2"/>
  <c r="O34" i="2"/>
  <c r="P34" i="2"/>
  <c r="Q34" i="2"/>
  <c r="K35" i="2"/>
  <c r="L35" i="2"/>
  <c r="M35" i="2"/>
  <c r="N35" i="2"/>
  <c r="O35" i="2"/>
  <c r="P35" i="2"/>
  <c r="Q35" i="2"/>
  <c r="K36" i="2"/>
  <c r="L36" i="2"/>
  <c r="M36" i="2"/>
  <c r="N36" i="2"/>
  <c r="O36" i="2"/>
  <c r="P36" i="2"/>
  <c r="Q36" i="2"/>
  <c r="K37" i="2"/>
  <c r="L37" i="2"/>
  <c r="M37" i="2"/>
  <c r="N37" i="2"/>
  <c r="O37" i="2"/>
  <c r="P37" i="2"/>
  <c r="Q37" i="2"/>
  <c r="K38" i="2"/>
  <c r="L38" i="2"/>
  <c r="M38" i="2"/>
  <c r="N38" i="2"/>
  <c r="O38" i="2"/>
  <c r="P38" i="2"/>
  <c r="Q38" i="2"/>
  <c r="K39" i="2"/>
  <c r="L39" i="2"/>
  <c r="M39" i="2"/>
  <c r="N39" i="2"/>
  <c r="O39" i="2"/>
  <c r="P39" i="2"/>
  <c r="Q39" i="2"/>
  <c r="K40" i="2"/>
  <c r="L40" i="2"/>
  <c r="M40" i="2"/>
  <c r="N40" i="2"/>
  <c r="O40" i="2"/>
  <c r="P40" i="2"/>
  <c r="Q40" i="2"/>
  <c r="E40" i="2"/>
  <c r="F28" i="2"/>
  <c r="G28" i="2"/>
  <c r="G41" i="2" s="1" a="1"/>
  <c r="G41" i="2" s="1"/>
  <c r="H28" i="2"/>
  <c r="I28" i="2"/>
  <c r="J28" i="2"/>
  <c r="F29" i="2"/>
  <c r="G29" i="2"/>
  <c r="H29" i="2"/>
  <c r="I29" i="2"/>
  <c r="J29" i="2"/>
  <c r="F30" i="2"/>
  <c r="G30" i="2"/>
  <c r="H30" i="2"/>
  <c r="I30" i="2"/>
  <c r="J30" i="2"/>
  <c r="F31" i="2"/>
  <c r="G31" i="2"/>
  <c r="H31" i="2"/>
  <c r="I31" i="2"/>
  <c r="J31" i="2"/>
  <c r="F32" i="2"/>
  <c r="H32" i="2"/>
  <c r="I32" i="2"/>
  <c r="J32" i="2"/>
  <c r="F33" i="2"/>
  <c r="H33" i="2"/>
  <c r="I33" i="2"/>
  <c r="J33" i="2"/>
  <c r="F34" i="2"/>
  <c r="G34" i="2"/>
  <c r="H34" i="2"/>
  <c r="I34" i="2"/>
  <c r="J34" i="2"/>
  <c r="F35" i="2"/>
  <c r="I35" i="2"/>
  <c r="F36" i="2"/>
  <c r="I36" i="2"/>
  <c r="F37" i="2"/>
  <c r="H37" i="2"/>
  <c r="I37" i="2"/>
  <c r="E38" i="2"/>
  <c r="F38" i="2"/>
  <c r="H38" i="2"/>
  <c r="I38" i="2"/>
  <c r="E39" i="2"/>
  <c r="F39" i="2"/>
  <c r="H39" i="2"/>
  <c r="I39" i="2"/>
  <c r="J39" i="2"/>
  <c r="F40" i="2"/>
  <c r="H40" i="2"/>
  <c r="I40" i="2"/>
  <c r="J40" i="2"/>
  <c r="E42" i="2" l="1" a="1"/>
  <c r="E42" i="2" s="1"/>
  <c r="E41" i="2" a="1"/>
  <c r="E41" i="2" s="1"/>
  <c r="Q42" i="2" a="1"/>
  <c r="Q42" i="2" s="1"/>
  <c r="Q41" i="2" a="1"/>
  <c r="Q41" i="2" s="1"/>
  <c r="H41" i="2" a="1"/>
  <c r="H41" i="2" s="1"/>
  <c r="H42" i="2" a="1"/>
  <c r="H42" i="2" s="1"/>
  <c r="R41" i="2" a="1"/>
  <c r="R41" i="2" s="1"/>
  <c r="R42" i="2" a="1"/>
  <c r="R42" i="2" s="1"/>
  <c r="G42" i="2" a="1"/>
  <c r="G42" i="2" s="1"/>
  <c r="P42" i="2" a="1"/>
  <c r="P42" i="2" s="1"/>
  <c r="P41" i="2" a="1"/>
  <c r="P41" i="2" s="1"/>
  <c r="O42" i="2" a="1"/>
  <c r="O42" i="2" s="1"/>
  <c r="O41" i="2" a="1"/>
  <c r="O41" i="2" s="1"/>
  <c r="N42" i="2" a="1"/>
  <c r="N42" i="2" s="1"/>
  <c r="N41" i="2" a="1"/>
  <c r="N41" i="2" s="1"/>
  <c r="F42" i="2" a="1"/>
  <c r="F42" i="2" s="1"/>
  <c r="F41" i="2" a="1"/>
  <c r="F41" i="2" s="1"/>
  <c r="M42" i="2" a="1"/>
  <c r="M42" i="2" s="1"/>
  <c r="M41" i="2" a="1"/>
  <c r="M41" i="2" s="1"/>
  <c r="J41" i="2" a="1"/>
  <c r="J41" i="2" s="1"/>
  <c r="J42" i="2" a="1"/>
  <c r="J42" i="2" s="1"/>
  <c r="L42" i="2" a="1"/>
  <c r="L42" i="2" s="1"/>
  <c r="L41" i="2" a="1"/>
  <c r="L41" i="2" s="1"/>
  <c r="I41" i="2" a="1"/>
  <c r="I41" i="2" s="1"/>
  <c r="I42" i="2" a="1"/>
  <c r="I42" i="2" s="1"/>
  <c r="K41" i="2" a="1"/>
  <c r="K41" i="2" s="1"/>
  <c r="K42" i="2" a="1"/>
  <c r="K42" i="2" s="1"/>
  <c r="J10" i="1"/>
  <c r="AH21" i="1"/>
  <c r="W21" i="1"/>
  <c r="AI21" i="1"/>
  <c r="AE21" i="1"/>
  <c r="AI23" i="1"/>
  <c r="X21" i="1"/>
  <c r="Y21" i="1"/>
  <c r="Z21" i="1"/>
  <c r="Y23" i="1"/>
  <c r="X23" i="1"/>
  <c r="AD23" i="1"/>
  <c r="W23" i="1"/>
  <c r="V23" i="1"/>
  <c r="AE23" i="1"/>
  <c r="AA23" i="1"/>
  <c r="AC23" i="1"/>
  <c r="Z23" i="1"/>
  <c r="AB23" i="1"/>
  <c r="AH23" i="1"/>
  <c r="AG23" i="1"/>
  <c r="AF23" i="1"/>
  <c r="AG21" i="1"/>
  <c r="AA21" i="1"/>
  <c r="AB21" i="1"/>
  <c r="AC21" i="1"/>
  <c r="AD21" i="1"/>
  <c r="AF21" i="1"/>
  <c r="O4" i="1" l="1"/>
  <c r="P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<sst xmlns="http://schemas.openxmlformats.org/spreadsheetml/2006/main" count="334" uniqueCount="177">
  <si>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</si>
  <si>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</si>
  <si>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</si>
  <si>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</si>
  <si>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</si>
  <si>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</si>
  <si>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</si>
  <si>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</si>
  <si>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</si>
  <si>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</si>
  <si>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</si>
  <si>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</si>
  <si>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</si>
  <si>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</si>
  <si>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</si>
  <si>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</si>
  <si>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</si>
  <si>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</si>
  <si>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</si>
  <si>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</si>
  <si>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</si>
  <si>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</si>
  <si>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</si>
  <si>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</si>
  <si>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</si>
  <si>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</si>
  <si>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</si>
  <si>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</si>
  <si>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</si>
  <si>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</si>
  <si>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</si>
  <si>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</si>
  <si>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</si>
  <si>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</si>
  <si>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</si>
  <si>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</si>
  <si>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</si>
  <si>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</si>
  <si>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</si>
  <si>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</si>
  <si>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</si>
  <si>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</si>
  <si>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</si>
  <si>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</si>
  <si>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</si>
  <si>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</si>
  <si>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</si>
  <si>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</si>
  <si>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</si>
  <si>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</si>
  <si>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</si>
  <si>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</si>
  <si>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</si>
  <si>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</si>
  <si>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</si>
  <si>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</si>
  <si>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</si>
  <si>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</si>
  <si>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</si>
  <si>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</si>
  <si>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</si>
  <si>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</si>
  <si>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</si>
  <si>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</si>
  <si>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</si>
  <si>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</si>
  <si>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</si>
  <si>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</si>
  <si>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</si>
  <si>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</si>
  <si>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</si>
  <si>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</si>
  <si>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</si>
  <si>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</si>
  <si>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</si>
  <si>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CORRELATION W/O 2021Q3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</si>
  <si>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</si>
  <si>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</si>
  <si>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</si>
  <si>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</si>
  <si>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</si>
  <si>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</si>
  <si>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</si>
  <si>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</si>
  <si>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</si>
  <si>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</si>
  <si>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</si>
  <si>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</si>
  <si>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</si>
  <si>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</si>
  <si>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</si>
  <si>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</si>
  <si>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</si>
  <si>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</si>
  <si>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</si>
  <si>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</si>
  <si>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</si>
  <si>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</si>
  <si>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</si>
  <si>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</si>
  <si>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</si>
  <si>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</si>
  <si>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</si>
  <si>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</si>
  <si>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</si>
  <si>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</si>
  <si>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Red highlights are the best performing for that dataset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</si>
  <si>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</si>
  <si>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</si>
  <si>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</si>
  <si>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</si>
  <si>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</si>
  <si>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</si>
  <si>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</si>
  <si>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</si>
  <si>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</si>
  <si>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</si>
  <si>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</si>
  <si>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</si>
  <si>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</si>
  <si>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</si>
  <si>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</si>
  <si>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</si>
  <si>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</si>
  <si>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</si>
  <si>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</si>
  <si>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</si>
  <si>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</si>
  <si>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</si>
  <si>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</si>
  <si>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</si>
  <si>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</si>
  <si>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</si>
  <si>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</si>
  <si>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</si>
  <si>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</si>
  <si>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</si>
  <si>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</si>
  <si>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</si>
  <si>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</si>
  <si>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</si>
  <si>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</si>
  <si>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</si>
  <si>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</si>
  <si>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</si>
  <si>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</si>
  <si>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</si>
  <si>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</si>
  <si>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</si>
  <si>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</si>
  <si>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</si>
  <si>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</si>
  <si>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</si>
  <si>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</si>
  <si>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</si>
  <si>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</si>
  <si>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</si>
  <si>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</si>
  <si>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</si>
  <si>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</si>
  <si>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</si>
  <si>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</si>
  <si>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</si>
  <si>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</si>
  <si>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</si>
  <si>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</si>
  <si>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</si>
  <si>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C:\dev\da.research\personal\rxia\Improved Alpha Models</t>
    </r>
  </si>
  <si>
    <t>ABT</t>
  </si>
  <si>
    <t>2017Q4</t>
  </si>
  <si>
    <t>HEART FAILURE</t>
  </si>
  <si>
    <t>which is not inline with the confidence interval in step1. If this value is unsatisfactory, use confidence interval.</t>
  </si>
  <si>
    <t>ABT_NM</t>
  </si>
  <si>
    <t>NEUROMODULATION</t>
  </si>
  <si>
    <t>AVG RM Q23</t>
  </si>
  <si>
    <t>AVG RM Q34</t>
  </si>
  <si>
    <t>AVG RMQ34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</si>
</sst>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0.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6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8" xfId="1" applyNumberFormat="1" applyFont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6" fontId="6" fillId="0" borderId="11" xfId="0" applyNumberFormat="1" applyFont="1" applyFill="1" applyBorder="1" applyAlignment="1">
      <alignment horizontal="center" vertical="center"/>
    </xf>
    <xf numFmtId="166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6" fontId="0" fillId="0" borderId="0" xfId="0" applyNumberFormat="1" applyBorder="1"/>
    <xf numFmtId="166" fontId="0" fillId="0" borderId="9" xfId="0" applyNumberFormat="1" applyBorder="1"/>
    <xf numFmtId="166" fontId="0" fillId="0" borderId="11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2" fontId="0" fillId="0" borderId="0" xfId="0" applyNumberFormat="1"/>
    <xf numFmtId="165" fontId="2" fillId="0" borderId="3" xfId="0" applyNumberFormat="1" applyFont="1" applyBorder="1"/>
    <xf numFmtId="165" fontId="4" fillId="0" borderId="3" xfId="0" applyNumberFormat="1" applyFont="1" applyBorder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64" fontId="0" fillId="0" borderId="9" xfId="0" applyNumberFormat="1" applyBorder="1"/>
    <xf numFmtId="10" fontId="4" fillId="0" borderId="5" xfId="1" applyNumberFormat="1" applyFont="1" applyBorder="1"/>
    <xf numFmtId="10" fontId="4" fillId="0" borderId="10" xfId="1" applyNumberFormat="1" applyFont="1" applyBorder="1"/>
    <xf numFmtId="10" fontId="2" fillId="0" borderId="5" xfId="1" applyNumberFormat="1" applyFont="1" applyBorder="1"/>
    <xf numFmtId="10" fontId="2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6" fontId="0" fillId="2" borderId="0" xfId="0" applyNumberFormat="1" applyFill="1"/>
    <xf numFmtId="164" fontId="0" fillId="0" borderId="1" xfId="0" applyNumberFormat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4" fontId="0" fillId="0" borderId="0" xfId="0" applyNumberFormat="1"/>
    <xf numFmtId="166" fontId="0" fillId="0" borderId="10" xfId="0" applyNumberFormat="1" applyBorder="1"/>
    <xf numFmtId="166" fontId="0" fillId="0" borderId="5" xfId="0" applyNumberFormat="1" applyBorder="1"/>
    <xf numFmtId="164" fontId="0" fillId="0" borderId="3" xfId="1" applyNumberFormat="1" applyFont="1" applyFill="1" applyBorder="1" applyAlignment="1">
      <alignment horizontal="center"/>
    </xf>
    <xf numFmtId="164" fontId="0" fillId="0" borderId="2" xfId="1" applyNumberFormat="1" applyFont="1" applyFill="1" applyBorder="1" applyAlignment="1">
      <alignment horizontal="center"/>
    </xf>
    <xf numFmtId="164" fontId="0" fillId="0" borderId="4" xfId="1" applyNumberFormat="1" applyFont="1" applyFill="1" applyBorder="1" applyAlignment="1">
      <alignment horizontal="center"/>
    </xf>
    <xf numFmtId="164" fontId="0" fillId="0" borderId="13" xfId="1" applyNumberFormat="1" applyFont="1" applyFill="1" applyBorder="1" applyAlignment="1">
      <alignment horizontal="center"/>
    </xf>
    <xf numFmtId="9" fontId="0" fillId="0" borderId="0" xfId="0" applyNumberFormat="1"/>
    <xf numFmtId="0" fontId="0" fillId="3" borderId="14" xfId="0" applyFill="1" applyBorder="1"/>
    <xf numFmtId="9" fontId="0" fillId="3" borderId="0" xfId="1" applyFont="1" applyFill="1" applyBorder="1"/>
    <xf numFmtId="164" fontId="0" fillId="3" borderId="0" xfId="1" applyNumberFormat="1" applyFont="1" applyFill="1" applyBorder="1"/>
    <xf numFmtId="164" fontId="0" fillId="3" borderId="8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165" fontId="0" fillId="0" borderId="0" xfId="0" applyNumberFormat="1" applyBorder="1"/>
    <xf numFmtId="165" fontId="4" fillId="0" borderId="0" xfId="0" applyNumberFormat="1" applyFont="1" applyBorder="1"/>
    <xf numFmtId="165" fontId="0" fillId="0" borderId="0" xfId="0" applyNumberFormat="1"/>
    <xf numFmtId="0" fontId="8" fillId="0" borderId="0" xfId="0" applyFont="1" applyBorder="1" applyAlignment="1">
      <alignment horizontal="center" vertical="top"/>
    </xf>
    <xf numFmtId="10" fontId="0" fillId="0" borderId="0" xfId="1" applyNumberFormat="1" applyFont="1"/>
    <xf numFmtId="0" fontId="0" fillId="10" borderId="6" xfId="0" applyFill="1" applyBorder="1" applyAlignment="1"/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L29"/>
  <sheetViews>
    <sheetView topLeftCell="E1" zoomScale="70" zoomScaleNormal="70" workbookViewId="0">
      <selection activeCell="AE14" sqref="AE14"/>
    </sheetView>
  </sheetViews>
  <sheetFormatPr defaultRowHeight="12.75" x14ac:dyDescent="0.2"/>
  <cols>
    <col min="1" max="1" width="17.85546875" bestFit="1" customWidth="1"/>
    <col min="2" max="35" width="10.7109375" customWidth="1"/>
    <col min="36" max="36" width="17.85546875" customWidth="1"/>
    <col min="37" max="38" width="10.7109375" customWidth="1"/>
  </cols>
  <sheetData>
    <row r="1" spans="1:37" x14ac:dyDescent="0.2">
      <c r="A1" s="151" t="s">
        <v>172</v>
      </c>
      <c r="B1" s="152"/>
      <c r="C1" s="153"/>
      <c r="K1" s="160" t="s">
        <v>35</v>
      </c>
      <c r="L1" s="161"/>
      <c r="M1" s="64" t="s">
        <v>31</v>
      </c>
      <c r="N1" s="64" t="s">
        <v>32</v>
      </c>
      <c r="O1" s="4" t="s">
        <v>39</v>
      </c>
      <c r="P1" s="162" t="s">
        <v>41</v>
      </c>
      <c r="Q1" s="163"/>
    </row>
    <row r="2" spans="1:37" x14ac:dyDescent="0.2">
      <c r="A2" s="154"/>
      <c r="B2" s="155"/>
      <c r="C2" s="156"/>
      <c r="K2" s="62" t="s">
        <v>37</v>
      </c>
      <c r="L2" s="63"/>
      <c r="M2" s="65">
        <f>$B$7*($AK$25-2*$AK$26)</f>
        <v>164.05062667632794</v>
      </c>
      <c r="N2" s="65">
        <f>$B$7*($AK$25+2*$AK$26)</f>
        <v>180.2701812651961</v>
      </c>
      <c r="O2" s="68">
        <f>AVERAGE(M2:N2)</f>
        <v>172.16040397076202</v>
      </c>
      <c r="P2" s="164">
        <f>$O$2/AF14-1</f>
        <v>1.2708258651541238E-2</v>
      </c>
      <c r="Q2" s="165"/>
    </row>
    <row r="3" spans="1:37" x14ac:dyDescent="0.2">
      <c r="A3" s="157"/>
      <c r="B3" s="158"/>
      <c r="C3" s="159"/>
      <c r="K3" s="47" t="s">
        <v>38</v>
      </c>
      <c r="L3" s="20"/>
      <c r="M3" s="67">
        <f>$C$7*($AK$25-2*$AK$26)</f>
        <v>176.4776696120017</v>
      </c>
      <c r="N3" s="67">
        <f>$C$7*($AK$25+2*$AK$26)</f>
        <v>193.92587602230452</v>
      </c>
      <c r="O3" s="69">
        <f>AVERAGE(M3:N3)</f>
        <v>185.20177281715311</v>
      </c>
      <c r="P3" s="166">
        <f>$O$3/AF15-1</f>
        <v>8.9422193042077103E-2</v>
      </c>
      <c r="Q3" s="167"/>
    </row>
    <row r="4" spans="1:37" x14ac:dyDescent="0.2">
      <c r="A4" s="53"/>
      <c r="B4" s="53"/>
      <c r="C4" s="53"/>
      <c r="N4" s="4" t="s">
        <v>40</v>
      </c>
      <c r="O4" s="69">
        <f>AVERAGE(O2:O3)</f>
        <v>178.68108839395757</v>
      </c>
      <c r="P4" s="166">
        <f>$O$4/AF15-1</f>
        <v>5.106522584680917E-2</v>
      </c>
      <c r="Q4" s="167"/>
    </row>
    <row r="5" spans="1:37" x14ac:dyDescent="0.2">
      <c r="A5" s="61" t="s">
        <v>34</v>
      </c>
      <c r="B5" s="51" t="s">
        <v>31</v>
      </c>
      <c r="C5" s="52" t="s">
        <v>32</v>
      </c>
      <c r="D5" s="99"/>
      <c r="E5" s="99"/>
    </row>
    <row r="6" spans="1:37" ht="15.75" x14ac:dyDescent="0.25">
      <c r="A6" s="55" t="s">
        <v>33</v>
      </c>
      <c r="B6" s="59">
        <v>38557.606224738753</v>
      </c>
      <c r="C6" s="60">
        <v>41478.39377526124</v>
      </c>
    </row>
    <row r="7" spans="1:37" ht="14.25" x14ac:dyDescent="0.2">
      <c r="A7" s="56" t="s">
        <v>36</v>
      </c>
      <c r="B7" s="57">
        <f>B6*$AK$24</f>
        <v>670.69668819629271</v>
      </c>
      <c r="C7" s="58">
        <f>C6*$AK$24</f>
        <v>721.50281256102346</v>
      </c>
    </row>
    <row r="8" spans="1:37" x14ac:dyDescent="0.2">
      <c r="F8" s="53"/>
      <c r="G8" s="53"/>
      <c r="H8" s="53"/>
    </row>
    <row r="9" spans="1:37" x14ac:dyDescent="0.2">
      <c r="F9" s="53"/>
      <c r="G9" s="53"/>
      <c r="H9" s="53"/>
    </row>
    <row r="10" spans="1:37" x14ac:dyDescent="0.2">
      <c r="H10" s="150" t="s">
        <v>15</v>
      </c>
      <c r="I10" s="150"/>
      <c r="J10" s="37">
        <f>AVERAGE(F13:AJ13)</f>
        <v>1.1585492885155384</v>
      </c>
      <c r="AG10" s="150" t="s">
        <v>16</v>
      </c>
      <c r="AH10" s="150"/>
      <c r="AI10" s="150"/>
      <c r="AJ10" s="88">
        <f>AVERAGE(AF13:AJ13)</f>
        <v>1.2079579255723523</v>
      </c>
    </row>
    <row r="11" spans="1:37" x14ac:dyDescent="0.2">
      <c r="A11" s="54" t="s">
        <v>6</v>
      </c>
      <c r="B11" s="119">
        <v>2013</v>
      </c>
      <c r="C11" s="120"/>
      <c r="D11" s="120"/>
      <c r="E11" s="121"/>
      <c r="F11" s="137">
        <v>2014</v>
      </c>
      <c r="G11" s="137"/>
      <c r="H11" s="137"/>
      <c r="I11" s="138"/>
      <c r="J11" s="139">
        <v>2015</v>
      </c>
      <c r="K11" s="140"/>
      <c r="L11" s="140"/>
      <c r="M11" s="141"/>
      <c r="N11" s="139">
        <v>2016</v>
      </c>
      <c r="O11" s="140"/>
      <c r="P11" s="140"/>
      <c r="Q11" s="141"/>
      <c r="R11" s="142">
        <v>2017</v>
      </c>
      <c r="S11" s="143"/>
      <c r="T11" s="143"/>
      <c r="U11" s="144"/>
      <c r="V11" s="168">
        <v>2018</v>
      </c>
      <c r="W11" s="169"/>
      <c r="X11" s="169"/>
      <c r="Y11" s="170"/>
      <c r="Z11" s="145">
        <v>2019</v>
      </c>
      <c r="AA11" s="146"/>
      <c r="AB11" s="146"/>
      <c r="AC11" s="147"/>
      <c r="AD11" s="148">
        <v>2020</v>
      </c>
      <c r="AE11" s="137"/>
      <c r="AF11" s="137"/>
      <c r="AG11" s="138"/>
      <c r="AH11" s="139">
        <v>2021</v>
      </c>
      <c r="AI11" s="140"/>
      <c r="AJ11" s="140"/>
      <c r="AK11" s="141"/>
    </row>
    <row r="12" spans="1:37" x14ac:dyDescent="0.2">
      <c r="A12" s="15" t="s">
        <v>19</v>
      </c>
      <c r="B12" s="89" t="s">
        <v>20</v>
      </c>
      <c r="C12" s="90" t="s">
        <v>3</v>
      </c>
      <c r="D12" s="90" t="s">
        <v>4</v>
      </c>
      <c r="E12" s="91" t="s">
        <v>5</v>
      </c>
      <c r="F12" s="21" t="s">
        <v>20</v>
      </c>
      <c r="G12" s="21" t="s">
        <v>3</v>
      </c>
      <c r="H12" s="21" t="s">
        <v>4</v>
      </c>
      <c r="I12" s="21" t="s">
        <v>5</v>
      </c>
      <c r="J12" s="22" t="s">
        <v>20</v>
      </c>
      <c r="K12" s="23" t="s">
        <v>3</v>
      </c>
      <c r="L12" s="23" t="s">
        <v>4</v>
      </c>
      <c r="M12" s="23" t="s">
        <v>5</v>
      </c>
      <c r="N12" s="22" t="s">
        <v>20</v>
      </c>
      <c r="O12" s="23" t="s">
        <v>3</v>
      </c>
      <c r="P12" s="23" t="s">
        <v>4</v>
      </c>
      <c r="Q12" s="23" t="s">
        <v>5</v>
      </c>
      <c r="R12" s="24" t="s">
        <v>20</v>
      </c>
      <c r="S12" s="25" t="s">
        <v>3</v>
      </c>
      <c r="T12" s="25" t="s">
        <v>4</v>
      </c>
      <c r="U12" s="25" t="s">
        <v>5</v>
      </c>
      <c r="V12" s="26" t="s">
        <v>20</v>
      </c>
      <c r="W12" s="27" t="s">
        <v>3</v>
      </c>
      <c r="X12" s="27" t="s">
        <v>4</v>
      </c>
      <c r="Y12" s="27" t="s">
        <v>5</v>
      </c>
      <c r="Z12" s="28" t="s">
        <v>20</v>
      </c>
      <c r="AA12" s="29" t="s">
        <v>3</v>
      </c>
      <c r="AB12" s="29" t="s">
        <v>4</v>
      </c>
      <c r="AC12" s="29" t="s">
        <v>5</v>
      </c>
      <c r="AD12" s="30" t="s">
        <v>20</v>
      </c>
      <c r="AE12" s="21" t="s">
        <v>3</v>
      </c>
      <c r="AF12" s="21" t="s">
        <v>4</v>
      </c>
      <c r="AG12" s="21" t="s">
        <v>5</v>
      </c>
      <c r="AH12" s="39" t="s">
        <v>20</v>
      </c>
      <c r="AI12" s="40" t="s">
        <v>3</v>
      </c>
      <c r="AJ12" s="41" t="s">
        <v>21</v>
      </c>
      <c r="AK12" s="31" t="s">
        <v>22</v>
      </c>
    </row>
    <row r="13" spans="1:37" x14ac:dyDescent="0.2">
      <c r="A13" s="36" t="s">
        <v>2</v>
      </c>
      <c r="B13" s="32"/>
      <c r="C13" s="32"/>
      <c r="D13" s="32"/>
      <c r="E13" s="32"/>
      <c r="F13" s="95"/>
      <c r="G13" s="95"/>
      <c r="H13" s="96"/>
      <c r="I13" s="97"/>
      <c r="J13" s="98">
        <f>J15/F15</f>
        <v>1.1177347242921014</v>
      </c>
      <c r="K13" s="98">
        <f t="shared" ref="K13:AI13" si="0">K15/G15</f>
        <v>1.1549295774647887</v>
      </c>
      <c r="L13" s="98">
        <f t="shared" si="0"/>
        <v>1.2</v>
      </c>
      <c r="M13" s="98">
        <f t="shared" si="0"/>
        <v>1.0714285714285714</v>
      </c>
      <c r="N13" s="98">
        <f t="shared" si="0"/>
        <v>1.1200000000000001</v>
      </c>
      <c r="O13" s="98">
        <f t="shared" si="0"/>
        <v>1.1829268292682926</v>
      </c>
      <c r="P13" s="98">
        <f t="shared" si="0"/>
        <v>1.1777777777777778</v>
      </c>
      <c r="Q13" s="98">
        <f t="shared" si="0"/>
        <v>1.4111111111111112</v>
      </c>
      <c r="R13" s="98">
        <f t="shared" si="0"/>
        <v>1.6190476190476191</v>
      </c>
      <c r="S13" s="98">
        <f t="shared" si="0"/>
        <v>1.6597938144329898</v>
      </c>
      <c r="T13" s="98">
        <f t="shared" si="0"/>
        <v>1.5471698113207548</v>
      </c>
      <c r="U13" s="98">
        <f t="shared" si="0"/>
        <v>1.3779527559055118</v>
      </c>
      <c r="V13" s="98">
        <f t="shared" si="0"/>
        <v>1.2352941176470589</v>
      </c>
      <c r="W13" s="98">
        <f t="shared" si="0"/>
        <v>1.0745341614906831</v>
      </c>
      <c r="X13" s="98">
        <f t="shared" si="0"/>
        <v>1.0487804878048781</v>
      </c>
      <c r="Y13" s="98">
        <f t="shared" si="0"/>
        <v>1.0114285714285713</v>
      </c>
      <c r="Z13" s="98">
        <f t="shared" si="0"/>
        <v>0.90476190476190477</v>
      </c>
      <c r="AA13" s="98">
        <f t="shared" si="0"/>
        <v>0.97109826589595372</v>
      </c>
      <c r="AB13" s="98">
        <f t="shared" si="0"/>
        <v>0.95930232558139539</v>
      </c>
      <c r="AC13" s="98">
        <f t="shared" si="0"/>
        <v>0.98870056497175141</v>
      </c>
      <c r="AD13" s="98">
        <f t="shared" si="0"/>
        <v>0.90131578947368418</v>
      </c>
      <c r="AE13" s="98">
        <f t="shared" si="0"/>
        <v>0.50595238095238093</v>
      </c>
      <c r="AF13" s="98">
        <f t="shared" si="0"/>
        <v>1.0303030303030303</v>
      </c>
      <c r="AG13" s="98">
        <f t="shared" si="0"/>
        <v>0.98285714285714287</v>
      </c>
      <c r="AH13" s="98">
        <f t="shared" si="0"/>
        <v>1.0583941605839415</v>
      </c>
      <c r="AI13" s="98">
        <f t="shared" si="0"/>
        <v>1.9529411764705882</v>
      </c>
      <c r="AJ13" s="98">
        <f>AJ14/AF14</f>
        <v>1.0152941176470587</v>
      </c>
      <c r="AK13" s="33"/>
    </row>
    <row r="14" spans="1:37" x14ac:dyDescent="0.2">
      <c r="A14" s="16" t="s">
        <v>0</v>
      </c>
      <c r="B14" s="8"/>
      <c r="C14" s="8"/>
      <c r="D14" s="8"/>
      <c r="E14" s="8"/>
      <c r="F14" s="8">
        <v>67.099999999999994</v>
      </c>
      <c r="G14" s="8">
        <v>71</v>
      </c>
      <c r="H14" s="8">
        <v>75</v>
      </c>
      <c r="I14" s="8">
        <v>84</v>
      </c>
      <c r="J14" s="10">
        <v>74.900000000000006</v>
      </c>
      <c r="K14" s="6">
        <v>82</v>
      </c>
      <c r="L14" s="6">
        <v>90</v>
      </c>
      <c r="M14" s="6">
        <v>90</v>
      </c>
      <c r="N14" s="10">
        <v>84</v>
      </c>
      <c r="O14" s="6">
        <v>97</v>
      </c>
      <c r="P14" s="6">
        <v>106</v>
      </c>
      <c r="Q14" s="6">
        <v>127</v>
      </c>
      <c r="R14" s="10">
        <v>136</v>
      </c>
      <c r="S14" s="6">
        <v>161</v>
      </c>
      <c r="T14" s="6">
        <v>164</v>
      </c>
      <c r="U14" s="6">
        <v>175</v>
      </c>
      <c r="V14" s="10">
        <v>168.1</v>
      </c>
      <c r="W14" s="6">
        <v>173</v>
      </c>
      <c r="X14" s="6">
        <v>172</v>
      </c>
      <c r="Y14" s="6">
        <v>177</v>
      </c>
      <c r="Z14" s="10">
        <v>152</v>
      </c>
      <c r="AA14" s="6">
        <v>168</v>
      </c>
      <c r="AB14" s="6">
        <v>165</v>
      </c>
      <c r="AC14" s="6">
        <v>175</v>
      </c>
      <c r="AD14" s="10">
        <v>136.9</v>
      </c>
      <c r="AE14" s="6">
        <v>85</v>
      </c>
      <c r="AF14" s="6">
        <v>170</v>
      </c>
      <c r="AG14" s="6">
        <v>172</v>
      </c>
      <c r="AH14" s="6">
        <v>145</v>
      </c>
      <c r="AI14" s="6">
        <v>166</v>
      </c>
      <c r="AJ14" s="6">
        <v>172.6</v>
      </c>
      <c r="AK14" s="6">
        <v>188.7</v>
      </c>
    </row>
    <row r="15" spans="1:37" x14ac:dyDescent="0.2">
      <c r="A15" s="16" t="s">
        <v>1</v>
      </c>
      <c r="B15" s="6"/>
      <c r="C15" s="6"/>
      <c r="D15" s="6"/>
      <c r="E15" s="6"/>
      <c r="F15" s="6">
        <v>67.099999999999994</v>
      </c>
      <c r="G15" s="6">
        <v>71</v>
      </c>
      <c r="H15" s="6">
        <v>75</v>
      </c>
      <c r="I15" s="6">
        <v>84</v>
      </c>
      <c r="J15" s="10">
        <v>75</v>
      </c>
      <c r="K15" s="6">
        <v>82</v>
      </c>
      <c r="L15" s="6">
        <v>90</v>
      </c>
      <c r="M15" s="6">
        <v>90</v>
      </c>
      <c r="N15" s="10">
        <v>84</v>
      </c>
      <c r="O15" s="6">
        <v>97</v>
      </c>
      <c r="P15" s="6">
        <v>106</v>
      </c>
      <c r="Q15" s="6">
        <v>127</v>
      </c>
      <c r="R15" s="10">
        <v>136</v>
      </c>
      <c r="S15" s="6">
        <v>161</v>
      </c>
      <c r="T15" s="6">
        <v>164</v>
      </c>
      <c r="U15" s="6">
        <v>175</v>
      </c>
      <c r="V15" s="10">
        <v>168</v>
      </c>
      <c r="W15" s="6">
        <v>173</v>
      </c>
      <c r="X15" s="6">
        <v>172</v>
      </c>
      <c r="Y15" s="6">
        <v>177</v>
      </c>
      <c r="Z15" s="10">
        <v>152</v>
      </c>
      <c r="AA15" s="6">
        <v>168</v>
      </c>
      <c r="AB15" s="6">
        <v>165</v>
      </c>
      <c r="AC15" s="6">
        <v>175</v>
      </c>
      <c r="AD15" s="10">
        <v>137</v>
      </c>
      <c r="AE15" s="6">
        <v>85</v>
      </c>
      <c r="AF15" s="6">
        <v>170</v>
      </c>
      <c r="AG15" s="6">
        <v>172</v>
      </c>
      <c r="AH15" s="10">
        <v>145</v>
      </c>
      <c r="AI15" s="6">
        <v>166</v>
      </c>
      <c r="AJ15" s="10"/>
      <c r="AK15" s="11"/>
    </row>
    <row r="16" spans="1:37" x14ac:dyDescent="0.2">
      <c r="A16" s="16" t="s">
        <v>158</v>
      </c>
      <c r="B16" s="10"/>
      <c r="C16" s="6"/>
      <c r="D16" s="6"/>
      <c r="E16" s="11"/>
      <c r="F16" s="10">
        <v>4755</v>
      </c>
      <c r="G16" s="6">
        <v>5057</v>
      </c>
      <c r="H16" s="6">
        <v>5079</v>
      </c>
      <c r="I16" s="11">
        <v>5356</v>
      </c>
      <c r="J16" s="10">
        <v>4897</v>
      </c>
      <c r="K16" s="6">
        <v>5170</v>
      </c>
      <c r="L16" s="6">
        <v>5150</v>
      </c>
      <c r="M16" s="11">
        <v>5188</v>
      </c>
      <c r="N16" s="10">
        <v>4885</v>
      </c>
      <c r="O16" s="6">
        <v>5333</v>
      </c>
      <c r="P16" s="6">
        <v>5302</v>
      </c>
      <c r="Q16" s="11">
        <v>5333</v>
      </c>
      <c r="R16" s="10">
        <v>6335</v>
      </c>
      <c r="S16" s="6">
        <v>6637</v>
      </c>
      <c r="T16" s="6">
        <v>6829</v>
      </c>
      <c r="U16" s="11">
        <v>7589</v>
      </c>
      <c r="V16" s="10">
        <v>7390</v>
      </c>
      <c r="W16" s="6">
        <v>7767</v>
      </c>
      <c r="X16" s="6">
        <v>7656</v>
      </c>
      <c r="Y16" s="11">
        <v>7765</v>
      </c>
      <c r="Z16" s="10">
        <v>7535</v>
      </c>
      <c r="AA16" s="6">
        <v>7979</v>
      </c>
      <c r="AB16" s="6">
        <v>8076</v>
      </c>
      <c r="AC16" s="11">
        <v>8314</v>
      </c>
      <c r="AD16" s="10">
        <v>7726</v>
      </c>
      <c r="AE16" s="6">
        <v>7328</v>
      </c>
      <c r="AF16" s="6">
        <v>8853</v>
      </c>
      <c r="AG16" s="11">
        <v>10701</v>
      </c>
      <c r="AH16" s="10">
        <v>10456</v>
      </c>
      <c r="AI16">
        <v>10223</v>
      </c>
      <c r="AJ16" s="92">
        <v>9554.4</v>
      </c>
      <c r="AK16" s="11"/>
    </row>
    <row r="17" spans="1:38" x14ac:dyDescent="0.2">
      <c r="A17" s="100" t="s">
        <v>18</v>
      </c>
      <c r="B17" s="101"/>
      <c r="C17" s="101"/>
      <c r="D17" s="101"/>
      <c r="E17" s="101"/>
      <c r="F17" s="102">
        <f t="shared" ref="F17:L17" si="1">F15/F16</f>
        <v>1.4111461619348054E-2</v>
      </c>
      <c r="G17" s="102">
        <f t="shared" si="1"/>
        <v>1.4039944631204272E-2</v>
      </c>
      <c r="H17" s="102">
        <f t="shared" si="1"/>
        <v>1.4766686355581808E-2</v>
      </c>
      <c r="I17" s="102">
        <f t="shared" si="1"/>
        <v>1.568334578043316E-2</v>
      </c>
      <c r="J17" s="102">
        <f t="shared" si="1"/>
        <v>1.53154992852767E-2</v>
      </c>
      <c r="K17" s="102">
        <f t="shared" si="1"/>
        <v>1.5860735009671181E-2</v>
      </c>
      <c r="L17" s="102">
        <f t="shared" si="1"/>
        <v>1.7475728155339806E-2</v>
      </c>
      <c r="M17" s="102">
        <f t="shared" ref="M17:AA17" si="2">M15/M16</f>
        <v>1.7347725520431765E-2</v>
      </c>
      <c r="N17" s="102">
        <f t="shared" si="2"/>
        <v>1.7195496417604914E-2</v>
      </c>
      <c r="O17" s="102">
        <f>O15/O16</f>
        <v>1.8188636789799362E-2</v>
      </c>
      <c r="P17" s="102">
        <f>P15/P16</f>
        <v>1.9992455677102981E-2</v>
      </c>
      <c r="Q17" s="102">
        <f>Q15/Q16</f>
        <v>2.3813988374273391E-2</v>
      </c>
      <c r="R17" s="102">
        <f>R15/R16</f>
        <v>2.1468034727703235E-2</v>
      </c>
      <c r="S17" s="102">
        <f t="shared" si="2"/>
        <v>2.4257947868012657E-2</v>
      </c>
      <c r="T17" s="102">
        <f t="shared" si="2"/>
        <v>2.4015229169717382E-2</v>
      </c>
      <c r="U17" s="102">
        <f t="shared" si="2"/>
        <v>2.3059691658980103E-2</v>
      </c>
      <c r="V17" s="102">
        <f t="shared" si="2"/>
        <v>2.2733423545331529E-2</v>
      </c>
      <c r="W17" s="102">
        <f t="shared" si="2"/>
        <v>2.2273722157847304E-2</v>
      </c>
      <c r="X17" s="102">
        <f t="shared" si="2"/>
        <v>2.2466039707419019E-2</v>
      </c>
      <c r="Y17" s="102">
        <f t="shared" si="2"/>
        <v>2.2794591113972956E-2</v>
      </c>
      <c r="Z17" s="102">
        <f t="shared" si="2"/>
        <v>2.0172528201725281E-2</v>
      </c>
      <c r="AA17" s="102">
        <f t="shared" si="2"/>
        <v>2.1055270083970422E-2</v>
      </c>
      <c r="AB17" s="102">
        <f t="shared" ref="AB17:AE17" si="3">AB15/AB16</f>
        <v>2.0430906389301635E-2</v>
      </c>
      <c r="AC17" s="102">
        <f t="shared" si="3"/>
        <v>2.1048833293240317E-2</v>
      </c>
      <c r="AD17" s="102">
        <f t="shared" si="3"/>
        <v>1.773233238415739E-2</v>
      </c>
      <c r="AE17" s="102">
        <f t="shared" si="3"/>
        <v>1.1599344978165938E-2</v>
      </c>
      <c r="AF17" s="102">
        <f>AF15/AF16</f>
        <v>1.9202530215746076E-2</v>
      </c>
      <c r="AG17" s="102">
        <f>AG15/AG16</f>
        <v>1.607326418091767E-2</v>
      </c>
      <c r="AH17" s="102">
        <f>AH15/AH16</f>
        <v>1.3867635807192042E-2</v>
      </c>
      <c r="AI17" s="102">
        <f>AI15/AI16</f>
        <v>1.6237894942776093E-2</v>
      </c>
      <c r="AJ17" s="103">
        <f>AJ14/AJ16</f>
        <v>1.8064975299338523E-2</v>
      </c>
      <c r="AK17" s="104"/>
    </row>
    <row r="18" spans="1:38" x14ac:dyDescent="0.2">
      <c r="A18" s="100" t="s">
        <v>24</v>
      </c>
      <c r="B18" s="102"/>
      <c r="C18" s="102"/>
      <c r="D18" s="102"/>
      <c r="E18" s="105"/>
      <c r="F18" s="102">
        <f>F15/SUM(F15:I15)</f>
        <v>0.22584988219454724</v>
      </c>
      <c r="G18" s="102">
        <f>G15/SUM(F15:I15)</f>
        <v>0.23897677549646582</v>
      </c>
      <c r="H18" s="102">
        <f>H15/SUM(F15:I15)</f>
        <v>0.25244025580612589</v>
      </c>
      <c r="I18" s="105">
        <f>I15/SUM(F15:I15)</f>
        <v>0.28273308650286094</v>
      </c>
      <c r="J18" s="102">
        <f>J15/SUM(J15:M15)</f>
        <v>0.22255192878338279</v>
      </c>
      <c r="K18" s="102">
        <f>K15/SUM(J15:M15)</f>
        <v>0.24332344213649851</v>
      </c>
      <c r="L18" s="102">
        <f>L15/SUM(J15:M15)</f>
        <v>0.26706231454005935</v>
      </c>
      <c r="M18" s="105">
        <f>M15/SUM(J15:M15)</f>
        <v>0.26706231454005935</v>
      </c>
      <c r="N18" s="102">
        <f>N15/SUM(N15:Q15)</f>
        <v>0.20289855072463769</v>
      </c>
      <c r="O18" s="102">
        <f>O15/SUM(N15:Q15)</f>
        <v>0.23429951690821257</v>
      </c>
      <c r="P18" s="102">
        <f>P15/SUM(N15:Q15)</f>
        <v>0.2560386473429952</v>
      </c>
      <c r="Q18" s="105">
        <f>Q15/SUM(N15:Q15)</f>
        <v>0.30676328502415456</v>
      </c>
      <c r="R18" s="102">
        <f>R15/SUM(R15:U15)</f>
        <v>0.21383647798742139</v>
      </c>
      <c r="S18" s="102">
        <f>S15/SUM(R15:U15)</f>
        <v>0.25314465408805031</v>
      </c>
      <c r="T18" s="102">
        <f>T15/SUM(R15:U15)</f>
        <v>0.25786163522012578</v>
      </c>
      <c r="U18" s="105">
        <f>U15/SUM(R15:U15)</f>
        <v>0.27515723270440251</v>
      </c>
      <c r="V18" s="102">
        <f>V15/SUM(V15:Y15)</f>
        <v>0.24347826086956523</v>
      </c>
      <c r="W18" s="102">
        <f>W15/SUM(V15:Y15)</f>
        <v>0.25072463768115943</v>
      </c>
      <c r="X18" s="102">
        <f>X15/SUM(V15:Y15)</f>
        <v>0.24927536231884059</v>
      </c>
      <c r="Y18" s="105">
        <f>Y15/SUM(V15:Y15)</f>
        <v>0.2565217391304348</v>
      </c>
      <c r="Z18" s="102">
        <f>Z15/SUM(Z15:AC15)</f>
        <v>0.23030303030303031</v>
      </c>
      <c r="AA18" s="102">
        <f>AA15/SUM(Z15:AC15)</f>
        <v>0.25454545454545452</v>
      </c>
      <c r="AB18" s="102">
        <f>AB15/SUM(Z15:AC15)</f>
        <v>0.25</v>
      </c>
      <c r="AC18" s="105">
        <f>AC15/SUM(Z15:AC15)</f>
        <v>0.26515151515151514</v>
      </c>
      <c r="AD18" s="102"/>
      <c r="AE18" s="102"/>
      <c r="AF18" s="102"/>
      <c r="AG18" s="105"/>
      <c r="AH18" s="102">
        <f>AH15/SUM(AH15:AI15,AJ14:AK14)</f>
        <v>0.21567752491447273</v>
      </c>
      <c r="AI18" s="102">
        <f>AI15/SUM(AH15:AI15,AJ14:AK14)</f>
        <v>0.24691358024691359</v>
      </c>
      <c r="AJ18" s="102">
        <f>AJ14/SUM(AH15:AI15,AJ14:AK14)</f>
        <v>0.25673062620853787</v>
      </c>
      <c r="AK18" s="105">
        <f>AK14/SUM(AH15:AI15,AJ14:AK14)</f>
        <v>0.28067826863007583</v>
      </c>
      <c r="AL18" s="3"/>
    </row>
    <row r="19" spans="1:38" x14ac:dyDescent="0.2">
      <c r="A19" s="17" t="s">
        <v>17</v>
      </c>
      <c r="B19" s="13"/>
      <c r="C19" s="13"/>
      <c r="D19" s="13"/>
      <c r="E19" s="13"/>
      <c r="F19" s="13"/>
      <c r="G19" s="13"/>
      <c r="H19" s="13"/>
      <c r="I19" s="13"/>
      <c r="J19" s="12"/>
      <c r="K19" s="13"/>
      <c r="L19" s="13"/>
      <c r="M19" s="13"/>
      <c r="N19" s="12"/>
      <c r="O19" s="13"/>
      <c r="P19" s="13"/>
      <c r="Q19" s="6">
        <v>104.9</v>
      </c>
      <c r="R19" s="93">
        <v>100.2</v>
      </c>
      <c r="S19" s="93">
        <v>127.8</v>
      </c>
      <c r="T19" s="93">
        <v>152.69999999999999</v>
      </c>
      <c r="U19" s="93">
        <v>176.2</v>
      </c>
      <c r="V19" s="93">
        <v>169</v>
      </c>
      <c r="W19" s="67">
        <v>193.2</v>
      </c>
      <c r="X19" s="67">
        <v>181.4</v>
      </c>
      <c r="Y19" s="67">
        <v>186.4</v>
      </c>
      <c r="Z19" s="93">
        <v>176.9</v>
      </c>
      <c r="AA19" s="67">
        <v>172.4</v>
      </c>
      <c r="AB19" s="67">
        <v>174</v>
      </c>
      <c r="AC19" s="67">
        <v>177.7</v>
      </c>
      <c r="AD19" s="93">
        <v>146.19999999999999</v>
      </c>
      <c r="AE19" s="67">
        <v>57.9</v>
      </c>
      <c r="AF19" s="67">
        <v>135.19999999999999</v>
      </c>
      <c r="AG19" s="67">
        <v>177.6</v>
      </c>
      <c r="AH19" s="93">
        <v>154.1</v>
      </c>
      <c r="AI19" s="67">
        <v>157.80000000000001</v>
      </c>
      <c r="AJ19" s="94"/>
      <c r="AK19" s="14"/>
    </row>
    <row r="20" spans="1:38" x14ac:dyDescent="0.2">
      <c r="M20" s="131" t="s">
        <v>7</v>
      </c>
      <c r="N20" s="149"/>
      <c r="O20" s="7"/>
      <c r="P20" s="8"/>
      <c r="Q20" s="8">
        <f t="shared" ref="Q20:AI20" si="4">IF(Q15&gt;Q19,1,0)</f>
        <v>1</v>
      </c>
      <c r="R20" s="8">
        <f t="shared" si="4"/>
        <v>1</v>
      </c>
      <c r="S20" s="8">
        <f t="shared" si="4"/>
        <v>1</v>
      </c>
      <c r="T20" s="8">
        <f t="shared" si="4"/>
        <v>1</v>
      </c>
      <c r="U20" s="8">
        <f t="shared" si="4"/>
        <v>0</v>
      </c>
      <c r="V20" s="8">
        <f t="shared" si="4"/>
        <v>0</v>
      </c>
      <c r="W20" s="8">
        <f t="shared" si="4"/>
        <v>0</v>
      </c>
      <c r="X20" s="8">
        <f t="shared" si="4"/>
        <v>0</v>
      </c>
      <c r="Y20" s="8">
        <f t="shared" si="4"/>
        <v>0</v>
      </c>
      <c r="Z20" s="8">
        <f t="shared" si="4"/>
        <v>0</v>
      </c>
      <c r="AA20" s="8">
        <f t="shared" si="4"/>
        <v>0</v>
      </c>
      <c r="AB20" s="8">
        <f t="shared" si="4"/>
        <v>0</v>
      </c>
      <c r="AC20" s="8">
        <f t="shared" si="4"/>
        <v>0</v>
      </c>
      <c r="AD20" s="8">
        <f t="shared" si="4"/>
        <v>0</v>
      </c>
      <c r="AE20" s="8">
        <f t="shared" si="4"/>
        <v>1</v>
      </c>
      <c r="AF20" s="8">
        <f t="shared" si="4"/>
        <v>1</v>
      </c>
      <c r="AG20" s="8">
        <f t="shared" si="4"/>
        <v>0</v>
      </c>
      <c r="AH20" s="8">
        <f t="shared" si="4"/>
        <v>0</v>
      </c>
      <c r="AI20" s="9">
        <f t="shared" si="4"/>
        <v>1</v>
      </c>
      <c r="AJ20" s="47" t="s">
        <v>8</v>
      </c>
      <c r="AK20" s="44">
        <f>AVERAGE(O20:AI20)</f>
        <v>0.36842105263157893</v>
      </c>
    </row>
    <row r="21" spans="1:38" x14ac:dyDescent="0.2">
      <c r="M21" s="122" t="s">
        <v>9</v>
      </c>
      <c r="N21" s="123"/>
      <c r="O21" s="10"/>
      <c r="P21" s="6"/>
      <c r="Q21" s="6"/>
      <c r="R21" s="6"/>
      <c r="S21" s="6"/>
      <c r="T21" s="6">
        <f t="shared" ref="T21" si="5">AVERAGE(Q20:T20)</f>
        <v>1</v>
      </c>
      <c r="U21" s="6">
        <f t="shared" ref="U21" si="6">AVERAGE(R20:U20)</f>
        <v>0.75</v>
      </c>
      <c r="V21" s="6">
        <f t="shared" ref="V21:AI21" si="7">AVERAGE(S20:V20)</f>
        <v>0.5</v>
      </c>
      <c r="W21" s="6">
        <f t="shared" si="7"/>
        <v>0.25</v>
      </c>
      <c r="X21" s="6">
        <f t="shared" si="7"/>
        <v>0</v>
      </c>
      <c r="Y21" s="6">
        <f t="shared" si="7"/>
        <v>0</v>
      </c>
      <c r="Z21" s="6">
        <f t="shared" si="7"/>
        <v>0</v>
      </c>
      <c r="AA21" s="6">
        <f t="shared" si="7"/>
        <v>0</v>
      </c>
      <c r="AB21" s="6">
        <f t="shared" si="7"/>
        <v>0</v>
      </c>
      <c r="AC21" s="6">
        <f t="shared" si="7"/>
        <v>0</v>
      </c>
      <c r="AD21" s="6">
        <f t="shared" si="7"/>
        <v>0</v>
      </c>
      <c r="AE21" s="6">
        <f t="shared" si="7"/>
        <v>0.25</v>
      </c>
      <c r="AF21" s="6">
        <f t="shared" si="7"/>
        <v>0.5</v>
      </c>
      <c r="AG21" s="6">
        <f t="shared" si="7"/>
        <v>0.5</v>
      </c>
      <c r="AH21" s="6">
        <f>AVERAGE(AE20:AH20)</f>
        <v>0.5</v>
      </c>
      <c r="AI21" s="11">
        <f t="shared" si="7"/>
        <v>0.5</v>
      </c>
      <c r="AJ21" s="43" t="s">
        <v>10</v>
      </c>
      <c r="AK21" s="44">
        <f>AVERAGE(R21:AI21)</f>
        <v>0.296875</v>
      </c>
    </row>
    <row r="22" spans="1:38" x14ac:dyDescent="0.2">
      <c r="M22" s="135" t="s">
        <v>11</v>
      </c>
      <c r="N22" s="136"/>
      <c r="O22" s="48"/>
      <c r="P22" s="19"/>
      <c r="Q22" s="19">
        <f t="shared" ref="Q22:AI22" si="8">Q15/Q19-1</f>
        <v>0.21067683508102952</v>
      </c>
      <c r="R22" s="19">
        <f t="shared" si="8"/>
        <v>0.35728542914171646</v>
      </c>
      <c r="S22" s="19">
        <f t="shared" si="8"/>
        <v>0.25978090766823159</v>
      </c>
      <c r="T22" s="19">
        <f t="shared" si="8"/>
        <v>7.4001309757694811E-2</v>
      </c>
      <c r="U22" s="19">
        <f t="shared" si="8"/>
        <v>-6.8104426787740646E-3</v>
      </c>
      <c r="V22" s="19">
        <f t="shared" si="8"/>
        <v>-5.9171597633136397E-3</v>
      </c>
      <c r="W22" s="19">
        <f t="shared" si="8"/>
        <v>-0.1045548654244306</v>
      </c>
      <c r="X22" s="19">
        <f t="shared" si="8"/>
        <v>-5.1819184123484074E-2</v>
      </c>
      <c r="Y22" s="19">
        <f t="shared" si="8"/>
        <v>-5.0429184549356298E-2</v>
      </c>
      <c r="Z22" s="19">
        <f t="shared" si="8"/>
        <v>-0.14075749010740535</v>
      </c>
      <c r="AA22" s="19">
        <f t="shared" si="8"/>
        <v>-2.5522041763341052E-2</v>
      </c>
      <c r="AB22" s="19">
        <f t="shared" si="8"/>
        <v>-5.1724137931034475E-2</v>
      </c>
      <c r="AC22" s="19">
        <f t="shared" si="8"/>
        <v>-1.5194147439504757E-2</v>
      </c>
      <c r="AD22" s="19">
        <f t="shared" si="8"/>
        <v>-6.2927496580027276E-2</v>
      </c>
      <c r="AE22" s="19">
        <f t="shared" si="8"/>
        <v>0.46804835924006905</v>
      </c>
      <c r="AF22" s="19">
        <f t="shared" si="8"/>
        <v>0.25739644970414211</v>
      </c>
      <c r="AG22" s="19">
        <f t="shared" si="8"/>
        <v>-3.1531531531531543E-2</v>
      </c>
      <c r="AH22" s="19">
        <f t="shared" si="8"/>
        <v>-5.9052563270603486E-2</v>
      </c>
      <c r="AI22" s="42">
        <f t="shared" si="8"/>
        <v>5.1964512040557631E-2</v>
      </c>
      <c r="AJ22" s="43" t="s">
        <v>13</v>
      </c>
      <c r="AK22" s="45">
        <f>MEDIAN(O22:AI22)</f>
        <v>-1.5194147439504757E-2</v>
      </c>
    </row>
    <row r="23" spans="1:38" x14ac:dyDescent="0.2">
      <c r="M23" s="122" t="s">
        <v>12</v>
      </c>
      <c r="N23" s="123"/>
      <c r="O23" s="12"/>
      <c r="P23" s="13"/>
      <c r="Q23" s="13"/>
      <c r="R23" s="34"/>
      <c r="S23" s="34"/>
      <c r="T23" s="34">
        <f t="shared" ref="T23" si="9">AVERAGE(Q22:T22)</f>
        <v>0.2254361204121681</v>
      </c>
      <c r="U23" s="34">
        <f t="shared" ref="U23" si="10">AVERAGE(R22:U22)</f>
        <v>0.1710643009722172</v>
      </c>
      <c r="V23" s="34">
        <f t="shared" ref="V23:AI23" si="11">AVERAGE(S22:V22)</f>
        <v>8.0263653745959673E-2</v>
      </c>
      <c r="W23" s="34">
        <f t="shared" si="11"/>
        <v>-1.0820289527205873E-2</v>
      </c>
      <c r="X23" s="34">
        <f t="shared" si="11"/>
        <v>-4.2275412997500594E-2</v>
      </c>
      <c r="Y23" s="34">
        <f t="shared" si="11"/>
        <v>-5.3180098465146153E-2</v>
      </c>
      <c r="Z23" s="34">
        <f t="shared" si="11"/>
        <v>-8.689018105116908E-2</v>
      </c>
      <c r="AA23" s="34">
        <f t="shared" si="11"/>
        <v>-6.7131975135896693E-2</v>
      </c>
      <c r="AB23" s="34">
        <f t="shared" si="11"/>
        <v>-6.7108213587784293E-2</v>
      </c>
      <c r="AC23" s="34">
        <f t="shared" si="11"/>
        <v>-5.8299454310321408E-2</v>
      </c>
      <c r="AD23" s="34">
        <f t="shared" si="11"/>
        <v>-3.884195592847689E-2</v>
      </c>
      <c r="AE23" s="34">
        <f t="shared" si="11"/>
        <v>8.4550644322375634E-2</v>
      </c>
      <c r="AF23" s="34">
        <f t="shared" si="11"/>
        <v>0.16183079123116978</v>
      </c>
      <c r="AG23" s="34">
        <f t="shared" si="11"/>
        <v>0.15774644520816308</v>
      </c>
      <c r="AH23" s="34">
        <f t="shared" si="11"/>
        <v>0.15871517853551903</v>
      </c>
      <c r="AI23" s="35">
        <f t="shared" si="11"/>
        <v>5.4694216735641177E-2</v>
      </c>
      <c r="AJ23" s="20" t="s">
        <v>14</v>
      </c>
      <c r="AK23" s="35">
        <f>MEDIAN(O23:AI23)</f>
        <v>2.1936963604217652E-2</v>
      </c>
    </row>
    <row r="24" spans="1:38" x14ac:dyDescent="0.2">
      <c r="M24" s="131" t="s">
        <v>25</v>
      </c>
      <c r="N24" s="132"/>
      <c r="O24" s="79">
        <f>AVERAGE(Q22:T22,AE22:AF22,AI22)</f>
        <v>0.23987911466192016</v>
      </c>
      <c r="P24" s="131" t="s">
        <v>29</v>
      </c>
      <c r="Q24" s="132"/>
      <c r="R24" s="49">
        <f>MEDIAN(Q22:T22,AE22:AF22,AI22)</f>
        <v>0.25739644970414211</v>
      </c>
      <c r="AF24" s="3"/>
      <c r="AG24" s="124" t="s">
        <v>23</v>
      </c>
      <c r="AH24" s="125"/>
      <c r="AI24" s="125"/>
      <c r="AJ24" s="126"/>
      <c r="AK24" s="46">
        <f>AVERAGE(AI17:AJ17,AF17:AG17)</f>
        <v>1.739466615969459E-2</v>
      </c>
    </row>
    <row r="25" spans="1:38" x14ac:dyDescent="0.2">
      <c r="M25" s="133" t="s">
        <v>26</v>
      </c>
      <c r="N25" s="134"/>
      <c r="O25" s="35">
        <f>AVERAGE(U22:AD22,AG22:AH22)</f>
        <v>-5.0520020430233882E-2</v>
      </c>
      <c r="P25" s="133" t="s">
        <v>30</v>
      </c>
      <c r="Q25" s="134"/>
      <c r="R25" s="35">
        <f>MEDIAN(U22:AD22,AG22:AH22)</f>
        <v>-5.1076661240195387E-2</v>
      </c>
      <c r="AG25" s="127" t="s">
        <v>27</v>
      </c>
      <c r="AH25" s="128"/>
      <c r="AI25" s="128"/>
      <c r="AJ25" s="128"/>
      <c r="AK25" s="49">
        <f>AVERAGE(AJ18,AB18,T18,P18,L18,H18)</f>
        <v>0.25668891318630732</v>
      </c>
    </row>
    <row r="26" spans="1:38" x14ac:dyDescent="0.2">
      <c r="AG26" s="129" t="s">
        <v>28</v>
      </c>
      <c r="AH26" s="130"/>
      <c r="AI26" s="130"/>
      <c r="AJ26" s="130"/>
      <c r="AK26" s="50">
        <f>_xlfn.STDEV.S(AJ18,AB18,T18,X18,P18,H18,L18)</f>
        <v>6.0457859992150411E-3</v>
      </c>
    </row>
    <row r="29" spans="1:38" ht="18" customHeight="1" x14ac:dyDescent="0.2"/>
  </sheetData>
  <mergeCells count="28">
    <mergeCell ref="M21:N21"/>
    <mergeCell ref="V11:Y11"/>
    <mergeCell ref="M24:N24"/>
    <mergeCell ref="M25:N25"/>
    <mergeCell ref="H10:I10"/>
    <mergeCell ref="AG10:AI10"/>
    <mergeCell ref="A1:C3"/>
    <mergeCell ref="K1:L1"/>
    <mergeCell ref="P1:Q1"/>
    <mergeCell ref="P2:Q2"/>
    <mergeCell ref="P3:Q3"/>
    <mergeCell ref="P4:Q4"/>
    <mergeCell ref="B11:E11"/>
    <mergeCell ref="M23:N23"/>
    <mergeCell ref="AG24:AJ24"/>
    <mergeCell ref="AG25:AJ25"/>
    <mergeCell ref="AG26:AJ26"/>
    <mergeCell ref="P24:Q24"/>
    <mergeCell ref="P25:Q25"/>
    <mergeCell ref="M22:N22"/>
    <mergeCell ref="F11:I11"/>
    <mergeCell ref="J11:M11"/>
    <mergeCell ref="N11:Q11"/>
    <mergeCell ref="R11:U11"/>
    <mergeCell ref="Z11:AC11"/>
    <mergeCell ref="AD11:AG11"/>
    <mergeCell ref="AH11:AK11"/>
    <mergeCell ref="M20:N20"/>
  </mergeCells>
  <conditionalFormatting sqref="O20:AI20 AK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1:AI21 AK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2:AI2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R23:AI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AK22:AK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K20:AK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K20:AK21 AK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O22:AI22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R23:AI23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AK22:AK23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 AK24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U44"/>
  <sheetViews>
    <sheetView zoomScale="85" zoomScaleNormal="85" workbookViewId="0">
      <selection activeCell="S23" sqref="S23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8" bestFit="1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80</v>
      </c>
      <c r="B1" t="s">
        <v>81</v>
      </c>
    </row>
    <row r="4" spans="1:21" x14ac:dyDescent="0.2">
      <c r="A4" s="173" t="s">
        <v>76</v>
      </c>
      <c r="B4" s="173"/>
      <c r="T4" s="76" t="s">
        <v>166</v>
      </c>
    </row>
    <row r="5" spans="1:21" x14ac:dyDescent="0.2">
      <c r="A5" s="18" t="s">
        <v>56</v>
      </c>
      <c r="B5" s="18" t="s">
        <v>57</v>
      </c>
      <c r="C5" s="18" t="s">
        <v>68</v>
      </c>
      <c r="D5" s="18" t="s">
        <v>58</v>
      </c>
      <c r="E5" s="18" t="s">
        <v>59</v>
      </c>
      <c r="F5" s="18" t="s">
        <v>69</v>
      </c>
      <c r="G5" s="18" t="s">
        <v>60</v>
      </c>
      <c r="H5" s="18" t="s">
        <v>61</v>
      </c>
      <c r="I5" s="18" t="s">
        <v>70</v>
      </c>
      <c r="J5" s="18" t="s">
        <v>62</v>
      </c>
      <c r="K5" s="18" t="s">
        <v>63</v>
      </c>
      <c r="L5" s="18" t="s">
        <v>73</v>
      </c>
      <c r="M5" s="18" t="s">
        <v>64</v>
      </c>
      <c r="N5" s="18" t="s">
        <v>65</v>
      </c>
      <c r="O5" s="18" t="s">
        <v>74</v>
      </c>
      <c r="P5" s="18" t="s">
        <v>66</v>
      </c>
      <c r="Q5" s="18" t="s">
        <v>67</v>
      </c>
      <c r="R5" s="18" t="s">
        <v>0</v>
      </c>
      <c r="S5" s="18" t="s">
        <v>72</v>
      </c>
      <c r="T5" s="38" t="s">
        <v>0</v>
      </c>
      <c r="U5" s="38" t="s">
        <v>72</v>
      </c>
    </row>
    <row r="6" spans="1:21" x14ac:dyDescent="0.2">
      <c r="A6" t="s">
        <v>168</v>
      </c>
      <c r="B6" t="s">
        <v>173</v>
      </c>
      <c r="C6" s="6" t="s">
        <v>169</v>
      </c>
      <c r="D6" s="6">
        <v>20180118</v>
      </c>
      <c r="E6" s="108">
        <v>160.454602599</v>
      </c>
      <c r="F6" s="108">
        <v>157.30013476222501</v>
      </c>
      <c r="G6" s="109">
        <v>131.97600763230281</v>
      </c>
      <c r="H6" s="108">
        <v>155.493807129</v>
      </c>
      <c r="I6" s="108">
        <v>88.135262426553822</v>
      </c>
      <c r="J6" s="108">
        <f>AVERAGE(E6:H6)</f>
        <v>151.30613803063196</v>
      </c>
      <c r="K6" s="108"/>
      <c r="L6" s="108"/>
      <c r="M6" s="108"/>
      <c r="N6" s="108"/>
      <c r="O6" s="108"/>
      <c r="P6" s="108"/>
      <c r="Q6" s="108"/>
      <c r="R6" s="6">
        <v>176.2</v>
      </c>
      <c r="S6" s="65">
        <v>175</v>
      </c>
      <c r="T6" s="107"/>
      <c r="U6" s="106"/>
    </row>
    <row r="7" spans="1:21" x14ac:dyDescent="0.2">
      <c r="A7" t="s">
        <v>168</v>
      </c>
      <c r="B7" t="s">
        <v>173</v>
      </c>
      <c r="C7" s="6" t="s">
        <v>42</v>
      </c>
      <c r="D7" s="6">
        <v>20180412</v>
      </c>
      <c r="E7" s="108">
        <v>170.42765700000001</v>
      </c>
      <c r="F7" s="108">
        <v>173.35441499999999</v>
      </c>
      <c r="G7" s="109">
        <v>110.016711</v>
      </c>
      <c r="H7" s="108">
        <v>165.167382</v>
      </c>
      <c r="I7" s="108">
        <v>91.080222000000006</v>
      </c>
      <c r="J7" s="108">
        <f t="shared" ref="J7:J21" si="0">AVERAGE(E7:H7)</f>
        <v>154.74154124999998</v>
      </c>
      <c r="K7" s="108">
        <v>185.87712344741351</v>
      </c>
      <c r="L7" s="108">
        <v>192.86075419361504</v>
      </c>
      <c r="M7" s="108">
        <v>145.88200363387566</v>
      </c>
      <c r="N7" s="108">
        <v>185.88709340700987</v>
      </c>
      <c r="O7" s="108">
        <v>180.84746571535493</v>
      </c>
      <c r="P7" s="108">
        <v>178.97337194124731</v>
      </c>
      <c r="Q7" s="108">
        <v>178.38796872308603</v>
      </c>
      <c r="R7" s="6">
        <v>169</v>
      </c>
      <c r="S7" s="65">
        <v>168</v>
      </c>
      <c r="T7" s="10"/>
      <c r="U7" s="65"/>
    </row>
    <row r="8" spans="1:21" x14ac:dyDescent="0.2">
      <c r="A8" t="s">
        <v>168</v>
      </c>
      <c r="B8" t="s">
        <v>173</v>
      </c>
      <c r="C8" s="6" t="s">
        <v>43</v>
      </c>
      <c r="D8" s="6">
        <v>20180712</v>
      </c>
      <c r="E8" s="108">
        <v>178.438996</v>
      </c>
      <c r="F8" s="108">
        <v>181.617389</v>
      </c>
      <c r="G8" s="109">
        <v>164.32276100000001</v>
      </c>
      <c r="H8" s="108">
        <v>151.73448400000001</v>
      </c>
      <c r="I8" s="108">
        <v>82.684488999999999</v>
      </c>
      <c r="J8" s="108">
        <f t="shared" si="0"/>
        <v>169.02840750000001</v>
      </c>
      <c r="K8" s="108">
        <v>175.89722147033916</v>
      </c>
      <c r="L8" s="108">
        <v>176.00775470298814</v>
      </c>
      <c r="M8" s="108">
        <v>250.92755088815554</v>
      </c>
      <c r="N8" s="108">
        <v>154.33672801086115</v>
      </c>
      <c r="O8" s="108">
        <v>152.51383721923733</v>
      </c>
      <c r="P8" s="108">
        <v>183.51098373850536</v>
      </c>
      <c r="Q8" s="108">
        <v>182.19901267168112</v>
      </c>
      <c r="R8" s="6">
        <v>193.2</v>
      </c>
      <c r="S8" s="65">
        <v>173</v>
      </c>
      <c r="T8" s="10"/>
      <c r="U8" s="65"/>
    </row>
    <row r="9" spans="1:21" x14ac:dyDescent="0.2">
      <c r="A9" t="s">
        <v>168</v>
      </c>
      <c r="B9" t="s">
        <v>173</v>
      </c>
      <c r="C9" s="6" t="s">
        <v>44</v>
      </c>
      <c r="D9" s="6">
        <v>20181011</v>
      </c>
      <c r="E9" s="108">
        <v>180.599377</v>
      </c>
      <c r="F9" s="108">
        <v>184.103262</v>
      </c>
      <c r="G9" s="109">
        <v>152.411224</v>
      </c>
      <c r="H9" s="108">
        <v>160.701144</v>
      </c>
      <c r="I9" s="108">
        <v>82.973411999999996</v>
      </c>
      <c r="J9" s="108">
        <f t="shared" si="0"/>
        <v>169.45375175000001</v>
      </c>
      <c r="K9" s="108">
        <v>175.09453046350922</v>
      </c>
      <c r="L9" s="108">
        <v>175.36792320034951</v>
      </c>
      <c r="M9" s="108">
        <v>160.45946155931495</v>
      </c>
      <c r="N9" s="108">
        <v>183.22333314818533</v>
      </c>
      <c r="O9" s="108">
        <v>173.60451095005257</v>
      </c>
      <c r="P9" s="108">
        <v>173.43533839274917</v>
      </c>
      <c r="Q9" s="108">
        <v>173.53084961902678</v>
      </c>
      <c r="R9" s="6">
        <v>181.4</v>
      </c>
      <c r="S9" s="65">
        <v>172</v>
      </c>
      <c r="T9" s="10"/>
      <c r="U9" s="65"/>
    </row>
    <row r="10" spans="1:21" x14ac:dyDescent="0.2">
      <c r="A10" t="s">
        <v>168</v>
      </c>
      <c r="B10" t="s">
        <v>173</v>
      </c>
      <c r="C10" s="6" t="s">
        <v>45</v>
      </c>
      <c r="D10" s="6">
        <v>20190117</v>
      </c>
      <c r="E10" s="108">
        <v>189.60473099999999</v>
      </c>
      <c r="F10" s="108">
        <v>187.99573000000001</v>
      </c>
      <c r="G10" s="109">
        <v>164.90634700000001</v>
      </c>
      <c r="H10" s="108">
        <v>182.44084799999999</v>
      </c>
      <c r="I10" s="108">
        <v>94.074775000000002</v>
      </c>
      <c r="J10" s="108">
        <f t="shared" si="0"/>
        <v>181.23691399999998</v>
      </c>
      <c r="K10" s="108">
        <v>180.5765572048457</v>
      </c>
      <c r="L10" s="108">
        <v>175.63657052420939</v>
      </c>
      <c r="M10" s="108">
        <v>186.10106880317426</v>
      </c>
      <c r="N10" s="108">
        <v>195.26821698294816</v>
      </c>
      <c r="O10" s="108">
        <v>195.01260596587255</v>
      </c>
      <c r="P10" s="108">
        <v>183.96021856152262</v>
      </c>
      <c r="Q10" s="108">
        <v>186.0925396737621</v>
      </c>
      <c r="R10" s="6">
        <v>186.4</v>
      </c>
      <c r="S10" s="65">
        <v>177</v>
      </c>
      <c r="T10" s="10"/>
      <c r="U10" s="65"/>
    </row>
    <row r="11" spans="1:21" x14ac:dyDescent="0.2">
      <c r="A11" t="s">
        <v>168</v>
      </c>
      <c r="B11" t="s">
        <v>173</v>
      </c>
      <c r="C11" s="6" t="s">
        <v>46</v>
      </c>
      <c r="D11" s="6">
        <v>20190411</v>
      </c>
      <c r="E11" s="108">
        <v>182.62686400000001</v>
      </c>
      <c r="F11" s="108">
        <v>182.950658</v>
      </c>
      <c r="G11" s="109">
        <v>163.219829</v>
      </c>
      <c r="H11" s="108">
        <v>161.008261</v>
      </c>
      <c r="I11" s="108">
        <v>87.562658999999996</v>
      </c>
      <c r="J11" s="108">
        <f t="shared" si="0"/>
        <v>172.45140300000003</v>
      </c>
      <c r="K11" s="108">
        <v>170.48601454992178</v>
      </c>
      <c r="L11" s="108">
        <v>172.25001049757884</v>
      </c>
      <c r="M11" s="108">
        <v>175.18979868615972</v>
      </c>
      <c r="N11" s="108">
        <v>156.20658700840946</v>
      </c>
      <c r="O11" s="108">
        <v>164.74757067449804</v>
      </c>
      <c r="P11" s="108">
        <v>168.41987461229894</v>
      </c>
      <c r="Q11" s="108">
        <v>167.88330933814444</v>
      </c>
      <c r="R11" s="6">
        <v>176.9</v>
      </c>
      <c r="S11" s="65">
        <v>152</v>
      </c>
      <c r="T11" s="10"/>
      <c r="U11" s="65"/>
    </row>
    <row r="12" spans="1:21" x14ac:dyDescent="0.2">
      <c r="A12" t="s">
        <v>168</v>
      </c>
      <c r="B12" t="s">
        <v>173</v>
      </c>
      <c r="C12" s="6" t="s">
        <v>47</v>
      </c>
      <c r="D12" s="6">
        <v>20190711</v>
      </c>
      <c r="E12" s="108">
        <v>160.07474400000001</v>
      </c>
      <c r="F12" s="108">
        <v>154.20961800000001</v>
      </c>
      <c r="G12" s="109">
        <v>164.218695</v>
      </c>
      <c r="H12" s="108">
        <v>151.06073000000001</v>
      </c>
      <c r="I12" s="108">
        <v>79.823143999999999</v>
      </c>
      <c r="J12" s="108">
        <f t="shared" si="0"/>
        <v>157.39094675000001</v>
      </c>
      <c r="K12" s="108">
        <v>133.22991237477527</v>
      </c>
      <c r="L12" s="108">
        <v>128.1212223680551</v>
      </c>
      <c r="M12" s="108">
        <v>152.93020335170183</v>
      </c>
      <c r="N12" s="108">
        <v>142.60902401771796</v>
      </c>
      <c r="O12" s="108">
        <v>138.56497765788498</v>
      </c>
      <c r="P12" s="108">
        <v>138.72559741366672</v>
      </c>
      <c r="Q12" s="108">
        <v>139.03015619730033</v>
      </c>
      <c r="R12" s="6">
        <v>172.4</v>
      </c>
      <c r="S12" s="65">
        <v>168</v>
      </c>
      <c r="T12" s="10"/>
      <c r="U12" s="65"/>
    </row>
    <row r="13" spans="1:21" x14ac:dyDescent="0.2">
      <c r="A13" t="s">
        <v>168</v>
      </c>
      <c r="B13" t="s">
        <v>173</v>
      </c>
      <c r="C13" s="6" t="s">
        <v>48</v>
      </c>
      <c r="D13" s="6">
        <v>20191010</v>
      </c>
      <c r="E13" s="108">
        <v>145.79185799999999</v>
      </c>
      <c r="F13" s="108">
        <v>152.614161</v>
      </c>
      <c r="G13" s="109">
        <v>144.02147600000001</v>
      </c>
      <c r="H13" s="108">
        <v>138.39424600000001</v>
      </c>
      <c r="I13" s="108">
        <v>69.653312</v>
      </c>
      <c r="J13" s="108">
        <f t="shared" si="0"/>
        <v>145.20543524999999</v>
      </c>
      <c r="K13" s="108">
        <v>153.00997229144403</v>
      </c>
      <c r="L13" s="108">
        <v>166.26186732399532</v>
      </c>
      <c r="M13" s="108">
        <v>147.33771917990217</v>
      </c>
      <c r="N13" s="108">
        <v>153.91315352441364</v>
      </c>
      <c r="O13" s="108">
        <v>146.59603505469542</v>
      </c>
      <c r="P13" s="108">
        <v>154.99311507890141</v>
      </c>
      <c r="Q13" s="108">
        <v>153.68531040889198</v>
      </c>
      <c r="R13" s="6">
        <v>174</v>
      </c>
      <c r="S13" s="65">
        <v>165</v>
      </c>
      <c r="T13" s="10"/>
      <c r="U13" s="65"/>
    </row>
    <row r="14" spans="1:21" x14ac:dyDescent="0.2">
      <c r="A14" t="s">
        <v>168</v>
      </c>
      <c r="B14" t="s">
        <v>173</v>
      </c>
      <c r="C14" s="6" t="s">
        <v>49</v>
      </c>
      <c r="D14" s="6">
        <v>20200116</v>
      </c>
      <c r="E14" s="108">
        <v>154.42953499999999</v>
      </c>
      <c r="F14" s="108">
        <v>146.37216000000001</v>
      </c>
      <c r="G14" s="109">
        <v>160.045671</v>
      </c>
      <c r="H14" s="108">
        <v>154.388004</v>
      </c>
      <c r="I14" s="108">
        <v>75.654515000000004</v>
      </c>
      <c r="J14" s="108">
        <f t="shared" si="0"/>
        <v>153.8088425</v>
      </c>
      <c r="K14" s="108">
        <v>174.77569477851088</v>
      </c>
      <c r="L14" s="108">
        <v>158.25141154496143</v>
      </c>
      <c r="M14" s="108">
        <v>183.35831883156092</v>
      </c>
      <c r="N14" s="108">
        <v>184.06849559337891</v>
      </c>
      <c r="O14" s="108">
        <v>179.21610066438768</v>
      </c>
      <c r="P14" s="108">
        <v>174.77623319544441</v>
      </c>
      <c r="Q14" s="108">
        <v>175.74104243470734</v>
      </c>
      <c r="R14" s="6">
        <v>177.7</v>
      </c>
      <c r="S14" s="65">
        <v>175</v>
      </c>
      <c r="T14" s="10"/>
      <c r="U14" s="65"/>
    </row>
    <row r="15" spans="1:21" x14ac:dyDescent="0.2">
      <c r="A15" t="s">
        <v>168</v>
      </c>
      <c r="B15" t="s">
        <v>173</v>
      </c>
      <c r="C15" s="6" t="s">
        <v>50</v>
      </c>
      <c r="D15" s="6">
        <v>20200409</v>
      </c>
      <c r="E15" s="108">
        <v>177.622986</v>
      </c>
      <c r="F15" s="108">
        <v>170.65172000000001</v>
      </c>
      <c r="G15" s="109">
        <v>150.31769399999999</v>
      </c>
      <c r="H15" s="108">
        <v>166.142618</v>
      </c>
      <c r="I15" s="108">
        <v>80.149479999999997</v>
      </c>
      <c r="J15" s="108">
        <f t="shared" si="0"/>
        <v>166.18375449999999</v>
      </c>
      <c r="K15" s="108">
        <v>201.2828863986413</v>
      </c>
      <c r="L15" s="108">
        <v>204.02821820761545</v>
      </c>
      <c r="M15" s="108">
        <v>164.36306140389138</v>
      </c>
      <c r="N15" s="108">
        <v>188.32394614027135</v>
      </c>
      <c r="O15" s="108">
        <v>185.39751394877095</v>
      </c>
      <c r="P15" s="108">
        <v>189.07987710459494</v>
      </c>
      <c r="Q15" s="108">
        <v>188.74591720063088</v>
      </c>
      <c r="R15" s="6">
        <v>146.19999999999999</v>
      </c>
      <c r="S15" s="65">
        <v>137</v>
      </c>
      <c r="T15" s="10"/>
      <c r="U15" s="65"/>
    </row>
    <row r="16" spans="1:21" x14ac:dyDescent="0.2">
      <c r="A16" t="s">
        <v>168</v>
      </c>
      <c r="B16" t="s">
        <v>173</v>
      </c>
      <c r="C16" s="6" t="s">
        <v>51</v>
      </c>
      <c r="D16" s="6">
        <v>20200709</v>
      </c>
      <c r="E16" s="108">
        <v>106.846262</v>
      </c>
      <c r="F16" s="108">
        <v>106.807371</v>
      </c>
      <c r="G16" s="109">
        <v>55.557215999999997</v>
      </c>
      <c r="H16" s="108">
        <v>108.70998</v>
      </c>
      <c r="I16" s="108">
        <v>53.951062999999998</v>
      </c>
      <c r="J16" s="108">
        <f>AVERAGE(E16:H16)</f>
        <v>94.480207250000007</v>
      </c>
      <c r="K16" s="108">
        <v>82.410155485169028</v>
      </c>
      <c r="L16" s="108">
        <v>85.745457631484754</v>
      </c>
      <c r="M16" s="108">
        <v>50.635014345017829</v>
      </c>
      <c r="N16" s="108">
        <v>89.641462493386257</v>
      </c>
      <c r="O16" s="108">
        <v>92.21888440199487</v>
      </c>
      <c r="P16" s="108">
        <v>77.888409924268515</v>
      </c>
      <c r="Q16" s="108">
        <v>79.756564046886879</v>
      </c>
      <c r="R16" s="6">
        <v>57.9</v>
      </c>
      <c r="S16" s="65">
        <v>85</v>
      </c>
      <c r="T16" s="10"/>
      <c r="U16" s="65"/>
    </row>
    <row r="17" spans="1:21" x14ac:dyDescent="0.2">
      <c r="A17" t="s">
        <v>168</v>
      </c>
      <c r="B17" t="s">
        <v>173</v>
      </c>
      <c r="C17" s="6" t="s">
        <v>52</v>
      </c>
      <c r="D17" s="6">
        <v>20201015</v>
      </c>
      <c r="E17" s="108">
        <v>120.788972</v>
      </c>
      <c r="F17" s="108">
        <v>130.74257399999999</v>
      </c>
      <c r="G17" s="109">
        <v>159.417202</v>
      </c>
      <c r="H17" s="108">
        <v>117.048473</v>
      </c>
      <c r="I17" s="108">
        <v>58.460445999999997</v>
      </c>
      <c r="J17" s="108">
        <f>AVERAGE(E17:H17)</f>
        <v>131.99930525000002</v>
      </c>
      <c r="K17" s="108">
        <v>96.091921493706536</v>
      </c>
      <c r="L17" s="108">
        <v>104.04823829995777</v>
      </c>
      <c r="M17" s="108">
        <v>243.9010293460349</v>
      </c>
      <c r="N17" s="108">
        <v>91.519842106492888</v>
      </c>
      <c r="O17" s="108">
        <v>92.104541295136301</v>
      </c>
      <c r="P17" s="108">
        <v>118.7544065876295</v>
      </c>
      <c r="Q17" s="108">
        <v>124.40332985482632</v>
      </c>
      <c r="R17" s="6">
        <v>135.19999999999999</v>
      </c>
      <c r="S17" s="65">
        <v>170</v>
      </c>
      <c r="T17" s="10"/>
      <c r="U17" s="65"/>
    </row>
    <row r="18" spans="1:21" x14ac:dyDescent="0.2">
      <c r="A18" t="s">
        <v>168</v>
      </c>
      <c r="B18" t="s">
        <v>173</v>
      </c>
      <c r="C18" s="6" t="s">
        <v>53</v>
      </c>
      <c r="D18" s="6">
        <v>20210121</v>
      </c>
      <c r="E18" s="108">
        <v>139.29156900000001</v>
      </c>
      <c r="F18" s="108">
        <v>137.83107000000001</v>
      </c>
      <c r="G18" s="109">
        <v>159.345493</v>
      </c>
      <c r="H18" s="108">
        <v>131.23392000000001</v>
      </c>
      <c r="I18" s="108">
        <v>59.200541999999999</v>
      </c>
      <c r="J18" s="108">
        <f>AVERAGE(E18:H18)</f>
        <v>141.92551300000002</v>
      </c>
      <c r="K18" s="108">
        <v>196.04080023133238</v>
      </c>
      <c r="L18" s="108">
        <v>179.21692363193034</v>
      </c>
      <c r="M18" s="108">
        <v>169.92353064884429</v>
      </c>
      <c r="N18" s="108">
        <v>190.60279752645727</v>
      </c>
      <c r="O18" s="108">
        <v>172.15216148025965</v>
      </c>
      <c r="P18" s="108">
        <v>182.78381968983888</v>
      </c>
      <c r="Q18" s="108">
        <v>181.78667220144379</v>
      </c>
      <c r="R18" s="6">
        <v>177.6</v>
      </c>
      <c r="S18" s="65">
        <v>172</v>
      </c>
    </row>
    <row r="19" spans="1:21" x14ac:dyDescent="0.2">
      <c r="A19" t="s">
        <v>168</v>
      </c>
      <c r="B19" t="s">
        <v>173</v>
      </c>
      <c r="C19" s="6" t="s">
        <v>54</v>
      </c>
      <c r="D19" s="6">
        <v>20210415</v>
      </c>
      <c r="E19" s="108">
        <v>146.21280999999999</v>
      </c>
      <c r="F19" s="108">
        <v>138.09891099999999</v>
      </c>
      <c r="G19" s="109">
        <v>138.015007</v>
      </c>
      <c r="H19" s="108">
        <v>136.53023200000001</v>
      </c>
      <c r="I19" s="108">
        <v>55.118715000000002</v>
      </c>
      <c r="J19" s="108">
        <f t="shared" si="0"/>
        <v>139.71424000000002</v>
      </c>
      <c r="K19" s="108">
        <v>180.54648605473025</v>
      </c>
      <c r="L19" s="108">
        <v>172.33423996490777</v>
      </c>
      <c r="M19" s="108">
        <v>148.9755421196632</v>
      </c>
      <c r="N19" s="108">
        <v>178.94154121129657</v>
      </c>
      <c r="O19" s="108">
        <v>160.14074634654528</v>
      </c>
      <c r="P19" s="108">
        <v>169.32015091606536</v>
      </c>
      <c r="Q19" s="108">
        <v>168.3764511022014</v>
      </c>
      <c r="R19" s="6">
        <v>154.1</v>
      </c>
      <c r="S19" s="66">
        <v>145</v>
      </c>
    </row>
    <row r="20" spans="1:21" x14ac:dyDescent="0.2">
      <c r="A20" t="s">
        <v>168</v>
      </c>
      <c r="B20" t="s">
        <v>173</v>
      </c>
      <c r="C20" s="6" t="s">
        <v>55</v>
      </c>
      <c r="D20" s="6">
        <v>20210715</v>
      </c>
      <c r="E20" s="108">
        <v>162.599234</v>
      </c>
      <c r="F20" s="108">
        <v>151.29964899999999</v>
      </c>
      <c r="G20" s="109">
        <v>158.51715100000001</v>
      </c>
      <c r="H20" s="108">
        <v>160.58868899999999</v>
      </c>
      <c r="I20" s="108">
        <v>58.702781000000002</v>
      </c>
      <c r="J20" s="108">
        <f t="shared" si="0"/>
        <v>158.25118075</v>
      </c>
      <c r="K20" s="108">
        <v>161.25050144375177</v>
      </c>
      <c r="L20" s="108">
        <v>158.86040625620865</v>
      </c>
      <c r="M20" s="108">
        <v>166.53976545463641</v>
      </c>
      <c r="N20" s="108">
        <v>170.5509436547357</v>
      </c>
      <c r="O20" s="108">
        <v>154.4285501757434</v>
      </c>
      <c r="P20" s="108">
        <v>164.23824234916924</v>
      </c>
      <c r="Q20" s="108">
        <v>162.64473488904085</v>
      </c>
      <c r="R20" s="6">
        <v>157.80000000000001</v>
      </c>
      <c r="S20" s="66">
        <v>166</v>
      </c>
    </row>
    <row r="21" spans="1:21" x14ac:dyDescent="0.2">
      <c r="A21" t="s">
        <v>168</v>
      </c>
      <c r="B21" t="s">
        <v>170</v>
      </c>
      <c r="C21" s="13" t="s">
        <v>71</v>
      </c>
      <c r="D21" s="13">
        <v>20211014</v>
      </c>
      <c r="E21" s="110">
        <v>179.25122400000001</v>
      </c>
      <c r="F21" s="110">
        <v>168.49417600000001</v>
      </c>
      <c r="G21" s="110">
        <v>129.982823</v>
      </c>
      <c r="H21" s="110">
        <v>165.24812499999999</v>
      </c>
      <c r="I21" s="110">
        <v>61.347966</v>
      </c>
      <c r="J21" s="108">
        <f t="shared" si="0"/>
        <v>160.74408700000001</v>
      </c>
      <c r="K21" s="108">
        <f>(E21/E20)*$S20</f>
        <v>183.00026668022312</v>
      </c>
      <c r="L21" s="108">
        <f t="shared" ref="L21:P21" si="1">(F21/F20)*$S20</f>
        <v>184.86515600574859</v>
      </c>
      <c r="M21" s="108">
        <f t="shared" si="1"/>
        <v>136.11870060672487</v>
      </c>
      <c r="N21" s="108">
        <f t="shared" si="1"/>
        <v>170.81644367867028</v>
      </c>
      <c r="O21" s="108">
        <f t="shared" si="1"/>
        <v>173.48006657469944</v>
      </c>
      <c r="P21" s="108">
        <f t="shared" si="1"/>
        <v>168.61497219508107</v>
      </c>
      <c r="Q21" s="108">
        <f>AVERAGE(K21:P21)</f>
        <v>169.48260095685791</v>
      </c>
      <c r="R21" s="6">
        <v>172.6</v>
      </c>
      <c r="S21" s="11"/>
    </row>
    <row r="22" spans="1:21" x14ac:dyDescent="0.2">
      <c r="A22" s="171" t="s">
        <v>75</v>
      </c>
      <c r="B22" s="172"/>
      <c r="C22" s="172"/>
      <c r="D22" s="172"/>
      <c r="E22" s="72">
        <f t="shared" ref="E22:Q22" si="2">CORREL(E$6:E$20,$S$6:$S$20)</f>
        <v>0.498466118118985</v>
      </c>
      <c r="F22" s="72">
        <f t="shared" si="2"/>
        <v>0.53092818425983412</v>
      </c>
      <c r="G22" s="71">
        <f t="shared" si="2"/>
        <v>0.77685257808676356</v>
      </c>
      <c r="H22" s="72">
        <f t="shared" si="2"/>
        <v>0.49999736686966262</v>
      </c>
      <c r="I22" s="72">
        <f t="shared" si="2"/>
        <v>0.44164782846295864</v>
      </c>
      <c r="J22" s="71">
        <f>CORREL(J$6:J$20,$S$6:$S$20)</f>
        <v>0.67308997116053026</v>
      </c>
      <c r="K22" s="72">
        <f t="shared" si="2"/>
        <v>0.46889675414459636</v>
      </c>
      <c r="L22" s="72">
        <f t="shared" si="2"/>
        <v>0.44323742191551796</v>
      </c>
      <c r="M22" s="72">
        <f t="shared" si="2"/>
        <v>0.74221032759052674</v>
      </c>
      <c r="N22" s="72">
        <f t="shared" si="2"/>
        <v>0.4943461392503829</v>
      </c>
      <c r="O22" s="72">
        <f t="shared" si="2"/>
        <v>0.47593334427014333</v>
      </c>
      <c r="P22" s="72">
        <f t="shared" si="2"/>
        <v>0.64130200771528401</v>
      </c>
      <c r="Q22" s="72">
        <f t="shared" si="2"/>
        <v>0.65762639702985914</v>
      </c>
      <c r="R22" s="71">
        <f>CORREL(R$6:R$20,$S$6:$S$20)</f>
        <v>0.89421051494576742</v>
      </c>
      <c r="S22" s="5"/>
    </row>
    <row r="24" spans="1:21" x14ac:dyDescent="0.2">
      <c r="A24" s="174" t="s">
        <v>77</v>
      </c>
      <c r="B24" s="175"/>
    </row>
    <row r="25" spans="1:21" x14ac:dyDescent="0.2">
      <c r="A25" s="18" t="s">
        <v>56</v>
      </c>
      <c r="B25" s="18" t="s">
        <v>57</v>
      </c>
      <c r="C25" s="18" t="s">
        <v>68</v>
      </c>
      <c r="D25" s="18" t="s">
        <v>58</v>
      </c>
      <c r="E25" s="18" t="s">
        <v>59</v>
      </c>
      <c r="F25" s="18" t="s">
        <v>69</v>
      </c>
      <c r="G25" s="18" t="s">
        <v>60</v>
      </c>
      <c r="H25" s="18" t="s">
        <v>61</v>
      </c>
      <c r="I25" s="18" t="s">
        <v>70</v>
      </c>
      <c r="J25" s="18" t="s">
        <v>62</v>
      </c>
      <c r="K25" s="18" t="s">
        <v>63</v>
      </c>
      <c r="L25" s="18" t="s">
        <v>73</v>
      </c>
      <c r="M25" s="18" t="s">
        <v>64</v>
      </c>
      <c r="N25" s="18" t="s">
        <v>65</v>
      </c>
      <c r="O25" s="18" t="s">
        <v>74</v>
      </c>
      <c r="P25" s="18" t="s">
        <v>66</v>
      </c>
      <c r="Q25" s="18" t="s">
        <v>67</v>
      </c>
      <c r="R25" s="18" t="s">
        <v>0</v>
      </c>
    </row>
    <row r="26" spans="1:21" x14ac:dyDescent="0.2">
      <c r="A26" s="10" t="str">
        <f>A6</f>
        <v>ABT</v>
      </c>
      <c r="B26" s="10" t="str">
        <f t="shared" ref="B26:D27" si="3">B6</f>
        <v>NEUROMODULATION</v>
      </c>
      <c r="C26" s="10" t="str">
        <f t="shared" si="3"/>
        <v>2017Q4</v>
      </c>
      <c r="D26" s="10">
        <f t="shared" si="3"/>
        <v>20180118</v>
      </c>
      <c r="E26" s="19">
        <f t="shared" ref="E26:J27" si="4">$S6/E6-1</f>
        <v>9.0651169647972818E-2</v>
      </c>
      <c r="F26" s="19">
        <f t="shared" si="4"/>
        <v>0.11252288667476429</v>
      </c>
      <c r="G26" s="19">
        <f t="shared" si="4"/>
        <v>0.32599858974038631</v>
      </c>
      <c r="H26" s="19">
        <f t="shared" si="4"/>
        <v>0.12544675078163969</v>
      </c>
      <c r="I26" s="19">
        <f t="shared" si="4"/>
        <v>0.98558437544602073</v>
      </c>
      <c r="J26" s="19">
        <f t="shared" si="4"/>
        <v>0.15659551078206246</v>
      </c>
      <c r="K26" s="19"/>
      <c r="L26" s="19"/>
      <c r="M26" s="19"/>
      <c r="N26" s="19"/>
      <c r="O26" s="19"/>
      <c r="P26" s="19"/>
      <c r="Q26" s="19"/>
      <c r="R26" s="42">
        <f>$S6/R6-1</f>
        <v>-6.8104426787740646E-3</v>
      </c>
    </row>
    <row r="27" spans="1:21" x14ac:dyDescent="0.2">
      <c r="A27" s="10" t="str">
        <f>A7</f>
        <v>ABT</v>
      </c>
      <c r="B27" s="10" t="str">
        <f t="shared" si="3"/>
        <v>NEUROMODULATION</v>
      </c>
      <c r="C27" s="10" t="str">
        <f t="shared" si="3"/>
        <v>2018Q1</v>
      </c>
      <c r="D27" s="10">
        <f t="shared" si="3"/>
        <v>20180412</v>
      </c>
      <c r="E27" s="19">
        <f t="shared" ref="E27:E37" si="5">$S7/E7-1</f>
        <v>-1.4244501407421284E-2</v>
      </c>
      <c r="F27" s="19">
        <f t="shared" si="4"/>
        <v>-3.0887099125799566E-2</v>
      </c>
      <c r="G27" s="19">
        <f t="shared" si="4"/>
        <v>0.52704074201963724</v>
      </c>
      <c r="H27" s="19">
        <f t="shared" si="4"/>
        <v>1.7149984250522277E-2</v>
      </c>
      <c r="I27" s="19">
        <f t="shared" si="4"/>
        <v>0.84452778343030377</v>
      </c>
      <c r="J27" s="19">
        <f t="shared" si="4"/>
        <v>8.5681315068328656E-2</v>
      </c>
      <c r="K27" s="19">
        <f t="shared" ref="K27:Q27" si="6">$S7/K7-1</f>
        <v>-9.6177104077420972E-2</v>
      </c>
      <c r="L27" s="19">
        <f t="shared" si="6"/>
        <v>-0.12890520052958543</v>
      </c>
      <c r="M27" s="19">
        <f t="shared" si="6"/>
        <v>0.15161566070640586</v>
      </c>
      <c r="N27" s="19">
        <f t="shared" si="6"/>
        <v>-9.6225580158193713E-2</v>
      </c>
      <c r="O27" s="19">
        <f t="shared" si="6"/>
        <v>-7.1040341453145972E-2</v>
      </c>
      <c r="P27" s="19">
        <f t="shared" si="6"/>
        <v>-6.1312874771391135E-2</v>
      </c>
      <c r="Q27" s="19">
        <f t="shared" si="6"/>
        <v>-5.823245142283906E-2</v>
      </c>
      <c r="R27" s="42">
        <f>$S7/R7-1</f>
        <v>-5.9171597633136397E-3</v>
      </c>
    </row>
    <row r="28" spans="1:21" x14ac:dyDescent="0.2">
      <c r="A28" s="10" t="str">
        <f t="shared" ref="A28:D28" si="7">A8</f>
        <v>ABT</v>
      </c>
      <c r="B28" s="10" t="str">
        <f t="shared" si="7"/>
        <v>NEUROMODULATION</v>
      </c>
      <c r="C28" s="10" t="str">
        <f t="shared" si="7"/>
        <v>2018Q2</v>
      </c>
      <c r="D28" s="10">
        <f t="shared" si="7"/>
        <v>20180712</v>
      </c>
      <c r="E28" s="19">
        <f t="shared" si="5"/>
        <v>-3.048098297975177E-2</v>
      </c>
      <c r="F28" s="19">
        <f t="shared" ref="F28:J28" si="8">$S8/F8-1</f>
        <v>-4.7448039240339468E-2</v>
      </c>
      <c r="G28" s="19">
        <f t="shared" si="8"/>
        <v>5.2806068661419348E-2</v>
      </c>
      <c r="H28" s="19">
        <f t="shared" si="8"/>
        <v>0.14014952593109942</v>
      </c>
      <c r="I28" s="19">
        <f t="shared" si="8"/>
        <v>1.0922908527619977</v>
      </c>
      <c r="J28" s="19">
        <f t="shared" si="8"/>
        <v>2.3496597753841941E-2</v>
      </c>
      <c r="K28" s="19">
        <f t="shared" ref="K28:Q28" si="9">$S8/K8-1</f>
        <v>-1.6471104239856982E-2</v>
      </c>
      <c r="L28" s="19">
        <f t="shared" si="9"/>
        <v>-1.7088762413131731E-2</v>
      </c>
      <c r="M28" s="19">
        <f t="shared" si="9"/>
        <v>-0.31055797026803855</v>
      </c>
      <c r="N28" s="19">
        <f t="shared" si="9"/>
        <v>0.12092566837250462</v>
      </c>
      <c r="O28" s="19">
        <f t="shared" si="9"/>
        <v>0.13432330570316697</v>
      </c>
      <c r="P28" s="19">
        <f t="shared" si="9"/>
        <v>-5.7277136901423997E-2</v>
      </c>
      <c r="Q28" s="19">
        <f t="shared" si="9"/>
        <v>-5.0488817347531634E-2</v>
      </c>
      <c r="R28" s="42">
        <f t="shared" ref="R28:R35" si="10">$S8/R8-1</f>
        <v>-0.1045548654244306</v>
      </c>
    </row>
    <row r="29" spans="1:21" x14ac:dyDescent="0.2">
      <c r="A29" s="10" t="str">
        <f t="shared" ref="A29:D29" si="11">A9</f>
        <v>ABT</v>
      </c>
      <c r="B29" s="10" t="str">
        <f t="shared" si="11"/>
        <v>NEUROMODULATION</v>
      </c>
      <c r="C29" s="10" t="str">
        <f t="shared" si="11"/>
        <v>2018Q3</v>
      </c>
      <c r="D29" s="10">
        <f t="shared" si="11"/>
        <v>20181011</v>
      </c>
      <c r="E29" s="19">
        <f t="shared" si="5"/>
        <v>-4.7615762262568584E-2</v>
      </c>
      <c r="F29" s="19">
        <f t="shared" ref="F29:J29" si="12">$S9/F9-1</f>
        <v>-6.5741703153527009E-2</v>
      </c>
      <c r="G29" s="19">
        <f t="shared" si="12"/>
        <v>0.12852580988392304</v>
      </c>
      <c r="H29" s="19">
        <f t="shared" si="12"/>
        <v>7.0309742163378708E-2</v>
      </c>
      <c r="I29" s="19">
        <f t="shared" si="12"/>
        <v>1.0729532009603271</v>
      </c>
      <c r="J29" s="19">
        <f t="shared" si="12"/>
        <v>1.5026213487185247E-2</v>
      </c>
      <c r="K29" s="19">
        <f t="shared" ref="K29:Q29" si="13">$S9/K9-1</f>
        <v>-1.7673484461892652E-2</v>
      </c>
      <c r="L29" s="19">
        <f t="shared" si="13"/>
        <v>-1.9204898700327377E-2</v>
      </c>
      <c r="M29" s="19">
        <f t="shared" si="13"/>
        <v>7.1921832022470156E-2</v>
      </c>
      <c r="N29" s="19">
        <f t="shared" si="13"/>
        <v>-6.1254933830443115E-2</v>
      </c>
      <c r="O29" s="19">
        <f t="shared" si="13"/>
        <v>-9.2423344374629179E-3</v>
      </c>
      <c r="P29" s="19">
        <f t="shared" si="13"/>
        <v>-8.2759281127517959E-3</v>
      </c>
      <c r="Q29" s="19">
        <f t="shared" si="13"/>
        <v>-8.821772165512054E-3</v>
      </c>
      <c r="R29" s="42">
        <f t="shared" si="10"/>
        <v>-5.1819184123484074E-2</v>
      </c>
    </row>
    <row r="30" spans="1:21" x14ac:dyDescent="0.2">
      <c r="A30" s="10" t="str">
        <f t="shared" ref="A30:D30" si="14">A10</f>
        <v>ABT</v>
      </c>
      <c r="B30" s="10" t="str">
        <f t="shared" si="14"/>
        <v>NEUROMODULATION</v>
      </c>
      <c r="C30" s="10" t="str">
        <f t="shared" si="14"/>
        <v>2018Q4</v>
      </c>
      <c r="D30" s="10">
        <f t="shared" si="14"/>
        <v>20190117</v>
      </c>
      <c r="E30" s="19">
        <f t="shared" si="5"/>
        <v>-6.6478989915077502E-2</v>
      </c>
      <c r="F30" s="19">
        <f t="shared" ref="F30:J30" si="15">$S10/F10-1</f>
        <v>-5.8489253984651768E-2</v>
      </c>
      <c r="G30" s="19">
        <f t="shared" si="15"/>
        <v>7.3336492015070753E-2</v>
      </c>
      <c r="H30" s="19">
        <f t="shared" si="15"/>
        <v>-2.982253184878858E-2</v>
      </c>
      <c r="I30" s="19">
        <f t="shared" si="15"/>
        <v>0.8814820444694127</v>
      </c>
      <c r="J30" s="19">
        <f t="shared" si="15"/>
        <v>-2.3377765083773094E-2</v>
      </c>
      <c r="K30" s="19">
        <f t="shared" ref="K30:Q30" si="16">$S10/K10-1</f>
        <v>-1.9806320710769043E-2</v>
      </c>
      <c r="L30" s="19">
        <f t="shared" si="16"/>
        <v>7.7627880783670555E-3</v>
      </c>
      <c r="M30" s="19">
        <f t="shared" si="16"/>
        <v>-4.8903904000679344E-2</v>
      </c>
      <c r="N30" s="19">
        <f t="shared" si="16"/>
        <v>-9.3554482471376432E-2</v>
      </c>
      <c r="O30" s="19">
        <f t="shared" si="16"/>
        <v>-9.2366367172308728E-2</v>
      </c>
      <c r="P30" s="19">
        <f t="shared" si="16"/>
        <v>-3.7835454947531932E-2</v>
      </c>
      <c r="Q30" s="19">
        <f t="shared" si="16"/>
        <v>-4.8860312668644212E-2</v>
      </c>
      <c r="R30" s="42">
        <f t="shared" si="10"/>
        <v>-5.0429184549356298E-2</v>
      </c>
    </row>
    <row r="31" spans="1:21" x14ac:dyDescent="0.2">
      <c r="A31" s="10" t="str">
        <f t="shared" ref="A31:D31" si="17">A11</f>
        <v>ABT</v>
      </c>
      <c r="B31" s="10" t="str">
        <f t="shared" si="17"/>
        <v>NEUROMODULATION</v>
      </c>
      <c r="C31" s="10" t="str">
        <f t="shared" si="17"/>
        <v>2019Q1</v>
      </c>
      <c r="D31" s="10">
        <f t="shared" si="17"/>
        <v>20190411</v>
      </c>
      <c r="E31" s="19">
        <f t="shared" si="5"/>
        <v>-0.1677018557357477</v>
      </c>
      <c r="F31" s="19">
        <f t="shared" ref="F31:J31" si="18">$S11/F11-1</f>
        <v>-0.16917489304684552</v>
      </c>
      <c r="G31" s="19">
        <f t="shared" si="18"/>
        <v>-6.8740600138724628E-2</v>
      </c>
      <c r="H31" s="19">
        <f t="shared" si="18"/>
        <v>-5.5949060899428082E-2</v>
      </c>
      <c r="I31" s="19">
        <f t="shared" si="18"/>
        <v>0.7358997743547282</v>
      </c>
      <c r="J31" s="19">
        <f t="shared" si="18"/>
        <v>-0.11859226799100053</v>
      </c>
      <c r="K31" s="19">
        <f t="shared" ref="K31:Q31" si="19">$S11/K11-1</f>
        <v>-0.10843126692077543</v>
      </c>
      <c r="L31" s="19">
        <f t="shared" si="19"/>
        <v>-0.11756173737860809</v>
      </c>
      <c r="M31" s="19">
        <f t="shared" si="19"/>
        <v>-0.13236957208737155</v>
      </c>
      <c r="N31" s="19">
        <f t="shared" si="19"/>
        <v>-2.6929639069465106E-2</v>
      </c>
      <c r="O31" s="19">
        <f t="shared" si="19"/>
        <v>-7.7376380254396637E-2</v>
      </c>
      <c r="P31" s="19">
        <f t="shared" si="19"/>
        <v>-9.7493687429095588E-2</v>
      </c>
      <c r="Q31" s="19">
        <f t="shared" si="19"/>
        <v>-9.4609222326877407E-2</v>
      </c>
      <c r="R31" s="42">
        <f t="shared" si="10"/>
        <v>-0.14075749010740535</v>
      </c>
    </row>
    <row r="32" spans="1:21" x14ac:dyDescent="0.2">
      <c r="A32" s="10" t="str">
        <f t="shared" ref="A32:D32" si="20">A12</f>
        <v>ABT</v>
      </c>
      <c r="B32" s="10" t="str">
        <f t="shared" si="20"/>
        <v>NEUROMODULATION</v>
      </c>
      <c r="C32" s="10" t="str">
        <f t="shared" si="20"/>
        <v>2019Q2</v>
      </c>
      <c r="D32" s="10">
        <f t="shared" si="20"/>
        <v>20190711</v>
      </c>
      <c r="E32" s="19">
        <f t="shared" si="5"/>
        <v>4.9509721533585571E-2</v>
      </c>
      <c r="F32" s="19">
        <f t="shared" ref="F32:J32" si="21">$S12/F12-1</f>
        <v>8.942621205377721E-2</v>
      </c>
      <c r="G32" s="19">
        <f>$S12/G12-1</f>
        <v>2.3026032450203182E-2</v>
      </c>
      <c r="H32" s="19">
        <f t="shared" si="21"/>
        <v>0.11213549676345402</v>
      </c>
      <c r="I32" s="19">
        <f t="shared" si="21"/>
        <v>1.1046527558473516</v>
      </c>
      <c r="J32" s="19">
        <f t="shared" si="21"/>
        <v>6.7405740095403566E-2</v>
      </c>
      <c r="K32" s="19">
        <f t="shared" ref="K32:Q32" si="22">$S12/K12-1</f>
        <v>0.26097808671836842</v>
      </c>
      <c r="L32" s="19">
        <f t="shared" si="22"/>
        <v>0.31125817327425076</v>
      </c>
      <c r="M32" s="19">
        <f t="shared" si="22"/>
        <v>9.8540355783359068E-2</v>
      </c>
      <c r="N32" s="19">
        <f t="shared" si="22"/>
        <v>0.1780460679622029</v>
      </c>
      <c r="O32" s="19">
        <f t="shared" si="22"/>
        <v>0.21242757614257823</v>
      </c>
      <c r="P32" s="19">
        <f t="shared" si="22"/>
        <v>0.21102379901122181</v>
      </c>
      <c r="Q32" s="19">
        <f t="shared" si="22"/>
        <v>0.20837093617004943</v>
      </c>
      <c r="R32" s="42">
        <f t="shared" si="10"/>
        <v>-2.5522041763341052E-2</v>
      </c>
    </row>
    <row r="33" spans="1:18" x14ac:dyDescent="0.2">
      <c r="A33" s="10" t="str">
        <f t="shared" ref="A33:D33" si="23">A13</f>
        <v>ABT</v>
      </c>
      <c r="B33" s="10" t="str">
        <f t="shared" si="23"/>
        <v>NEUROMODULATION</v>
      </c>
      <c r="C33" s="10" t="str">
        <f t="shared" si="23"/>
        <v>2019Q3</v>
      </c>
      <c r="D33" s="10">
        <f t="shared" si="23"/>
        <v>20191010</v>
      </c>
      <c r="E33" s="19">
        <f t="shared" si="5"/>
        <v>0.13175044384165813</v>
      </c>
      <c r="F33" s="19">
        <f t="shared" ref="F33:J33" si="24">$S13/F13-1</f>
        <v>8.1157861884127547E-2</v>
      </c>
      <c r="G33" s="19">
        <f>$S13/G13-1</f>
        <v>0.14566247050544034</v>
      </c>
      <c r="H33" s="19">
        <f t="shared" si="24"/>
        <v>0.19224609959578798</v>
      </c>
      <c r="I33" s="19">
        <f t="shared" si="24"/>
        <v>1.3688751512634458</v>
      </c>
      <c r="J33" s="19">
        <f t="shared" si="24"/>
        <v>0.13632110062491631</v>
      </c>
      <c r="K33" s="19">
        <f t="shared" ref="K33:Q33" si="25">$S13/K13-1</f>
        <v>7.8361086725237117E-2</v>
      </c>
      <c r="L33" s="19">
        <f t="shared" si="25"/>
        <v>-7.5896376259043663E-3</v>
      </c>
      <c r="M33" s="19">
        <f t="shared" si="25"/>
        <v>0.11987616557666314</v>
      </c>
      <c r="N33" s="19">
        <f t="shared" si="25"/>
        <v>7.2033131813050488E-2</v>
      </c>
      <c r="O33" s="19">
        <f t="shared" si="25"/>
        <v>0.125542037603118</v>
      </c>
      <c r="P33" s="19">
        <f t="shared" si="25"/>
        <v>6.456341571046198E-2</v>
      </c>
      <c r="Q33" s="19">
        <f t="shared" si="25"/>
        <v>7.3622453317134795E-2</v>
      </c>
      <c r="R33" s="42">
        <f t="shared" si="10"/>
        <v>-5.1724137931034475E-2</v>
      </c>
    </row>
    <row r="34" spans="1:18" x14ac:dyDescent="0.2">
      <c r="A34" s="10" t="str">
        <f t="shared" ref="A34:D34" si="26">A14</f>
        <v>ABT</v>
      </c>
      <c r="B34" s="10" t="str">
        <f t="shared" si="26"/>
        <v>NEUROMODULATION</v>
      </c>
      <c r="C34" s="10" t="str">
        <f t="shared" si="26"/>
        <v>2019Q4</v>
      </c>
      <c r="D34" s="10">
        <f t="shared" si="26"/>
        <v>20200116</v>
      </c>
      <c r="E34" s="19">
        <f t="shared" si="5"/>
        <v>0.13320292002433343</v>
      </c>
      <c r="F34" s="19">
        <f t="shared" ref="F34:J34" si="27">$S14/F14-1</f>
        <v>0.19558254793807772</v>
      </c>
      <c r="G34" s="19">
        <f t="shared" si="27"/>
        <v>9.3437884989716391E-2</v>
      </c>
      <c r="H34" s="19">
        <f t="shared" si="27"/>
        <v>0.13350775621142175</v>
      </c>
      <c r="I34" s="19">
        <f t="shared" si="27"/>
        <v>1.3131468095459997</v>
      </c>
      <c r="J34" s="19">
        <f t="shared" si="27"/>
        <v>0.13777593768706775</v>
      </c>
      <c r="K34" s="19">
        <f t="shared" ref="K34:Q34" si="28">$S14/K14-1</f>
        <v>1.2833890992300923E-3</v>
      </c>
      <c r="L34" s="19">
        <f t="shared" si="28"/>
        <v>0.10583531793825474</v>
      </c>
      <c r="M34" s="19">
        <f t="shared" si="28"/>
        <v>-4.5584617511895686E-2</v>
      </c>
      <c r="N34" s="19">
        <f t="shared" si="28"/>
        <v>-4.9266962084657306E-2</v>
      </c>
      <c r="O34" s="19">
        <f t="shared" si="28"/>
        <v>-2.3525233775078314E-2</v>
      </c>
      <c r="P34" s="19">
        <f t="shared" si="28"/>
        <v>1.2803045383484868E-3</v>
      </c>
      <c r="Q34" s="19">
        <f t="shared" si="28"/>
        <v>-4.2166725793870707E-3</v>
      </c>
      <c r="R34" s="42">
        <f t="shared" si="10"/>
        <v>-1.5194147439504757E-2</v>
      </c>
    </row>
    <row r="35" spans="1:18" x14ac:dyDescent="0.2">
      <c r="A35" s="10" t="str">
        <f t="shared" ref="A35:D35" si="29">A15</f>
        <v>ABT</v>
      </c>
      <c r="B35" s="10" t="str">
        <f t="shared" si="29"/>
        <v>NEUROMODULATION</v>
      </c>
      <c r="C35" s="10" t="str">
        <f t="shared" si="29"/>
        <v>2020Q1</v>
      </c>
      <c r="D35" s="10">
        <f t="shared" si="29"/>
        <v>20200409</v>
      </c>
      <c r="E35" s="19">
        <f t="shared" si="5"/>
        <v>-0.2287034291834279</v>
      </c>
      <c r="F35" s="19">
        <f t="shared" ref="F35:J35" si="30">$S15/F15-1</f>
        <v>-0.19719531687111036</v>
      </c>
      <c r="G35" s="19">
        <f t="shared" ref="G35:G40" si="31">$S15/G15-1</f>
        <v>-8.8596981803086949E-2</v>
      </c>
      <c r="H35" s="19">
        <f t="shared" si="30"/>
        <v>-0.17540723958015392</v>
      </c>
      <c r="I35" s="19">
        <f t="shared" si="30"/>
        <v>0.70930616143735437</v>
      </c>
      <c r="J35" s="19">
        <f t="shared" si="30"/>
        <v>-0.17561135616297552</v>
      </c>
      <c r="K35" s="19">
        <f t="shared" ref="K35:Q35" si="32">$S15/K15-1</f>
        <v>-0.31936588126686971</v>
      </c>
      <c r="L35" s="19">
        <f t="shared" si="32"/>
        <v>-0.32852425412747932</v>
      </c>
      <c r="M35" s="19">
        <f t="shared" si="32"/>
        <v>-0.16647938514999905</v>
      </c>
      <c r="N35" s="19">
        <f t="shared" si="32"/>
        <v>-0.27253011203388433</v>
      </c>
      <c r="O35" s="19">
        <f t="shared" si="32"/>
        <v>-0.26104726497111586</v>
      </c>
      <c r="P35" s="19">
        <f t="shared" si="32"/>
        <v>-0.27543849669304299</v>
      </c>
      <c r="Q35" s="19">
        <f t="shared" si="32"/>
        <v>-0.2741564849088981</v>
      </c>
      <c r="R35" s="42">
        <f t="shared" si="10"/>
        <v>-6.2927496580027276E-2</v>
      </c>
    </row>
    <row r="36" spans="1:18" x14ac:dyDescent="0.2">
      <c r="A36" s="10" t="str">
        <f t="shared" ref="A36:D36" si="33">A16</f>
        <v>ABT</v>
      </c>
      <c r="B36" s="10" t="str">
        <f t="shared" si="33"/>
        <v>NEUROMODULATION</v>
      </c>
      <c r="C36" s="10" t="str">
        <f t="shared" si="33"/>
        <v>2020Q2</v>
      </c>
      <c r="D36" s="10">
        <f t="shared" si="33"/>
        <v>20200709</v>
      </c>
      <c r="E36" s="19">
        <f t="shared" si="5"/>
        <v>-0.20446444818069531</v>
      </c>
      <c r="F36" s="19">
        <f t="shared" ref="F36:J36" si="34">$S16/F16-1</f>
        <v>-0.20417477554053831</v>
      </c>
      <c r="G36" s="19">
        <f t="shared" si="31"/>
        <v>0.52995427272669682</v>
      </c>
      <c r="H36" s="19">
        <f t="shared" si="34"/>
        <v>-0.21810306652618283</v>
      </c>
      <c r="I36" s="19">
        <f t="shared" si="34"/>
        <v>0.57550185804494713</v>
      </c>
      <c r="J36" s="19">
        <f t="shared" si="34"/>
        <v>-0.10034066950038367</v>
      </c>
      <c r="K36" s="19">
        <f t="shared" ref="K36:Q36" si="35">$S16/K16-1</f>
        <v>3.1426278710237954E-2</v>
      </c>
      <c r="L36" s="19">
        <f t="shared" si="35"/>
        <v>-8.6938439898305298E-3</v>
      </c>
      <c r="M36" s="19">
        <f t="shared" si="35"/>
        <v>0.67868027884470172</v>
      </c>
      <c r="N36" s="19">
        <f t="shared" si="35"/>
        <v>-5.1778076397723916E-2</v>
      </c>
      <c r="O36" s="19">
        <f t="shared" si="35"/>
        <v>-7.8279892982946464E-2</v>
      </c>
      <c r="P36" s="19">
        <f t="shared" si="35"/>
        <v>9.1304856302062642E-2</v>
      </c>
      <c r="Q36" s="19">
        <f t="shared" si="35"/>
        <v>6.5743002043451071E-2</v>
      </c>
      <c r="R36" s="42">
        <f t="shared" ref="R36" si="36">$S16/R16-1</f>
        <v>0.46804835924006905</v>
      </c>
    </row>
    <row r="37" spans="1:18" x14ac:dyDescent="0.2">
      <c r="A37" s="10" t="str">
        <f t="shared" ref="A37:D37" si="37">A17</f>
        <v>ABT</v>
      </c>
      <c r="B37" s="10" t="str">
        <f t="shared" si="37"/>
        <v>NEUROMODULATION</v>
      </c>
      <c r="C37" s="10" t="str">
        <f t="shared" si="37"/>
        <v>2020Q3</v>
      </c>
      <c r="D37" s="10">
        <f t="shared" si="37"/>
        <v>20201015</v>
      </c>
      <c r="E37" s="19">
        <f t="shared" si="5"/>
        <v>0.40741325292510977</v>
      </c>
      <c r="F37" s="19">
        <f t="shared" ref="F37:I37" si="38">$S17/F17-1</f>
        <v>0.30026505367715961</v>
      </c>
      <c r="G37" s="19">
        <f t="shared" si="31"/>
        <v>6.6384291451809574E-2</v>
      </c>
      <c r="H37" s="19">
        <f t="shared" si="38"/>
        <v>0.45238972916801745</v>
      </c>
      <c r="I37" s="19">
        <f t="shared" si="38"/>
        <v>1.9079490772273617</v>
      </c>
      <c r="J37" s="19">
        <f>$S17/J17-1</f>
        <v>0.28788556635225149</v>
      </c>
      <c r="K37" s="19">
        <f t="shared" ref="K37:Q37" si="39">$S17/K17-1</f>
        <v>0.76913935487421825</v>
      </c>
      <c r="L37" s="19">
        <f t="shared" si="39"/>
        <v>0.63385755278154465</v>
      </c>
      <c r="M37" s="19">
        <f t="shared" si="39"/>
        <v>-0.30299597153888069</v>
      </c>
      <c r="N37" s="19">
        <f t="shared" si="39"/>
        <v>0.85752068717718344</v>
      </c>
      <c r="O37" s="19">
        <f t="shared" si="39"/>
        <v>0.8457287513680618</v>
      </c>
      <c r="P37" s="19">
        <f t="shared" si="39"/>
        <v>0.43152582615581592</v>
      </c>
      <c r="Q37" s="19">
        <f t="shared" si="39"/>
        <v>0.36652290737219939</v>
      </c>
      <c r="R37" s="42">
        <f>$S17/R17-1</f>
        <v>0.25739644970414211</v>
      </c>
    </row>
    <row r="38" spans="1:18" x14ac:dyDescent="0.2">
      <c r="A38" s="10" t="str">
        <f t="shared" ref="A38:D38" si="40">A18</f>
        <v>ABT</v>
      </c>
      <c r="B38" s="10" t="str">
        <f t="shared" si="40"/>
        <v>NEUROMODULATION</v>
      </c>
      <c r="C38" s="10" t="str">
        <f t="shared" si="40"/>
        <v>2020Q4</v>
      </c>
      <c r="D38" s="10">
        <f t="shared" si="40"/>
        <v>20210121</v>
      </c>
      <c r="E38" s="19">
        <f t="shared" ref="E38:I38" si="41">$S18/E18-1</f>
        <v>0.23481989064248387</v>
      </c>
      <c r="F38" s="19">
        <f t="shared" si="41"/>
        <v>0.24790440936140157</v>
      </c>
      <c r="G38" s="19">
        <f t="shared" si="31"/>
        <v>7.9415531382490911E-2</v>
      </c>
      <c r="H38" s="19">
        <f t="shared" si="41"/>
        <v>0.31063676220294245</v>
      </c>
      <c r="I38" s="19">
        <f t="shared" si="41"/>
        <v>1.905378805484585</v>
      </c>
      <c r="J38" s="19">
        <f>$S18/J18-1</f>
        <v>0.21190331719991717</v>
      </c>
      <c r="K38" s="19">
        <f t="shared" ref="K38:Q38" si="42">$S18/K18-1</f>
        <v>-0.12263161649495269</v>
      </c>
      <c r="L38" s="19">
        <f t="shared" si="42"/>
        <v>-4.026920831847447E-2</v>
      </c>
      <c r="M38" s="19">
        <f t="shared" si="42"/>
        <v>1.2220022401999486E-2</v>
      </c>
      <c r="N38" s="19">
        <f t="shared" si="42"/>
        <v>-9.7599813685185E-2</v>
      </c>
      <c r="O38" s="19">
        <f t="shared" si="42"/>
        <v>-8.8387783778764994E-4</v>
      </c>
      <c r="P38" s="19">
        <f t="shared" si="42"/>
        <v>-5.8997671173179667E-2</v>
      </c>
      <c r="Q38" s="19">
        <f t="shared" si="42"/>
        <v>-5.383602704712509E-2</v>
      </c>
      <c r="R38" s="42">
        <f>$S18/R18-1</f>
        <v>-3.1531531531531543E-2</v>
      </c>
    </row>
    <row r="39" spans="1:18" x14ac:dyDescent="0.2">
      <c r="A39" s="10" t="str">
        <f t="shared" ref="A39:D39" si="43">A19</f>
        <v>ABT</v>
      </c>
      <c r="B39" s="10" t="str">
        <f t="shared" si="43"/>
        <v>NEUROMODULATION</v>
      </c>
      <c r="C39" s="10" t="str">
        <f t="shared" si="43"/>
        <v>2021Q1</v>
      </c>
      <c r="D39" s="10">
        <f t="shared" si="43"/>
        <v>20210415</v>
      </c>
      <c r="E39" s="19">
        <f t="shared" ref="E39:J39" si="44">$S19/E19-1</f>
        <v>-8.2948272453008398E-3</v>
      </c>
      <c r="F39" s="19">
        <f t="shared" si="44"/>
        <v>4.9972074001365607E-2</v>
      </c>
      <c r="G39" s="19">
        <f t="shared" si="31"/>
        <v>5.0610387608066354E-2</v>
      </c>
      <c r="H39" s="19">
        <f t="shared" si="44"/>
        <v>6.2035842728224377E-2</v>
      </c>
      <c r="I39" s="19">
        <f t="shared" si="44"/>
        <v>1.6306854214580291</v>
      </c>
      <c r="J39" s="19">
        <f t="shared" si="44"/>
        <v>3.7832650415591029E-2</v>
      </c>
      <c r="K39" s="19">
        <f t="shared" ref="K39:Q39" si="45">$S19/K19-1</f>
        <v>-0.19688273547431334</v>
      </c>
      <c r="L39" s="19">
        <f t="shared" si="45"/>
        <v>-0.15861177657135228</v>
      </c>
      <c r="M39" s="19">
        <f t="shared" si="45"/>
        <v>-2.6685871137625328E-2</v>
      </c>
      <c r="N39" s="19">
        <f t="shared" si="45"/>
        <v>-0.18967949522250926</v>
      </c>
      <c r="O39" s="19">
        <f t="shared" si="45"/>
        <v>-9.4546495454571167E-2</v>
      </c>
      <c r="P39" s="19">
        <f t="shared" si="45"/>
        <v>-0.14363412024196243</v>
      </c>
      <c r="Q39" s="19">
        <f t="shared" si="45"/>
        <v>-0.13883444477643925</v>
      </c>
      <c r="R39" s="42">
        <f>$S19/R19-1</f>
        <v>-5.9052563270603486E-2</v>
      </c>
    </row>
    <row r="40" spans="1:18" x14ac:dyDescent="0.2">
      <c r="A40" s="10" t="str">
        <f t="shared" ref="A40:D40" si="46">A20</f>
        <v>ABT</v>
      </c>
      <c r="B40" s="10" t="str">
        <f t="shared" si="46"/>
        <v>NEUROMODULATION</v>
      </c>
      <c r="C40" s="10" t="str">
        <f t="shared" si="46"/>
        <v>2021Q2</v>
      </c>
      <c r="D40" s="10">
        <f t="shared" si="46"/>
        <v>20210715</v>
      </c>
      <c r="E40" s="19">
        <f>$S20/E20-1</f>
        <v>2.091501857874678E-2</v>
      </c>
      <c r="F40" s="19">
        <f t="shared" ref="F40:J40" si="47">$S20/F20-1</f>
        <v>9.7160509605676681E-2</v>
      </c>
      <c r="G40" s="19">
        <f t="shared" si="31"/>
        <v>4.7205295785312185E-2</v>
      </c>
      <c r="H40" s="19">
        <f t="shared" si="47"/>
        <v>3.3696713222436392E-2</v>
      </c>
      <c r="I40" s="19">
        <f t="shared" si="47"/>
        <v>1.8278046997466779</v>
      </c>
      <c r="J40" s="19">
        <f t="shared" si="47"/>
        <v>4.89653171197586E-2</v>
      </c>
      <c r="K40" s="19">
        <f t="shared" ref="K40:Q40" si="48">$S20/K20-1</f>
        <v>2.945416301793613E-2</v>
      </c>
      <c r="L40" s="19">
        <f t="shared" si="48"/>
        <v>4.4942562543096365E-2</v>
      </c>
      <c r="M40" s="19">
        <f t="shared" si="48"/>
        <v>-3.2410604948488464E-3</v>
      </c>
      <c r="N40" s="19">
        <f t="shared" si="48"/>
        <v>-2.6683778800712266E-2</v>
      </c>
      <c r="O40" s="19">
        <f t="shared" si="48"/>
        <v>7.4930767731018699E-2</v>
      </c>
      <c r="P40" s="19">
        <f t="shared" si="48"/>
        <v>1.0726841846524948E-2</v>
      </c>
      <c r="Q40" s="19">
        <f t="shared" si="48"/>
        <v>2.0629411171829037E-2</v>
      </c>
      <c r="R40" s="42">
        <f>$S20/R20-1</f>
        <v>5.1964512040557631E-2</v>
      </c>
    </row>
    <row r="41" spans="1:18" x14ac:dyDescent="0.2">
      <c r="A41" s="180" t="s">
        <v>78</v>
      </c>
      <c r="B41" s="180"/>
      <c r="C41" s="176"/>
      <c r="D41" s="177"/>
      <c r="E41" s="80" cm="1">
        <f t="array" ref="E41">SUM(ABS(E26:E40))/COUNT(E26:E40)</f>
        <v>0.12241648094025875</v>
      </c>
      <c r="F41" s="80" cm="1">
        <f t="array" ref="F41">SUM(ABS(F26:F40))/COUNT(F26:F40)</f>
        <v>0.12980684241061083</v>
      </c>
      <c r="G41" s="80" cm="1">
        <f t="array" ref="G41">SUM(ABS(G26:G40))/COUNT(G26:G40)</f>
        <v>0.15338276341079896</v>
      </c>
      <c r="H41" s="80" cm="1">
        <f t="array" ref="H41">SUM(ABS(H26:H40))/COUNT(H26:H40)</f>
        <v>0.14193242012489851</v>
      </c>
      <c r="I41" s="80" cm="1">
        <f t="array" ref="I41">SUM(ABS(I26:I40))/COUNT(I26:I40)</f>
        <v>1.1970692514319028</v>
      </c>
      <c r="J41" s="82" cm="1">
        <f t="array" ref="J41">SUM(ABS(J26:J40))/COUNT(J26:J40)</f>
        <v>0.10845408835496381</v>
      </c>
      <c r="K41" s="80" cm="1">
        <f t="array" ref="K41">SUM(ABS(K26:K40))/COUNT(K26:K40)</f>
        <v>0.14772013377086277</v>
      </c>
      <c r="L41" s="80" cm="1">
        <f t="array" ref="L41">SUM(ABS(L26:L40))/COUNT(L26:L40)</f>
        <v>0.13786469387644337</v>
      </c>
      <c r="M41" s="80" cm="1">
        <f t="array" ref="M41">SUM(ABS(M26:M40))/COUNT(M26:M40)</f>
        <v>0.15497661910892416</v>
      </c>
      <c r="N41" s="80" cm="1">
        <f t="array" ref="N41">SUM(ABS(N26:N40))/COUNT(N26:N40)</f>
        <v>0.15671631636279226</v>
      </c>
      <c r="O41" s="80" cm="1">
        <f t="array" ref="O41">SUM(ABS(O26:O40))/COUNT(O26:O40)</f>
        <v>0.15009004477762553</v>
      </c>
      <c r="P41" s="80" cm="1">
        <f t="array" ref="P41">SUM(ABS(P26:P40))/COUNT(P26:P40)</f>
        <v>0.11076360098820108</v>
      </c>
      <c r="Q41" s="80" cm="1">
        <f t="array" ref="Q41">SUM(ABS(Q26:Q40))/COUNT(Q26:Q40)</f>
        <v>0.10478177966556555</v>
      </c>
      <c r="R41" s="82" cm="1">
        <f t="array" ref="R41">SUM(ABS(R26:R40))/COUNT(R26:R40)</f>
        <v>9.2243304409838356E-2</v>
      </c>
    </row>
    <row r="42" spans="1:18" x14ac:dyDescent="0.2">
      <c r="A42" s="181" t="s">
        <v>79</v>
      </c>
      <c r="B42" s="181"/>
      <c r="C42" s="178"/>
      <c r="D42" s="179"/>
      <c r="E42" s="81" cm="1">
        <f t="array" ref="E42">SQRT(SUM(POWER(E26:E40,2))/COUNT(E26:E40))</f>
        <v>0.16277915936813478</v>
      </c>
      <c r="F42" s="81" cm="1">
        <f t="array" ref="F42">SQRT(SUM(POWER(F26:F40,2))/COUNT(F26:F40))</f>
        <v>0.15257619311119586</v>
      </c>
      <c r="G42" s="81" cm="1">
        <f t="array" ref="G42">SQRT(SUM(POWER(G26:G40,2))/COUNT(G26:G40))</f>
        <v>0.22332945773533294</v>
      </c>
      <c r="H42" s="81" cm="1">
        <f t="array" ref="H42">SQRT(SUM(POWER(H26:H40,2))/COUNT(H26:H40))</f>
        <v>0.18192773649929159</v>
      </c>
      <c r="I42" s="81" cm="1">
        <f t="array" ref="I42">SQRT(SUM(POWER(I26:I40,2))/COUNT(I26:I40))</f>
        <v>1.272032043110392</v>
      </c>
      <c r="J42" s="83" cm="1">
        <f t="array" ref="J42">SQRT(SUM(POWER(J26:J40,2))/COUNT(J26:J40))</f>
        <v>0.13213093894436387</v>
      </c>
      <c r="K42" s="81" cm="1">
        <f t="array" ref="K42">SQRT(SUM(POWER(K26:K40,2))/COUNT(K26:K40))</f>
        <v>0.24574396960318767</v>
      </c>
      <c r="L42" s="81" cm="1">
        <f t="array" ref="L42">SQRT(SUM(POWER(L26:L40,2))/COUNT(L26:L40))</f>
        <v>0.22004497910497284</v>
      </c>
      <c r="M42" s="81" cm="1">
        <f t="array" ref="M42">SQRT(SUM(POWER(M26:M40,2))/COUNT(M26:M40))</f>
        <v>0.23171393932057671</v>
      </c>
      <c r="N42" s="81" cm="1">
        <f t="array" ref="N42">SQRT(SUM(POWER(N26:N40,2))/COUNT(N26:N40))</f>
        <v>0.25842103239177761</v>
      </c>
      <c r="O42" s="81" cm="1">
        <f t="array" ref="O42">SQRT(SUM(POWER(O26:O40,2))/COUNT(O26:O40))</f>
        <v>0.25399919070969273</v>
      </c>
      <c r="P42" s="81" cm="1">
        <f t="array" ref="P42">SQRT(SUM(POWER(P26:P40,2))/COUNT(P26:P40))</f>
        <v>0.16066605118537003</v>
      </c>
      <c r="Q42" s="81" cm="1">
        <f t="array" ref="Q42">SQRT(SUM(POWER(Q26:Q40,2))/COUNT(Q26:Q40))</f>
        <v>0.14702636947101741</v>
      </c>
      <c r="R42" s="83" cm="1">
        <f t="array" ref="R42">SQRT(SUM(POWER(R26:R40,2))/COUNT(R26:R40))</f>
        <v>0.14968312339593573</v>
      </c>
    </row>
    <row r="44" spans="1:18" x14ac:dyDescent="0.2">
      <c r="B44" t="s">
        <v>159</v>
      </c>
    </row>
  </sheetData>
  <mergeCells count="7">
    <mergeCell ref="A22:D22"/>
    <mergeCell ref="A4:B4"/>
    <mergeCell ref="A24:B24"/>
    <mergeCell ref="C41:D41"/>
    <mergeCell ref="C42:D42"/>
    <mergeCell ref="A41:B41"/>
    <mergeCell ref="A42:B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50"/>
  <sheetViews>
    <sheetView zoomScale="85" zoomScaleNormal="85" workbookViewId="0">
      <selection activeCell="G23" sqref="A23:XFD26"/>
    </sheetView>
  </sheetViews>
  <sheetFormatPr defaultRowHeight="12.75" x14ac:dyDescent="0.2"/>
  <cols>
    <col min="1" max="1" width="9.140625" style="73"/>
    <col min="3" max="3" width="13" bestFit="1" customWidth="1"/>
    <col min="4" max="4" width="8.85546875" customWidth="1"/>
    <col min="5" max="5" width="6.42578125" customWidth="1"/>
    <col min="6" max="6" width="8.5703125" bestFit="1" customWidth="1"/>
    <col min="7" max="7" width="14.5703125" bestFit="1" customWidth="1"/>
    <col min="8" max="8" width="8.28515625" bestFit="1" customWidth="1"/>
    <col min="9" max="9" width="7.5703125" bestFit="1" customWidth="1"/>
    <col min="10" max="10" width="12" bestFit="1" customWidth="1"/>
    <col min="11" max="11" width="12.5703125" bestFit="1" customWidth="1"/>
    <col min="12" max="12" width="7.42578125" bestFit="1" customWidth="1"/>
    <col min="13" max="13" width="7.5703125" bestFit="1" customWidth="1"/>
  </cols>
  <sheetData>
    <row r="1" spans="1:17" x14ac:dyDescent="0.2">
      <c r="A1" s="73" t="s">
        <v>104</v>
      </c>
      <c r="B1" t="s">
        <v>84</v>
      </c>
    </row>
    <row r="2" spans="1:17" x14ac:dyDescent="0.2">
      <c r="A2" s="73" t="s">
        <v>99</v>
      </c>
      <c r="B2" t="s">
        <v>82</v>
      </c>
    </row>
    <row r="3" spans="1:17" x14ac:dyDescent="0.2">
      <c r="A3" s="73" t="s">
        <v>100</v>
      </c>
      <c r="B3" t="s">
        <v>148</v>
      </c>
    </row>
    <row r="4" spans="1:17" x14ac:dyDescent="0.2">
      <c r="A4" s="73" t="s">
        <v>101</v>
      </c>
      <c r="B4" t="s">
        <v>167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73" t="s">
        <v>102</v>
      </c>
      <c r="B7" s="182" t="s">
        <v>83</v>
      </c>
      <c r="C7" s="182"/>
      <c r="D7" s="182" t="s">
        <v>113</v>
      </c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6"/>
      <c r="P7" s="6"/>
      <c r="Q7" s="6"/>
    </row>
    <row r="8" spans="1:17" ht="15" x14ac:dyDescent="0.2">
      <c r="A8" s="73" t="s">
        <v>96</v>
      </c>
      <c r="C8" s="77" t="s">
        <v>85</v>
      </c>
      <c r="D8" s="77" t="s">
        <v>86</v>
      </c>
      <c r="E8" s="77" t="s">
        <v>87</v>
      </c>
      <c r="F8" s="77" t="s">
        <v>88</v>
      </c>
      <c r="G8" s="77" t="s">
        <v>89</v>
      </c>
      <c r="H8" s="77" t="s">
        <v>90</v>
      </c>
      <c r="I8" s="77" t="s">
        <v>91</v>
      </c>
      <c r="J8" s="77" t="s">
        <v>92</v>
      </c>
      <c r="K8" s="77" t="s">
        <v>93</v>
      </c>
      <c r="L8" s="77" t="s">
        <v>94</v>
      </c>
      <c r="M8" s="77" t="s">
        <v>95</v>
      </c>
      <c r="O8" s="6"/>
      <c r="P8" s="6"/>
      <c r="Q8" s="6"/>
    </row>
    <row r="9" spans="1:17" ht="15" x14ac:dyDescent="0.2">
      <c r="B9" s="77" t="s">
        <v>96</v>
      </c>
      <c r="C9" s="2">
        <v>9.9537733866040978E-2</v>
      </c>
      <c r="D9" s="2">
        <v>0.124482872056391</v>
      </c>
      <c r="E9" s="2">
        <v>0.18867942056694911</v>
      </c>
      <c r="F9" s="2">
        <v>8.2429689827831693E-2</v>
      </c>
      <c r="G9" s="2">
        <v>6.9496814412970231E-2</v>
      </c>
      <c r="H9" s="2">
        <v>0.18855103695735581</v>
      </c>
      <c r="I9" s="2">
        <v>0.18005665604963131</v>
      </c>
      <c r="J9" s="2">
        <v>7.0141046861058112E-2</v>
      </c>
      <c r="K9" s="2">
        <v>6.7845380615501411E-2</v>
      </c>
      <c r="L9" s="2">
        <v>0.37358840234673879</v>
      </c>
      <c r="M9" s="2">
        <v>1.2123224309194029</v>
      </c>
      <c r="O9" s="6"/>
      <c r="P9" s="6"/>
      <c r="Q9" s="6"/>
    </row>
    <row r="10" spans="1:17" ht="15" x14ac:dyDescent="0.2">
      <c r="B10" s="77" t="s">
        <v>97</v>
      </c>
      <c r="C10" s="2">
        <v>0.13646834981960901</v>
      </c>
      <c r="D10" s="2">
        <v>0.13892876674976451</v>
      </c>
      <c r="E10" s="2">
        <v>0.35254738798357638</v>
      </c>
      <c r="F10" s="2">
        <v>0.1042147718163093</v>
      </c>
      <c r="G10" s="2">
        <v>8.5165833917386996E-2</v>
      </c>
      <c r="H10" s="2">
        <v>0.35227414304677779</v>
      </c>
      <c r="I10" s="2">
        <v>0.3313644546417388</v>
      </c>
      <c r="J10" s="2">
        <v>8.5755263034804047E-2</v>
      </c>
      <c r="K10" s="2">
        <v>8.4847701570264791E-2</v>
      </c>
      <c r="L10" s="2">
        <v>0.92916983972875922</v>
      </c>
      <c r="M10" s="2">
        <v>3.6017929588066568</v>
      </c>
      <c r="O10" s="6"/>
      <c r="P10" s="6"/>
      <c r="Q10" s="6"/>
    </row>
    <row r="11" spans="1:17" ht="15" x14ac:dyDescent="0.2">
      <c r="B11" s="77" t="s">
        <v>98</v>
      </c>
      <c r="C11" s="2">
        <v>2.937430786268003E-2</v>
      </c>
      <c r="D11" s="2">
        <v>-5.4914461417096938E-2</v>
      </c>
      <c r="E11" s="2">
        <v>2.1981345669959129E-2</v>
      </c>
      <c r="F11" s="2">
        <v>-1.2200133481331921E-2</v>
      </c>
      <c r="G11" s="2">
        <v>3.5136430181079481E-2</v>
      </c>
      <c r="H11" s="2">
        <v>2.1915413252546201E-2</v>
      </c>
      <c r="I11" s="2">
        <v>1.745129870129869E-2</v>
      </c>
      <c r="J11" s="2">
        <v>3.5139057489172121E-2</v>
      </c>
      <c r="K11" s="2">
        <v>2.3919949786218919E-2</v>
      </c>
      <c r="L11" s="2">
        <v>6.3061320674819177E-2</v>
      </c>
      <c r="M11" s="2">
        <v>3.3350851554062033E-2</v>
      </c>
      <c r="O11" s="6"/>
      <c r="P11" s="6"/>
      <c r="Q11" s="6"/>
    </row>
    <row r="12" spans="1:17" ht="15" x14ac:dyDescent="0.2">
      <c r="B12" s="11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O12" s="6"/>
      <c r="P12" s="6"/>
      <c r="Q12" s="6"/>
    </row>
    <row r="13" spans="1:17" ht="15" x14ac:dyDescent="0.2">
      <c r="A13" s="73" t="s">
        <v>175</v>
      </c>
      <c r="C13" s="77" t="s">
        <v>85</v>
      </c>
      <c r="D13" s="77" t="s">
        <v>86</v>
      </c>
      <c r="E13" s="77" t="s">
        <v>87</v>
      </c>
      <c r="F13" s="77" t="s">
        <v>88</v>
      </c>
      <c r="G13" s="77" t="s">
        <v>89</v>
      </c>
      <c r="H13" s="77" t="s">
        <v>90</v>
      </c>
      <c r="I13" s="77" t="s">
        <v>91</v>
      </c>
      <c r="J13" s="77" t="s">
        <v>92</v>
      </c>
      <c r="K13" s="77" t="s">
        <v>93</v>
      </c>
      <c r="L13" s="77" t="s">
        <v>94</v>
      </c>
      <c r="M13" s="77" t="s">
        <v>95</v>
      </c>
      <c r="O13" s="6"/>
      <c r="P13" s="6"/>
      <c r="Q13" s="6"/>
    </row>
    <row r="14" spans="1:17" ht="15" x14ac:dyDescent="0.2">
      <c r="B14" s="77" t="s">
        <v>96</v>
      </c>
      <c r="C14" s="2">
        <v>9.4764164596573094E-2</v>
      </c>
      <c r="D14" s="2">
        <v>0.1058054308707624</v>
      </c>
      <c r="E14" s="2">
        <v>0.1941332385797335</v>
      </c>
      <c r="F14" s="2">
        <v>7.7256903455052151E-2</v>
      </c>
      <c r="G14" s="2">
        <v>5.8014264168040827E-2</v>
      </c>
      <c r="H14" s="2">
        <v>0.1939706309341743</v>
      </c>
      <c r="I14" s="2">
        <v>0.18331286007038791</v>
      </c>
      <c r="J14" s="2">
        <v>5.8725607243909211E-2</v>
      </c>
      <c r="K14" s="112">
        <v>5.5951296532657291E-2</v>
      </c>
      <c r="L14" s="2">
        <v>0.44187255463536601</v>
      </c>
      <c r="M14" s="2">
        <v>1.5110384416509921</v>
      </c>
      <c r="O14" s="6"/>
      <c r="P14" s="6"/>
      <c r="Q14" s="6"/>
    </row>
    <row r="15" spans="1:17" ht="15" x14ac:dyDescent="0.2">
      <c r="B15" s="77" t="s">
        <v>97</v>
      </c>
      <c r="C15" s="2">
        <v>0.13382431314273699</v>
      </c>
      <c r="D15" s="2">
        <v>0.11857047012743201</v>
      </c>
      <c r="E15" s="2">
        <v>0.38539633066442119</v>
      </c>
      <c r="F15" s="2">
        <v>9.5571620520869732E-2</v>
      </c>
      <c r="G15" s="2">
        <v>7.0233360335389738E-2</v>
      </c>
      <c r="H15" s="2">
        <v>0.38510105267413658</v>
      </c>
      <c r="I15" s="2">
        <v>0.36136606102383312</v>
      </c>
      <c r="J15" s="2">
        <v>7.0994965665411455E-2</v>
      </c>
      <c r="K15" s="112">
        <v>6.9750199085837641E-2</v>
      </c>
      <c r="L15" s="2">
        <v>1.037508735121728</v>
      </c>
      <c r="M15" s="2">
        <v>4.027123384128541</v>
      </c>
      <c r="O15" s="6"/>
      <c r="P15" s="6"/>
      <c r="Q15" s="6"/>
    </row>
    <row r="16" spans="1:17" ht="15" x14ac:dyDescent="0.2">
      <c r="B16" s="77" t="s">
        <v>98</v>
      </c>
      <c r="C16" s="2">
        <v>4.0367965367965393E-2</v>
      </c>
      <c r="D16" s="2">
        <v>-4.1566655587868651E-2</v>
      </c>
      <c r="E16" s="2">
        <v>2.1981345669959129E-2</v>
      </c>
      <c r="F16" s="2">
        <v>1.417860713637586E-3</v>
      </c>
      <c r="G16" s="2">
        <v>3.6671846718159373E-2</v>
      </c>
      <c r="H16" s="2">
        <v>2.1915413252546201E-2</v>
      </c>
      <c r="I16" s="2">
        <v>1.745129870129869E-2</v>
      </c>
      <c r="J16" s="2">
        <v>3.5731135254932538E-2</v>
      </c>
      <c r="K16" s="112">
        <v>2.3919949786218919E-2</v>
      </c>
      <c r="L16" s="2">
        <v>0.1035047715601962</v>
      </c>
      <c r="M16" s="2">
        <v>3.3350851554062033E-2</v>
      </c>
      <c r="O16" s="6"/>
      <c r="P16" s="6"/>
      <c r="Q16" s="6"/>
    </row>
    <row r="17" spans="1:17" x14ac:dyDescent="0.2">
      <c r="O17" s="6"/>
      <c r="P17" s="6"/>
      <c r="Q17" s="6"/>
    </row>
    <row r="18" spans="1:17" ht="15" x14ac:dyDescent="0.2">
      <c r="A18" s="73" t="s">
        <v>174</v>
      </c>
      <c r="C18" s="77" t="s">
        <v>85</v>
      </c>
      <c r="D18" s="77" t="s">
        <v>86</v>
      </c>
      <c r="E18" s="77" t="s">
        <v>87</v>
      </c>
      <c r="F18" s="77" t="s">
        <v>88</v>
      </c>
      <c r="G18" s="77" t="s">
        <v>89</v>
      </c>
      <c r="H18" s="77" t="s">
        <v>90</v>
      </c>
      <c r="I18" s="77" t="s">
        <v>91</v>
      </c>
      <c r="J18" s="77" t="s">
        <v>92</v>
      </c>
      <c r="K18" s="77" t="s">
        <v>93</v>
      </c>
      <c r="L18" s="77" t="s">
        <v>94</v>
      </c>
      <c r="M18" s="77" t="s">
        <v>95</v>
      </c>
      <c r="O18" s="6"/>
      <c r="P18" s="6"/>
      <c r="Q18" s="6"/>
    </row>
    <row r="19" spans="1:17" ht="15" x14ac:dyDescent="0.2">
      <c r="B19" s="77" t="s">
        <v>96</v>
      </c>
      <c r="C19" s="2">
        <v>5.898099086196297E-2</v>
      </c>
      <c r="D19" s="2">
        <v>0.1137204283057829</v>
      </c>
      <c r="E19" s="2">
        <v>8.2790717434711739E-2</v>
      </c>
      <c r="F19" s="2">
        <v>6.0179368578327549E-2</v>
      </c>
      <c r="G19" s="2">
        <v>5.908090275250244E-2</v>
      </c>
      <c r="H19" s="2">
        <v>8.2754356853852545E-2</v>
      </c>
      <c r="I19" s="2">
        <v>8.0900496639001784E-2</v>
      </c>
      <c r="J19" s="2">
        <v>5.978621628914739E-2</v>
      </c>
      <c r="K19" s="112">
        <v>5.6309205360965148E-2</v>
      </c>
      <c r="L19" s="2">
        <v>9.9430401325596648E-2</v>
      </c>
      <c r="M19" s="2">
        <v>8.5060933856142426E-2</v>
      </c>
      <c r="O19" s="6"/>
      <c r="P19" s="6"/>
      <c r="Q19" s="6"/>
    </row>
    <row r="20" spans="1:17" ht="15" x14ac:dyDescent="0.2">
      <c r="B20" s="77" t="s">
        <v>97</v>
      </c>
      <c r="C20" s="2">
        <v>7.3043791529808666E-2</v>
      </c>
      <c r="D20" s="2">
        <v>0.12777198881034929</v>
      </c>
      <c r="E20" s="2">
        <v>0.1172092688100187</v>
      </c>
      <c r="F20" s="2">
        <v>7.8695817312196062E-2</v>
      </c>
      <c r="G20" s="2">
        <v>7.1412835018564075E-2</v>
      </c>
      <c r="H20" s="2">
        <v>0.1171627017908317</v>
      </c>
      <c r="I20" s="2">
        <v>0.1147466021939455</v>
      </c>
      <c r="J20" s="2">
        <v>7.21349367022871E-2</v>
      </c>
      <c r="K20" s="112">
        <v>6.9946415734326875E-2</v>
      </c>
      <c r="L20" s="2">
        <v>0.13185129395674439</v>
      </c>
      <c r="M20" s="2">
        <v>0.1106359185458833</v>
      </c>
      <c r="O20" s="6"/>
      <c r="P20" s="6"/>
      <c r="Q20" s="6"/>
    </row>
    <row r="21" spans="1:17" ht="15" x14ac:dyDescent="0.2">
      <c r="B21" s="77" t="s">
        <v>98</v>
      </c>
      <c r="C21" s="2">
        <v>4.3551797040169087E-2</v>
      </c>
      <c r="D21" s="2">
        <v>-5.4914461417096938E-2</v>
      </c>
      <c r="E21" s="2">
        <v>2.1981345669959129E-2</v>
      </c>
      <c r="F21" s="2">
        <v>1.417860713637586E-3</v>
      </c>
      <c r="G21" s="2">
        <v>3.8403089970626032E-2</v>
      </c>
      <c r="H21" s="2">
        <v>2.1915413252546201E-2</v>
      </c>
      <c r="I21" s="2">
        <v>1.745129870129869E-2</v>
      </c>
      <c r="J21" s="2">
        <v>3.7458834566936772E-2</v>
      </c>
      <c r="K21" s="112">
        <v>2.562111922951249E-2</v>
      </c>
      <c r="L21" s="2">
        <v>7.7241452089730323E-2</v>
      </c>
      <c r="M21" s="2">
        <v>3.3350851554062033E-2</v>
      </c>
      <c r="O21" s="6"/>
      <c r="P21" s="6"/>
      <c r="Q21" s="6"/>
    </row>
    <row r="22" spans="1:17" ht="15" x14ac:dyDescent="0.2">
      <c r="B22" s="11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O22" s="6"/>
      <c r="P22" s="6"/>
      <c r="Q22" s="6"/>
    </row>
    <row r="23" spans="1:17" x14ac:dyDescent="0.2">
      <c r="O23" s="6"/>
      <c r="P23" s="6"/>
      <c r="Q23" s="6"/>
    </row>
    <row r="24" spans="1:17" x14ac:dyDescent="0.2">
      <c r="O24" s="6"/>
      <c r="P24" s="6"/>
      <c r="Q24" s="6"/>
    </row>
    <row r="25" spans="1:17" x14ac:dyDescent="0.2">
      <c r="A25" s="73" t="s">
        <v>103</v>
      </c>
      <c r="B25" t="s">
        <v>106</v>
      </c>
      <c r="O25" s="6"/>
      <c r="P25" s="6"/>
      <c r="Q25" s="6"/>
    </row>
    <row r="26" spans="1:17" x14ac:dyDescent="0.2">
      <c r="B26" t="s">
        <v>140</v>
      </c>
      <c r="H26" s="74" t="s">
        <v>107</v>
      </c>
      <c r="O26" s="6"/>
      <c r="P26" s="6"/>
      <c r="Q26" s="6"/>
    </row>
    <row r="27" spans="1:17" x14ac:dyDescent="0.2">
      <c r="B27" t="s">
        <v>141</v>
      </c>
      <c r="H27" s="74"/>
      <c r="O27" s="6"/>
      <c r="P27" s="6"/>
      <c r="Q27" s="6"/>
    </row>
    <row r="28" spans="1:17" x14ac:dyDescent="0.2">
      <c r="O28" s="6"/>
      <c r="P28" s="6"/>
      <c r="Q28" s="6"/>
    </row>
    <row r="29" spans="1:17" x14ac:dyDescent="0.2">
      <c r="O29" s="6"/>
      <c r="P29" s="6"/>
      <c r="Q29" s="6"/>
    </row>
    <row r="30" spans="1:17" x14ac:dyDescent="0.2">
      <c r="A30" s="73" t="s">
        <v>105</v>
      </c>
      <c r="B30" s="183" t="s">
        <v>109</v>
      </c>
      <c r="C30" s="183"/>
      <c r="D30" s="183"/>
      <c r="E30" s="183"/>
      <c r="F30" s="70" t="e">
        <f>#REF!+#REF!*'2. Past Proj &amp; Candidate Model'!R20</f>
        <v>#REF!</v>
      </c>
      <c r="G30" s="75" t="s">
        <v>110</v>
      </c>
      <c r="H30" s="2" t="e">
        <f>'2. Past Proj &amp; Candidate Model'!S20/'3. Improved Alpha Model'!F30-1</f>
        <v>#REF!</v>
      </c>
      <c r="O30" s="6"/>
      <c r="P30" s="6"/>
      <c r="Q30" s="6"/>
    </row>
    <row r="31" spans="1:17" x14ac:dyDescent="0.2">
      <c r="O31" s="6"/>
      <c r="P31" s="6"/>
      <c r="Q31" s="6"/>
    </row>
    <row r="32" spans="1:17" x14ac:dyDescent="0.2">
      <c r="O32" s="6"/>
      <c r="P32" s="6"/>
      <c r="Q32" s="6"/>
    </row>
    <row r="33" spans="1:17" x14ac:dyDescent="0.2">
      <c r="O33" s="6"/>
      <c r="P33" s="6"/>
      <c r="Q33" s="6"/>
    </row>
    <row r="34" spans="1:17" x14ac:dyDescent="0.2">
      <c r="B34" s="184" t="s">
        <v>160</v>
      </c>
      <c r="C34" s="184"/>
      <c r="D34" s="184"/>
      <c r="E34" s="3">
        <f>C9</f>
        <v>9.9537733866040978E-2</v>
      </c>
      <c r="F34" t="s">
        <v>111</v>
      </c>
      <c r="G34" s="184" t="s">
        <v>112</v>
      </c>
      <c r="H34" s="184"/>
      <c r="I34" s="3" t="e">
        <f>#REF!</f>
        <v>#REF!</v>
      </c>
      <c r="O34" s="6"/>
      <c r="P34" s="6"/>
      <c r="Q34" s="6"/>
    </row>
    <row r="35" spans="1:17" x14ac:dyDescent="0.2">
      <c r="O35" s="6"/>
      <c r="P35" s="6"/>
      <c r="Q35" s="6"/>
    </row>
    <row r="36" spans="1:17" x14ac:dyDescent="0.2">
      <c r="O36" s="6"/>
      <c r="P36" s="6"/>
      <c r="Q36" s="6"/>
    </row>
    <row r="37" spans="1:17" x14ac:dyDescent="0.2">
      <c r="A37" s="73" t="s">
        <v>108</v>
      </c>
      <c r="B37" t="s">
        <v>114</v>
      </c>
      <c r="O37" s="6"/>
      <c r="P37" s="6"/>
      <c r="Q37" s="6"/>
    </row>
    <row r="38" spans="1:17" x14ac:dyDescent="0.2">
      <c r="B38" t="s">
        <v>115</v>
      </c>
      <c r="O38" s="6"/>
      <c r="P38" s="6"/>
      <c r="Q38" s="6"/>
    </row>
    <row r="39" spans="1:17" x14ac:dyDescent="0.2">
      <c r="B39" t="s">
        <v>116</v>
      </c>
      <c r="O39" s="6"/>
      <c r="P39" s="6"/>
      <c r="Q39" s="6"/>
    </row>
    <row r="40" spans="1:17" x14ac:dyDescent="0.2">
      <c r="B40" t="s">
        <v>117</v>
      </c>
      <c r="O40" s="6"/>
      <c r="P40" s="6"/>
      <c r="Q40" s="6"/>
    </row>
    <row r="41" spans="1:17" x14ac:dyDescent="0.2">
      <c r="B41" t="s">
        <v>118</v>
      </c>
      <c r="O41" s="6"/>
      <c r="P41" s="6"/>
      <c r="Q41" s="6"/>
    </row>
    <row r="42" spans="1:17" x14ac:dyDescent="0.2">
      <c r="B42" t="s">
        <v>119</v>
      </c>
      <c r="O42" s="6"/>
      <c r="P42" s="6"/>
      <c r="Q42" s="6"/>
    </row>
    <row r="43" spans="1:17" x14ac:dyDescent="0.2">
      <c r="B43" t="s">
        <v>120</v>
      </c>
      <c r="O43" s="6"/>
      <c r="P43" s="6"/>
      <c r="Q43" s="6"/>
    </row>
    <row r="44" spans="1:17" x14ac:dyDescent="0.2">
      <c r="B44" t="s">
        <v>121</v>
      </c>
      <c r="O44" s="6"/>
      <c r="P44" s="6"/>
      <c r="Q44" s="6"/>
    </row>
    <row r="45" spans="1:17" x14ac:dyDescent="0.2">
      <c r="B45" t="s">
        <v>122</v>
      </c>
      <c r="O45" s="6"/>
      <c r="P45" s="6"/>
      <c r="Q45" s="6"/>
    </row>
    <row r="46" spans="1:17" x14ac:dyDescent="0.2">
      <c r="B46" t="s">
        <v>123</v>
      </c>
      <c r="O46" s="6"/>
      <c r="P46" s="6"/>
      <c r="Q46" s="6"/>
    </row>
    <row r="47" spans="1:17" x14ac:dyDescent="0.2">
      <c r="O47" s="6"/>
      <c r="P47" s="6"/>
      <c r="Q47" s="6"/>
    </row>
    <row r="48" spans="1:17" x14ac:dyDescent="0.2">
      <c r="O48" s="6"/>
      <c r="P48" s="6"/>
      <c r="Q48" s="6"/>
    </row>
    <row r="49" spans="15:16" x14ac:dyDescent="0.2">
      <c r="O49" s="6"/>
      <c r="P49" s="6"/>
    </row>
    <row r="50" spans="15:16" x14ac:dyDescent="0.2">
      <c r="O50" s="6"/>
      <c r="P50" s="6"/>
    </row>
  </sheetData>
  <mergeCells count="5">
    <mergeCell ref="D7:N7"/>
    <mergeCell ref="B7:C7"/>
    <mergeCell ref="B30:E30"/>
    <mergeCell ref="B34:D34"/>
    <mergeCell ref="G34:H34"/>
  </mergeCells>
  <conditionalFormatting sqref="C9:K9">
    <cfRule type="colorScale" priority="4">
      <colorScale>
        <cfvo type="min"/>
        <cfvo type="max"/>
        <color rgb="FF63BE7B"/>
        <color rgb="FFFFEF9C"/>
      </colorScale>
    </cfRule>
  </conditionalFormatting>
  <conditionalFormatting sqref="C10:K10">
    <cfRule type="colorScale" priority="3">
      <colorScale>
        <cfvo type="min"/>
        <cfvo type="max"/>
        <color rgb="FF63BE7B"/>
        <color rgb="FFFFEF9C"/>
      </colorScale>
    </cfRule>
  </conditionalFormatting>
  <conditionalFormatting sqref="C14:K15">
    <cfRule type="colorScale" priority="2">
      <colorScale>
        <cfvo type="min"/>
        <cfvo type="max"/>
        <color rgb="FF63BE7B"/>
        <color rgb="FFFFEF9C"/>
      </colorScale>
    </cfRule>
  </conditionalFormatting>
  <conditionalFormatting sqref="C19:K20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6"/>
  <sheetViews>
    <sheetView tabSelected="1" zoomScale="85" zoomScaleNormal="85" workbookViewId="0">
      <selection activeCell="M33" sqref="M33"/>
    </sheetView>
  </sheetViews>
  <sheetFormatPr defaultRowHeight="12.75" x14ac:dyDescent="0.2"/>
  <cols>
    <col min="1" max="1" width="9.140625" style="73"/>
    <col min="3" max="3" width="18.5703125" customWidth="1"/>
    <col min="4" max="13" width="14.7109375" customWidth="1"/>
    <col min="23" max="23" width="22.5703125" customWidth="1"/>
  </cols>
  <sheetData>
    <row r="1" spans="1:25" x14ac:dyDescent="0.2">
      <c r="A1" s="73" t="s">
        <v>125</v>
      </c>
      <c r="B1" t="s">
        <v>84</v>
      </c>
    </row>
    <row r="2" spans="1:25" x14ac:dyDescent="0.2">
      <c r="A2" s="73" t="s">
        <v>99</v>
      </c>
      <c r="B2" s="84" t="s">
        <v>161</v>
      </c>
      <c r="C2" s="85" t="str">
        <f>K5</f>
        <v>LASSO_CON</v>
      </c>
      <c r="D2" t="s">
        <v>162</v>
      </c>
    </row>
    <row r="4" spans="1:25" x14ac:dyDescent="0.2">
      <c r="A4" s="73" t="s">
        <v>100</v>
      </c>
      <c r="B4" t="s">
        <v>124</v>
      </c>
    </row>
    <row r="5" spans="1:25" ht="15" x14ac:dyDescent="0.2">
      <c r="A5" s="73" t="s">
        <v>176</v>
      </c>
      <c r="C5" s="77" t="s">
        <v>85</v>
      </c>
      <c r="D5" s="77" t="s">
        <v>86</v>
      </c>
      <c r="E5" s="77" t="s">
        <v>87</v>
      </c>
      <c r="F5" s="77" t="s">
        <v>88</v>
      </c>
      <c r="G5" s="77" t="s">
        <v>89</v>
      </c>
      <c r="H5" s="77" t="s">
        <v>90</v>
      </c>
      <c r="I5" s="77" t="s">
        <v>91</v>
      </c>
      <c r="J5" s="77" t="s">
        <v>92</v>
      </c>
      <c r="K5" s="77" t="s">
        <v>93</v>
      </c>
      <c r="L5" s="77" t="s">
        <v>94</v>
      </c>
      <c r="M5" s="77" t="s">
        <v>95</v>
      </c>
    </row>
    <row r="6" spans="1:25" ht="15" x14ac:dyDescent="0.2">
      <c r="B6" s="77" t="s">
        <v>96</v>
      </c>
      <c r="C6" s="2">
        <v>8.4234812974731635E-2</v>
      </c>
      <c r="D6" s="2">
        <v>0.1016814979698395</v>
      </c>
      <c r="E6" s="2">
        <v>0.17829476815784551</v>
      </c>
      <c r="F6" s="2">
        <v>7.3679096912823649E-2</v>
      </c>
      <c r="G6" s="2">
        <v>5.6695481098667698E-2</v>
      </c>
      <c r="H6" s="2">
        <v>0.17815023428158161</v>
      </c>
      <c r="I6" s="2">
        <v>0.16876525210923091</v>
      </c>
      <c r="J6" s="2">
        <v>5.7328671067036187E-2</v>
      </c>
      <c r="K6" s="2">
        <v>5.486170744578743E-2</v>
      </c>
      <c r="L6" s="2">
        <v>0.39660293875889069</v>
      </c>
      <c r="M6" s="2">
        <v>1.3483024350134889</v>
      </c>
    </row>
    <row r="7" spans="1:25" ht="15" x14ac:dyDescent="0.2">
      <c r="B7" s="77" t="s">
        <v>97</v>
      </c>
      <c r="C7" s="2">
        <v>0.1261707724144818</v>
      </c>
      <c r="D7" s="2">
        <v>0.11411006965284259</v>
      </c>
      <c r="E7" s="2">
        <v>0.3637618073806072</v>
      </c>
      <c r="F7" s="2">
        <v>9.1348890653264389E-2</v>
      </c>
      <c r="G7" s="2">
        <v>6.7979719395541413E-2</v>
      </c>
      <c r="H7" s="2">
        <v>0.36348372897019748</v>
      </c>
      <c r="I7" s="2">
        <v>0.34114636230561413</v>
      </c>
      <c r="J7" s="2">
        <v>6.8679931870210598E-2</v>
      </c>
      <c r="K7" s="2">
        <v>6.7536066677710879E-2</v>
      </c>
      <c r="L7" s="2">
        <v>0.97824000300746428</v>
      </c>
      <c r="M7" s="2">
        <v>3.796839860006501</v>
      </c>
    </row>
    <row r="8" spans="1:25" ht="15" x14ac:dyDescent="0.2">
      <c r="B8" s="77" t="s">
        <v>98</v>
      </c>
      <c r="C8" s="2">
        <v>2.6190476190476319E-2</v>
      </c>
      <c r="D8" s="2">
        <v>-4.6679518072289088E-2</v>
      </c>
      <c r="E8" s="2">
        <v>1.256452262399921E-2</v>
      </c>
      <c r="F8" s="2">
        <v>-1.0839845147033509E-2</v>
      </c>
      <c r="G8" s="2">
        <v>1.9546024387055331E-2</v>
      </c>
      <c r="H8" s="2">
        <v>1.2508357272099421E-2</v>
      </c>
      <c r="I8" s="2">
        <v>8.9285714285713969E-3</v>
      </c>
      <c r="J8" s="2">
        <v>1.9552348284214819E-2</v>
      </c>
      <c r="K8" s="2">
        <v>1.959110819773047E-2</v>
      </c>
      <c r="L8" s="2">
        <v>9.8714798665867853E-2</v>
      </c>
      <c r="M8" s="2">
        <v>3.2495144227119299E-2</v>
      </c>
    </row>
    <row r="10" spans="1:25" ht="15" x14ac:dyDescent="0.2">
      <c r="A10" s="73" t="s">
        <v>101</v>
      </c>
      <c r="B10" s="78" t="s">
        <v>163</v>
      </c>
    </row>
    <row r="12" spans="1:25" x14ac:dyDescent="0.2">
      <c r="A12" s="73" t="s">
        <v>102</v>
      </c>
      <c r="B12" t="s">
        <v>139</v>
      </c>
    </row>
    <row r="13" spans="1:25" ht="15" x14ac:dyDescent="0.2">
      <c r="B13" s="77" t="s">
        <v>126</v>
      </c>
      <c r="C13" s="77" t="s">
        <v>127</v>
      </c>
      <c r="D13" s="77" t="s">
        <v>85</v>
      </c>
      <c r="E13" s="77" t="s">
        <v>86</v>
      </c>
      <c r="F13" s="77" t="s">
        <v>87</v>
      </c>
      <c r="G13" s="77" t="s">
        <v>88</v>
      </c>
      <c r="H13" s="77" t="s">
        <v>89</v>
      </c>
      <c r="I13" s="77" t="s">
        <v>90</v>
      </c>
      <c r="J13" s="77" t="s">
        <v>91</v>
      </c>
      <c r="K13" s="77" t="s">
        <v>92</v>
      </c>
      <c r="L13" s="77" t="s">
        <v>93</v>
      </c>
      <c r="M13" s="77" t="s">
        <v>94</v>
      </c>
      <c r="N13" s="77" t="s">
        <v>95</v>
      </c>
      <c r="O13" s="77" t="s">
        <v>128</v>
      </c>
      <c r="P13" s="77" t="s">
        <v>129</v>
      </c>
      <c r="Q13" s="77" t="s">
        <v>130</v>
      </c>
      <c r="R13" s="77" t="s">
        <v>131</v>
      </c>
      <c r="S13" s="77" t="s">
        <v>132</v>
      </c>
      <c r="T13" s="77" t="s">
        <v>133</v>
      </c>
      <c r="U13" s="77" t="s">
        <v>134</v>
      </c>
      <c r="V13" s="77" t="s">
        <v>135</v>
      </c>
      <c r="W13" s="77" t="s">
        <v>136</v>
      </c>
      <c r="X13" s="77" t="s">
        <v>137</v>
      </c>
      <c r="Y13" s="77" t="s">
        <v>138</v>
      </c>
    </row>
    <row r="14" spans="1:25" x14ac:dyDescent="0.2">
      <c r="B14" t="s">
        <v>169</v>
      </c>
      <c r="C14">
        <v>175</v>
      </c>
      <c r="D14">
        <v>176.2</v>
      </c>
      <c r="E14">
        <v>151.30609999999999</v>
      </c>
    </row>
    <row r="15" spans="1:25" x14ac:dyDescent="0.2">
      <c r="B15" t="s">
        <v>42</v>
      </c>
      <c r="C15">
        <v>168</v>
      </c>
      <c r="D15">
        <v>169</v>
      </c>
      <c r="E15">
        <v>154.7415</v>
      </c>
    </row>
    <row r="16" spans="1:25" x14ac:dyDescent="0.2">
      <c r="B16" t="s">
        <v>43</v>
      </c>
      <c r="C16">
        <v>173</v>
      </c>
      <c r="D16">
        <v>193.2</v>
      </c>
      <c r="E16">
        <v>169.0284</v>
      </c>
    </row>
    <row r="17" spans="2:25" x14ac:dyDescent="0.2">
      <c r="B17" t="s">
        <v>44</v>
      </c>
      <c r="C17">
        <v>172</v>
      </c>
      <c r="D17">
        <v>181.4</v>
      </c>
      <c r="E17">
        <v>169.4538</v>
      </c>
    </row>
    <row r="18" spans="2:25" x14ac:dyDescent="0.2">
      <c r="B18" t="s">
        <v>45</v>
      </c>
      <c r="C18">
        <v>177</v>
      </c>
      <c r="D18">
        <v>186.4</v>
      </c>
      <c r="E18">
        <v>181.23689999999999</v>
      </c>
    </row>
    <row r="19" spans="2:25" x14ac:dyDescent="0.2">
      <c r="B19" t="s">
        <v>46</v>
      </c>
      <c r="C19">
        <v>152</v>
      </c>
      <c r="D19">
        <v>176.9</v>
      </c>
      <c r="E19">
        <v>172.45140000000001</v>
      </c>
      <c r="F19">
        <v>174.0398449615021</v>
      </c>
      <c r="G19">
        <v>172.09906294939009</v>
      </c>
      <c r="H19">
        <v>172.76592397474809</v>
      </c>
      <c r="I19">
        <v>174.0225986144049</v>
      </c>
      <c r="J19">
        <v>173.42442814927151</v>
      </c>
      <c r="K19">
        <v>172.81527127975411</v>
      </c>
      <c r="L19">
        <v>173.28146366523171</v>
      </c>
      <c r="M19">
        <v>172.8032158856104</v>
      </c>
      <c r="N19">
        <v>175.74100831197211</v>
      </c>
      <c r="O19" s="2">
        <v>0.16381578947368419</v>
      </c>
      <c r="P19" s="2">
        <v>0.13454868421052629</v>
      </c>
      <c r="Q19" s="2">
        <v>0.14499898000988229</v>
      </c>
      <c r="R19" s="2">
        <v>0.13223067729861951</v>
      </c>
      <c r="S19" s="2">
        <v>0.13661792088650079</v>
      </c>
      <c r="T19" s="2">
        <v>0.14488551720003251</v>
      </c>
      <c r="U19" s="2">
        <v>0.14095018519257579</v>
      </c>
      <c r="V19" s="2">
        <v>0.13694257420890829</v>
      </c>
      <c r="W19" s="2">
        <v>0.14000962937652431</v>
      </c>
      <c r="X19" s="2">
        <v>0.13686326240533139</v>
      </c>
      <c r="Y19" s="2">
        <v>0.15619084415771131</v>
      </c>
    </row>
    <row r="20" spans="2:25" x14ac:dyDescent="0.2">
      <c r="B20" t="s">
        <v>47</v>
      </c>
      <c r="C20">
        <v>168</v>
      </c>
      <c r="D20">
        <v>172.4</v>
      </c>
      <c r="E20">
        <v>157.39089999999999</v>
      </c>
      <c r="F20">
        <v>170.11083980083191</v>
      </c>
      <c r="G20">
        <v>166.1789060152984</v>
      </c>
      <c r="H20">
        <v>167.13110522089181</v>
      </c>
      <c r="I20">
        <v>170.10140402171271</v>
      </c>
      <c r="J20">
        <v>169.5</v>
      </c>
      <c r="K20">
        <v>167.23676686080151</v>
      </c>
      <c r="L20">
        <v>167.85113385189541</v>
      </c>
      <c r="M20">
        <v>168.25304984151569</v>
      </c>
      <c r="N20">
        <v>173.74670189200879</v>
      </c>
      <c r="O20" s="2">
        <v>2.6190476190476319E-2</v>
      </c>
      <c r="P20" s="2">
        <v>-6.3149404761904782E-2</v>
      </c>
      <c r="Q20" s="2">
        <v>1.256452262399921E-2</v>
      </c>
      <c r="R20" s="2">
        <v>-1.0839845147033509E-2</v>
      </c>
      <c r="S20" s="2">
        <v>-5.1719927327867898E-3</v>
      </c>
      <c r="T20" s="2">
        <v>1.2508357272099421E-2</v>
      </c>
      <c r="U20" s="2">
        <v>8.9285714285713969E-3</v>
      </c>
      <c r="V20" s="2">
        <v>-4.5430543999911421E-3</v>
      </c>
      <c r="W20" s="2">
        <v>-8.8610802443223058E-4</v>
      </c>
      <c r="X20" s="2">
        <v>1.506249056641096E-3</v>
      </c>
      <c r="Y20" s="2">
        <v>3.4206558881004767E-2</v>
      </c>
    </row>
    <row r="21" spans="2:25" x14ac:dyDescent="0.2">
      <c r="B21" t="s">
        <v>48</v>
      </c>
      <c r="C21">
        <v>165</v>
      </c>
      <c r="D21">
        <v>174</v>
      </c>
      <c r="E21">
        <v>145.2054</v>
      </c>
      <c r="F21">
        <v>170.1806978381266</v>
      </c>
      <c r="G21">
        <v>167.25646848476089</v>
      </c>
      <c r="H21">
        <v>173.87661539312839</v>
      </c>
      <c r="I21">
        <v>170.16820742344379</v>
      </c>
      <c r="J21">
        <v>169.28571428571431</v>
      </c>
      <c r="K21">
        <v>173.56513716723231</v>
      </c>
      <c r="L21">
        <v>169.66105057682671</v>
      </c>
      <c r="M21">
        <v>182.86863283499659</v>
      </c>
      <c r="N21">
        <v>170.3616987974747</v>
      </c>
      <c r="O21" s="2">
        <v>5.4545454545454453E-2</v>
      </c>
      <c r="P21" s="2">
        <v>-0.1199672727272727</v>
      </c>
      <c r="Q21" s="2">
        <v>3.139816871591905E-2</v>
      </c>
      <c r="R21" s="2">
        <v>1.3675566574308681E-2</v>
      </c>
      <c r="S21" s="2">
        <v>5.3797669049263419E-2</v>
      </c>
      <c r="T21" s="2">
        <v>3.1322469232992978E-2</v>
      </c>
      <c r="U21" s="2">
        <v>2.5974025974025979E-2</v>
      </c>
      <c r="V21" s="2">
        <v>5.1909922225650267E-2</v>
      </c>
      <c r="W21" s="2">
        <v>2.8248791374707372E-2</v>
      </c>
      <c r="X21" s="2">
        <v>0.1082947444545246</v>
      </c>
      <c r="Y21" s="2">
        <v>3.2495144227119299E-2</v>
      </c>
    </row>
    <row r="22" spans="2:25" x14ac:dyDescent="0.2">
      <c r="B22" t="s">
        <v>49</v>
      </c>
      <c r="C22">
        <v>175</v>
      </c>
      <c r="D22">
        <v>177.7</v>
      </c>
      <c r="E22">
        <v>153.80879999999999</v>
      </c>
      <c r="F22">
        <v>168.39230473858419</v>
      </c>
      <c r="G22">
        <v>168.35232126552259</v>
      </c>
      <c r="H22">
        <v>170.24172887839541</v>
      </c>
      <c r="I22">
        <v>168.3956704878064</v>
      </c>
      <c r="J22">
        <v>168.75</v>
      </c>
      <c r="K22">
        <v>170.1389304376608</v>
      </c>
      <c r="L22">
        <v>168.53008472060861</v>
      </c>
      <c r="M22">
        <v>167.88083497089721</v>
      </c>
      <c r="N22">
        <v>171.6150340846871</v>
      </c>
      <c r="O22" s="2">
        <v>1.5428571428571351E-2</v>
      </c>
      <c r="P22" s="2">
        <v>-0.1210925714285714</v>
      </c>
      <c r="Q22" s="2">
        <v>-3.775825863666149E-2</v>
      </c>
      <c r="R22" s="2">
        <v>-3.7986735625585188E-2</v>
      </c>
      <c r="S22" s="2">
        <v>-2.7190120694883579E-2</v>
      </c>
      <c r="T22" s="2">
        <v>-3.7739025783963258E-2</v>
      </c>
      <c r="U22" s="2">
        <v>-3.5714285714285698E-2</v>
      </c>
      <c r="V22" s="2">
        <v>-2.7777540356223929E-2</v>
      </c>
      <c r="W22" s="2">
        <v>-3.6970944453665437E-2</v>
      </c>
      <c r="X22" s="2">
        <v>-4.0680943023444723E-2</v>
      </c>
      <c r="Y22" s="2">
        <v>-1.9342662373216801E-2</v>
      </c>
    </row>
    <row r="23" spans="2:25" x14ac:dyDescent="0.2">
      <c r="B23" t="s">
        <v>50</v>
      </c>
      <c r="C23">
        <v>137</v>
      </c>
      <c r="D23">
        <v>146.19999999999999</v>
      </c>
      <c r="E23">
        <v>166.18379999999999</v>
      </c>
      <c r="F23">
        <v>169.41975622490881</v>
      </c>
      <c r="G23">
        <v>156.83192978056439</v>
      </c>
      <c r="H23">
        <v>145.4859126189242</v>
      </c>
      <c r="I23">
        <v>169.41997440628981</v>
      </c>
      <c r="J23">
        <v>169.44444444444451</v>
      </c>
      <c r="K23">
        <v>146.56646726663331</v>
      </c>
      <c r="L23">
        <v>145.5037183772333</v>
      </c>
      <c r="M23">
        <v>168.49108429871501</v>
      </c>
      <c r="N23">
        <v>166.46522906557041</v>
      </c>
      <c r="O23" s="2">
        <v>6.7153284671532809E-2</v>
      </c>
      <c r="P23" s="2">
        <v>0.2130204379562044</v>
      </c>
      <c r="Q23" s="2">
        <v>0.23664055638619549</v>
      </c>
      <c r="R23" s="2">
        <v>0.14475861153696609</v>
      </c>
      <c r="S23" s="2">
        <v>6.19409680213443E-2</v>
      </c>
      <c r="T23" s="2">
        <v>0.2366421489510202</v>
      </c>
      <c r="U23" s="2">
        <v>0.2368207623682077</v>
      </c>
      <c r="V23" s="2">
        <v>6.9828228223600908E-2</v>
      </c>
      <c r="W23" s="2">
        <v>6.207093706009692E-2</v>
      </c>
      <c r="X23" s="2">
        <v>0.2298619291877011</v>
      </c>
      <c r="Y23" s="2">
        <v>0.21507466471219261</v>
      </c>
    </row>
    <row r="24" spans="2:25" x14ac:dyDescent="0.2">
      <c r="B24" t="s">
        <v>51</v>
      </c>
      <c r="C24">
        <v>85</v>
      </c>
      <c r="D24">
        <v>57.9</v>
      </c>
      <c r="E24">
        <v>94.480199999999996</v>
      </c>
      <c r="F24">
        <v>174.4600983803343</v>
      </c>
      <c r="G24">
        <v>71.503929193736653</v>
      </c>
      <c r="H24">
        <v>86.661412072899708</v>
      </c>
      <c r="I24">
        <v>174.388288323963</v>
      </c>
      <c r="J24">
        <v>168.5316362601894</v>
      </c>
      <c r="K24">
        <v>86.661949604158252</v>
      </c>
      <c r="L24">
        <v>86.66524419680708</v>
      </c>
      <c r="M24">
        <v>333.05873250695907</v>
      </c>
      <c r="N24">
        <v>-882.7063418850521</v>
      </c>
      <c r="O24" s="2">
        <v>-0.31882352941176467</v>
      </c>
      <c r="P24" s="2">
        <v>0.11153176470588221</v>
      </c>
      <c r="Q24" s="2">
        <v>1.052471745650992</v>
      </c>
      <c r="R24" s="2">
        <v>-0.15877730360309819</v>
      </c>
      <c r="S24" s="2">
        <v>1.9546024387055331E-2</v>
      </c>
      <c r="T24" s="2">
        <v>1.051626921458388</v>
      </c>
      <c r="U24" s="2">
        <v>0.98272513247281656</v>
      </c>
      <c r="V24" s="2">
        <v>1.9552348284214819E-2</v>
      </c>
      <c r="W24" s="2">
        <v>1.959110819773047E-2</v>
      </c>
      <c r="X24" s="2">
        <v>2.9183380294936372</v>
      </c>
      <c r="Y24" s="2">
        <v>-11.384780492765319</v>
      </c>
    </row>
    <row r="25" spans="2:25" x14ac:dyDescent="0.2">
      <c r="B25" t="s">
        <v>54</v>
      </c>
      <c r="C25">
        <v>145</v>
      </c>
      <c r="D25">
        <v>154.1</v>
      </c>
      <c r="E25">
        <v>139.71420000000001</v>
      </c>
      <c r="F25">
        <v>143.95333372031419</v>
      </c>
      <c r="G25">
        <v>151.3934271406703</v>
      </c>
      <c r="H25">
        <v>155.36534454059131</v>
      </c>
      <c r="I25">
        <v>143.98133401896479</v>
      </c>
      <c r="J25">
        <v>144.29007110255839</v>
      </c>
      <c r="K25">
        <v>155.31793338518031</v>
      </c>
      <c r="L25">
        <v>155.3638877536915</v>
      </c>
      <c r="M25">
        <v>159.3136458065508</v>
      </c>
      <c r="N25">
        <v>179.05926723038189</v>
      </c>
      <c r="O25" s="2">
        <v>6.2758620689655098E-2</v>
      </c>
      <c r="P25" s="2">
        <v>-3.6453793103448207E-2</v>
      </c>
      <c r="Q25" s="2">
        <v>-7.2183881357643642E-3</v>
      </c>
      <c r="R25" s="2">
        <v>4.4092600970140117E-2</v>
      </c>
      <c r="S25" s="2">
        <v>7.1485134762698355E-2</v>
      </c>
      <c r="T25" s="2">
        <v>-7.025282627828644E-3</v>
      </c>
      <c r="U25" s="2">
        <v>-4.896061361665871E-3</v>
      </c>
      <c r="V25" s="2">
        <v>7.1158161277105503E-2</v>
      </c>
      <c r="W25" s="2">
        <v>7.1475087956492933E-2</v>
      </c>
      <c r="X25" s="2">
        <v>9.8714798665867853E-2</v>
      </c>
      <c r="Y25" s="2">
        <v>0.23489149814056501</v>
      </c>
    </row>
    <row r="26" spans="2:25" x14ac:dyDescent="0.2">
      <c r="B26" t="s">
        <v>55</v>
      </c>
      <c r="C26">
        <v>166</v>
      </c>
      <c r="D26">
        <v>157.80000000000001</v>
      </c>
      <c r="E26">
        <v>158.25120000000001</v>
      </c>
      <c r="F26">
        <v>161.01746211257651</v>
      </c>
      <c r="G26">
        <v>153.43481477714539</v>
      </c>
      <c r="H26">
        <v>151.3315290535742</v>
      </c>
      <c r="I26">
        <v>161.01745605878651</v>
      </c>
      <c r="J26">
        <v>160.9380198955416</v>
      </c>
      <c r="K26">
        <v>151.37655719005389</v>
      </c>
      <c r="L26">
        <v>151.33261087427701</v>
      </c>
      <c r="M26">
        <v>166.11959981209949</v>
      </c>
      <c r="N26">
        <v>164.11993912016601</v>
      </c>
      <c r="O26" s="2">
        <v>-4.9397590361445753E-2</v>
      </c>
      <c r="P26" s="2">
        <v>-4.6679518072289088E-2</v>
      </c>
      <c r="Q26" s="2">
        <v>-3.0015288478454579E-2</v>
      </c>
      <c r="R26" s="2">
        <v>-7.569388688466594E-2</v>
      </c>
      <c r="S26" s="2">
        <v>-8.8364282809794026E-2</v>
      </c>
      <c r="T26" s="2">
        <v>-3.0015324947069041E-2</v>
      </c>
      <c r="U26" s="2">
        <v>-3.0493856050954001E-2</v>
      </c>
      <c r="V26" s="2">
        <v>-8.8093028975578802E-2</v>
      </c>
      <c r="W26" s="2">
        <v>-8.835776581760868E-2</v>
      </c>
      <c r="X26" s="2">
        <v>7.2048079577990976E-4</v>
      </c>
      <c r="Y26" s="2">
        <v>-1.1325667950807141E-2</v>
      </c>
    </row>
    <row r="27" spans="2:25" x14ac:dyDescent="0.2">
      <c r="B27" t="s">
        <v>71</v>
      </c>
      <c r="C27">
        <v>172.6</v>
      </c>
      <c r="D27">
        <v>172.6</v>
      </c>
      <c r="E27">
        <v>160.7441</v>
      </c>
      <c r="F27">
        <v>163.69608297449889</v>
      </c>
      <c r="G27">
        <v>164.82322314635579</v>
      </c>
      <c r="H27">
        <v>164.63533562456041</v>
      </c>
      <c r="I27">
        <v>163.696073260899</v>
      </c>
      <c r="J27">
        <v>163.55845455871241</v>
      </c>
      <c r="K27">
        <v>164.63396084685581</v>
      </c>
      <c r="L27">
        <v>164.635373906007</v>
      </c>
      <c r="M27">
        <v>166.6546183724524</v>
      </c>
      <c r="N27">
        <v>164.58887768173619</v>
      </c>
      <c r="O27" s="2">
        <v>0</v>
      </c>
      <c r="P27" s="2">
        <v>-6.8690034762456498E-2</v>
      </c>
      <c r="Q27" s="2">
        <v>-5.1587004782741142E-2</v>
      </c>
      <c r="R27" s="2">
        <v>-4.5056644574995593E-2</v>
      </c>
      <c r="S27" s="2">
        <v>-4.6145216543682747E-2</v>
      </c>
      <c r="T27" s="2">
        <v>-5.15870610608401E-2</v>
      </c>
      <c r="U27" s="2">
        <v>-5.2384388419974733E-2</v>
      </c>
      <c r="V27" s="2">
        <v>-4.6153181652052067E-2</v>
      </c>
      <c r="W27" s="2">
        <v>-4.6144994750828561E-2</v>
      </c>
      <c r="X27" s="2">
        <v>-3.4446011747089278E-2</v>
      </c>
      <c r="Y27" s="2">
        <v>-4.6414381913463372E-2</v>
      </c>
    </row>
    <row r="28" spans="2:25" x14ac:dyDescent="0.2">
      <c r="I28" s="113" t="s">
        <v>149</v>
      </c>
      <c r="J28" s="113"/>
      <c r="K28" s="113"/>
      <c r="L28">
        <f>L$27/(1+W28)</f>
        <v>161.95350057788986</v>
      </c>
      <c r="S28" s="113" t="s">
        <v>142</v>
      </c>
      <c r="T28" s="113"/>
      <c r="U28" s="113"/>
      <c r="V28" s="113"/>
      <c r="W28" s="1">
        <f>AVERAGE(W19:W27)</f>
        <v>1.6559526768779673E-2</v>
      </c>
    </row>
    <row r="29" spans="2:25" x14ac:dyDescent="0.2">
      <c r="I29" s="114" t="s">
        <v>150</v>
      </c>
      <c r="J29" s="114"/>
      <c r="K29" s="114"/>
      <c r="L29">
        <f>L$27/(1+W29)</f>
        <v>161.47195928083661</v>
      </c>
      <c r="S29" s="114" t="s">
        <v>144</v>
      </c>
      <c r="T29" s="114"/>
      <c r="U29" s="114"/>
      <c r="V29" s="114"/>
      <c r="W29" s="1">
        <f>MEDIAN(W19:W27)</f>
        <v>1.959110819773047E-2</v>
      </c>
    </row>
    <row r="30" spans="2:25" x14ac:dyDescent="0.2">
      <c r="I30" s="115" t="s">
        <v>151</v>
      </c>
      <c r="J30" s="115"/>
      <c r="K30" s="115"/>
      <c r="L30">
        <f>L$27/(1+W30)</f>
        <v>171.86605486813414</v>
      </c>
      <c r="S30" s="115" t="s">
        <v>143</v>
      </c>
      <c r="T30" s="115"/>
      <c r="U30" s="115"/>
      <c r="V30" s="115"/>
      <c r="W30" s="1">
        <f>AVERAGE(W26,W22,W20)</f>
        <v>-4.2071606098568783E-2</v>
      </c>
    </row>
    <row r="31" spans="2:25" x14ac:dyDescent="0.2">
      <c r="I31" s="116" t="s">
        <v>152</v>
      </c>
      <c r="J31" s="116"/>
      <c r="K31" s="116"/>
      <c r="L31">
        <f>L$27/(1+W31)</f>
        <v>170.95577018972492</v>
      </c>
      <c r="S31" s="116" t="s">
        <v>145</v>
      </c>
      <c r="T31" s="116"/>
      <c r="U31" s="116"/>
      <c r="V31" s="116"/>
      <c r="W31" s="1">
        <f>MEDIAN(W26,W22,W20)</f>
        <v>-3.6970944453665437E-2</v>
      </c>
    </row>
    <row r="32" spans="2:25" x14ac:dyDescent="0.2">
      <c r="I32" s="117" t="s">
        <v>153</v>
      </c>
      <c r="J32" s="117"/>
      <c r="K32" s="117"/>
      <c r="L32">
        <f t="shared" ref="L32:L33" si="0">L$27/(1+W32)</f>
        <v>154.6919151530835</v>
      </c>
      <c r="M32">
        <f>L32</f>
        <v>154.6919151530835</v>
      </c>
      <c r="S32" s="117" t="s">
        <v>146</v>
      </c>
      <c r="T32" s="117"/>
      <c r="U32" s="117"/>
      <c r="V32" s="117"/>
      <c r="W32" s="1">
        <f>AVERAGE(W23:W25,W21,W19)</f>
        <v>6.4279110793110397E-2</v>
      </c>
    </row>
    <row r="33" spans="1:23" x14ac:dyDescent="0.2">
      <c r="I33" s="118" t="s">
        <v>154</v>
      </c>
      <c r="J33" s="118"/>
      <c r="K33" s="118"/>
      <c r="L33">
        <f t="shared" si="0"/>
        <v>155.0135383251629</v>
      </c>
      <c r="S33" s="118" t="s">
        <v>147</v>
      </c>
      <c r="T33" s="118"/>
      <c r="U33" s="118"/>
      <c r="V33" s="118"/>
      <c r="W33" s="1">
        <f>MEDIAN(W23:W25,W21,W19)</f>
        <v>6.207093706009692E-2</v>
      </c>
    </row>
    <row r="36" spans="1:23" x14ac:dyDescent="0.2">
      <c r="A36" s="73" t="s">
        <v>103</v>
      </c>
      <c r="B36" t="s">
        <v>155</v>
      </c>
    </row>
    <row r="37" spans="1:23" x14ac:dyDescent="0.2">
      <c r="B37" t="s">
        <v>156</v>
      </c>
    </row>
    <row r="43" spans="1:23" x14ac:dyDescent="0.2">
      <c r="A43" s="73" t="s">
        <v>105</v>
      </c>
      <c r="B43" s="86" t="s">
        <v>157</v>
      </c>
      <c r="C43" s="87">
        <f>L29</f>
        <v>161.47195928083661</v>
      </c>
      <c r="D43" t="s">
        <v>171</v>
      </c>
    </row>
    <row r="45" spans="1:23" x14ac:dyDescent="0.2">
      <c r="B45" s="185" t="s">
        <v>165</v>
      </c>
      <c r="C45" s="185"/>
      <c r="D45" s="2">
        <f>C43/D27-1</f>
        <v>-6.4473005325396127E-2</v>
      </c>
    </row>
    <row r="46" spans="1:23" x14ac:dyDescent="0.2">
      <c r="B46" s="173" t="s">
        <v>164</v>
      </c>
      <c r="C46" s="173"/>
      <c r="D46" s="2">
        <f>'1. Data &amp; Confidence Interval'!R25</f>
        <v>-5.1076661240195387E-2</v>
      </c>
    </row>
  </sheetData>
  <mergeCells count="2">
    <mergeCell ref="B46:C46"/>
    <mergeCell ref="B45:C45"/>
  </mergeCells>
  <conditionalFormatting sqref="W28:W33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8:W2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1">
      <colorScale>
        <cfvo type="min"/>
        <cfvo type="max"/>
        <color rgb="FF92D050"/>
        <color rgb="FFFF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2">
      <colorScale>
        <cfvo type="min"/>
        <cfvo type="max"/>
        <color rgb="FF92D050"/>
        <color rgb="FFC00000"/>
      </colorScale>
    </cfRule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2021-10-25T14:06:22Z</dcterms:modified>
</cp:coreProperties>
</file>