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ABT\"/>
    </mc:Choice>
  </mc:AlternateContent>
  <xr:revisionPtr revIDLastSave="0" documentId="13_ncr:1_{12CEC0F5-A740-4019-801C-F2A0BE96DC25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4" l="1"/>
  <c r="H32" i="4"/>
  <c r="H31" i="4"/>
  <c r="H30" i="4"/>
  <c r="H29" i="4"/>
  <c r="H28" i="4"/>
  <c r="Q33" i="4"/>
  <c r="Q32" i="4"/>
  <c r="Q31" i="4"/>
  <c r="Q30" i="4"/>
  <c r="Q29" i="4"/>
  <c r="Q28" i="4"/>
  <c r="P15" i="4"/>
  <c r="P16" i="4"/>
  <c r="P17" i="4"/>
  <c r="P18" i="4"/>
  <c r="P14" i="4"/>
  <c r="G30" i="4"/>
  <c r="C43" i="4" l="1"/>
  <c r="F29" i="4"/>
  <c r="F30" i="4"/>
  <c r="F31" i="4"/>
  <c r="F32" i="4"/>
  <c r="F33" i="4"/>
  <c r="F28" i="4"/>
  <c r="P33" i="4"/>
  <c r="E33" i="4" s="1"/>
  <c r="P32" i="4"/>
  <c r="E32" i="4" s="1"/>
  <c r="P31" i="4"/>
  <c r="P30" i="4"/>
  <c r="E30" i="4"/>
  <c r="E31" i="4"/>
  <c r="P29" i="4"/>
  <c r="E29" i="4" s="1"/>
  <c r="P28" i="4"/>
  <c r="E28" i="4"/>
  <c r="L21" i="2"/>
  <c r="M21" i="2"/>
  <c r="N21" i="2"/>
  <c r="O21" i="2"/>
  <c r="P21" i="2"/>
  <c r="Q21" i="2" s="1"/>
  <c r="K21" i="2"/>
  <c r="F41" i="2" a="1"/>
  <c r="F41" i="2" s="1"/>
  <c r="G41" i="2" a="1"/>
  <c r="G41" i="2" s="1"/>
  <c r="H41" i="2" a="1"/>
  <c r="H41" i="2" s="1"/>
  <c r="I41" i="2" a="1"/>
  <c r="I41" i="2" s="1"/>
  <c r="J41" i="2" a="1"/>
  <c r="J41" i="2" s="1"/>
  <c r="K41" i="2" a="1"/>
  <c r="K41" i="2"/>
  <c r="L41" i="2" a="1"/>
  <c r="L41" i="2" s="1"/>
  <c r="M41" i="2" a="1"/>
  <c r="M41" i="2" s="1"/>
  <c r="N41" i="2" a="1"/>
  <c r="N41" i="2" s="1"/>
  <c r="O41" i="2" a="1"/>
  <c r="O41" i="2" s="1"/>
  <c r="P41" i="2" a="1"/>
  <c r="P41" i="2" s="1"/>
  <c r="Q41" i="2" a="1"/>
  <c r="Q41" i="2"/>
  <c r="R41" i="2" a="1"/>
  <c r="R41" i="2" s="1"/>
  <c r="F42" i="2" a="1"/>
  <c r="F42" i="2" s="1"/>
  <c r="G42" i="2" a="1"/>
  <c r="G42" i="2" s="1"/>
  <c r="H42" i="2" a="1"/>
  <c r="H42" i="2" s="1"/>
  <c r="I42" i="2" a="1"/>
  <c r="I42" i="2" s="1"/>
  <c r="J42" i="2" a="1"/>
  <c r="J42" i="2"/>
  <c r="K42" i="2" a="1"/>
  <c r="K42" i="2" s="1"/>
  <c r="L42" i="2" a="1"/>
  <c r="L42" i="2" s="1"/>
  <c r="M42" i="2" a="1"/>
  <c r="M42" i="2" s="1"/>
  <c r="N42" i="2" a="1"/>
  <c r="N42" i="2" s="1"/>
  <c r="O42" i="2" a="1"/>
  <c r="O42" i="2" s="1"/>
  <c r="P42" i="2" a="1"/>
  <c r="P42" i="2"/>
  <c r="Q42" i="2" a="1"/>
  <c r="Q42" i="2" s="1"/>
  <c r="R42" i="2" a="1"/>
  <c r="R42" i="2" s="1"/>
  <c r="E42" i="2" a="1"/>
  <c r="E42" i="2" s="1"/>
  <c r="E41" i="2" a="1"/>
  <c r="E41" i="2" s="1"/>
  <c r="Q27" i="2"/>
  <c r="P27" i="2"/>
  <c r="O27" i="2"/>
  <c r="N27" i="2"/>
  <c r="M27" i="2"/>
  <c r="L27" i="2"/>
  <c r="K27" i="2"/>
  <c r="R27" i="2"/>
  <c r="A26" i="2"/>
  <c r="B26" i="2"/>
  <c r="C26" i="2"/>
  <c r="D26" i="2"/>
  <c r="E26" i="2"/>
  <c r="F26" i="2"/>
  <c r="G26" i="2"/>
  <c r="H26" i="2"/>
  <c r="I26" i="2"/>
  <c r="J26" i="2"/>
  <c r="R26" i="2"/>
  <c r="Q22" i="2"/>
  <c r="P22" i="2"/>
  <c r="O22" i="2"/>
  <c r="N22" i="2"/>
  <c r="M22" i="2"/>
  <c r="L22" i="2"/>
  <c r="K22" i="2"/>
  <c r="J22" i="2"/>
  <c r="I22" i="2"/>
  <c r="H22" i="2"/>
  <c r="G22" i="2"/>
  <c r="F22" i="2"/>
  <c r="R22" i="2"/>
  <c r="E22" i="2"/>
  <c r="AJ10" i="1"/>
  <c r="J10" i="1"/>
  <c r="P4" i="1"/>
  <c r="P3" i="1"/>
  <c r="P2" i="1"/>
  <c r="O2" i="1"/>
  <c r="N2" i="1"/>
  <c r="M2" i="1"/>
  <c r="C7" i="1"/>
  <c r="B7" i="1"/>
  <c r="AK26" i="1"/>
  <c r="AK25" i="1"/>
  <c r="AK24" i="1"/>
  <c r="AJ17" i="1"/>
  <c r="AI17" i="1"/>
  <c r="AH17" i="1"/>
  <c r="AG17" i="1"/>
  <c r="AF17" i="1"/>
  <c r="Q22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K18" i="1"/>
  <c r="AJ18" i="1"/>
  <c r="AI18" i="1"/>
  <c r="AH18" i="1"/>
  <c r="S18" i="1"/>
  <c r="R18" i="1"/>
  <c r="Q18" i="1"/>
  <c r="P18" i="1"/>
  <c r="O18" i="1"/>
  <c r="N18" i="1"/>
  <c r="M18" i="1"/>
  <c r="L18" i="1"/>
  <c r="K18" i="1"/>
  <c r="J18" i="1"/>
  <c r="L17" i="1"/>
  <c r="K17" i="1"/>
  <c r="J17" i="1"/>
  <c r="J27" i="2"/>
  <c r="I27" i="2"/>
  <c r="H27" i="2"/>
  <c r="G27" i="2"/>
  <c r="F27" i="2"/>
  <c r="E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B27" i="2"/>
  <c r="C27" i="2"/>
  <c r="D27" i="2"/>
  <c r="A27" i="2"/>
  <c r="I28" i="3"/>
  <c r="E28" i="3"/>
  <c r="C2" i="4"/>
  <c r="AE17" i="1"/>
  <c r="AD17" i="1"/>
  <c r="AC17" i="1"/>
  <c r="AB17" i="1"/>
  <c r="D45" i="4" l="1"/>
  <c r="U21" i="1"/>
  <c r="AK20" i="1"/>
  <c r="T21" i="1"/>
  <c r="AI22" i="1"/>
  <c r="AH22" i="1"/>
  <c r="AG22" i="1"/>
  <c r="AF22" i="1"/>
  <c r="AE22" i="1"/>
  <c r="AD22" i="1"/>
  <c r="AC22" i="1"/>
  <c r="AB22" i="1"/>
  <c r="AA22" i="1"/>
  <c r="Z22" i="1"/>
  <c r="Y22" i="1"/>
  <c r="X22" i="1"/>
  <c r="AK22" i="1" s="1"/>
  <c r="W22" i="1"/>
  <c r="V22" i="1"/>
  <c r="U22" i="1"/>
  <c r="T22" i="1"/>
  <c r="S22" i="1"/>
  <c r="R22" i="1"/>
  <c r="AC18" i="1"/>
  <c r="AB18" i="1"/>
  <c r="AA18" i="1"/>
  <c r="Z18" i="1"/>
  <c r="Y18" i="1"/>
  <c r="X18" i="1"/>
  <c r="W18" i="1"/>
  <c r="V18" i="1"/>
  <c r="U18" i="1"/>
  <c r="T18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I13" i="1"/>
  <c r="N13" i="1"/>
  <c r="F24" i="3"/>
  <c r="T23" i="1" l="1"/>
  <c r="O24" i="1"/>
  <c r="R24" i="1"/>
  <c r="O25" i="1"/>
  <c r="R25" i="1"/>
  <c r="D46" i="4" s="1"/>
  <c r="V21" i="1"/>
  <c r="U23" i="1"/>
  <c r="R40" i="2"/>
  <c r="R39" i="2"/>
  <c r="R38" i="2"/>
  <c r="R37" i="2"/>
  <c r="R35" i="2"/>
  <c r="R34" i="2"/>
  <c r="R33" i="2"/>
  <c r="R32" i="2"/>
  <c r="R31" i="2"/>
  <c r="R30" i="2"/>
  <c r="R29" i="2"/>
  <c r="R28" i="2"/>
  <c r="N3" i="1" l="1"/>
  <c r="M3" i="1"/>
  <c r="H24" i="3"/>
  <c r="O3" i="1" l="1"/>
  <c r="R36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E40" i="2"/>
  <c r="E28" i="2"/>
  <c r="F28" i="2"/>
  <c r="G28" i="2"/>
  <c r="H28" i="2"/>
  <c r="I28" i="2"/>
  <c r="J28" i="2"/>
  <c r="E29" i="2"/>
  <c r="F29" i="2"/>
  <c r="G29" i="2"/>
  <c r="H29" i="2"/>
  <c r="I29" i="2"/>
  <c r="J29" i="2"/>
  <c r="E30" i="2"/>
  <c r="F30" i="2"/>
  <c r="G30" i="2"/>
  <c r="H30" i="2"/>
  <c r="I30" i="2"/>
  <c r="J30" i="2"/>
  <c r="E31" i="2"/>
  <c r="F31" i="2"/>
  <c r="G31" i="2"/>
  <c r="H31" i="2"/>
  <c r="I31" i="2"/>
  <c r="J31" i="2"/>
  <c r="E32" i="2"/>
  <c r="F32" i="2"/>
  <c r="G32" i="2"/>
  <c r="H32" i="2"/>
  <c r="I32" i="2"/>
  <c r="J32" i="2"/>
  <c r="E33" i="2"/>
  <c r="F33" i="2"/>
  <c r="G33" i="2"/>
  <c r="H33" i="2"/>
  <c r="I33" i="2"/>
  <c r="J33" i="2"/>
  <c r="E34" i="2"/>
  <c r="F34" i="2"/>
  <c r="G34" i="2"/>
  <c r="H34" i="2"/>
  <c r="I34" i="2"/>
  <c r="J34" i="2"/>
  <c r="E35" i="2"/>
  <c r="F35" i="2"/>
  <c r="G35" i="2"/>
  <c r="H35" i="2"/>
  <c r="I35" i="2"/>
  <c r="J35" i="2"/>
  <c r="E36" i="2"/>
  <c r="F36" i="2"/>
  <c r="G36" i="2"/>
  <c r="H36" i="2"/>
  <c r="I36" i="2"/>
  <c r="J36" i="2"/>
  <c r="E37" i="2"/>
  <c r="F37" i="2"/>
  <c r="G37" i="2"/>
  <c r="H37" i="2"/>
  <c r="I37" i="2"/>
  <c r="J37" i="2"/>
  <c r="E38" i="2"/>
  <c r="F38" i="2"/>
  <c r="G38" i="2"/>
  <c r="H38" i="2"/>
  <c r="I38" i="2"/>
  <c r="J38" i="2"/>
  <c r="E39" i="2"/>
  <c r="F39" i="2"/>
  <c r="G39" i="2"/>
  <c r="H39" i="2"/>
  <c r="I39" i="2"/>
  <c r="J39" i="2"/>
  <c r="F40" i="2"/>
  <c r="G40" i="2"/>
  <c r="H40" i="2"/>
  <c r="I40" i="2"/>
  <c r="J40" i="2"/>
  <c r="AJ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H21" i="1" l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AK23" i="1" l="1"/>
  <c r="AK21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<sst xmlns="http://schemas.openxmlformats.org/spreadsheetml/2006/main" count="318" uniqueCount="175">
  <si>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</si>
  <si>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</si>
  <si>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</si>
  <si>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</si>
  <si>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</si>
  <si>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</si>
  <si>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</si>
  <si>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</si>
  <si>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</si>
  <si>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</si>
  <si>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</si>
  <si>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</si>
  <si>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</si>
  <si>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</si>
  <si>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</si>
  <si>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</si>
  <si>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</si>
  <si>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</si>
  <si>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</si>
  <si>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</si>
  <si>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</si>
  <si>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</si>
  <si>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</si>
  <si>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</si>
  <si>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</si>
  <si>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</si>
  <si>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</si>
  <si>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</si>
  <si>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</si>
  <si>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</si>
  <si>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</si>
  <si>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</si>
  <si>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</si>
  <si>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</si>
  <si>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</si>
  <si>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</si>
  <si>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</si>
  <si>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</si>
  <si>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</si>
  <si>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</si>
  <si>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</si>
  <si>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</si>
  <si>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</si>
  <si>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</si>
  <si>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</si>
  <si>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</si>
  <si>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</si>
  <si>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</si>
  <si>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</si>
  <si>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</si>
  <si>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</si>
  <si>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</si>
  <si>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</si>
  <si>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</si>
  <si>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</si>
  <si>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</si>
  <si>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</si>
  <si>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</si>
  <si>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</si>
  <si>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</si>
  <si>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</si>
  <si>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</si>
  <si>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</si>
  <si>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</si>
  <si>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</si>
  <si>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</si>
  <si>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</si>
  <si>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</si>
  <si>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</si>
  <si>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</si>
  <si>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</si>
  <si>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</si>
  <si>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</si>
  <si>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</si>
  <si>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</si>
  <si>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</si>
  <si>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</si>
  <si>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</si>
  <si>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</si>
  <si>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</si>
  <si>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</si>
  <si>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</si>
  <si>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</si>
  <si>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</si>
  <si>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</si>
  <si>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</si>
  <si>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</si>
  <si>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</si>
  <si>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</si>
  <si>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</si>
  <si>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</si>
  <si>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</si>
  <si>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</si>
  <si>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</si>
  <si>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</si>
  <si>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</si>
  <si>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</si>
  <si>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</si>
  <si>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</si>
  <si>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</si>
  <si>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</si>
  <si>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</si>
  <si>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</si>
  <si>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</si>
  <si>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</si>
  <si>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</si>
  <si>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</si>
  <si>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</si>
  <si>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</si>
  <si>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</si>
  <si>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</si>
  <si>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</si>
  <si>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</si>
  <si>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</si>
  <si>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</si>
  <si>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</si>
  <si>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</si>
  <si>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</si>
  <si>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</si>
  <si>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</si>
  <si>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</si>
  <si>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</si>
  <si>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</si>
  <si>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</si>
  <si>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</si>
  <si>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</si>
  <si>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</si>
  <si>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</si>
  <si>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</si>
  <si>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</si>
  <si>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</si>
  <si>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</si>
  <si>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</si>
  <si>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</si>
  <si>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</si>
  <si>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</si>
  <si>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</si>
  <si>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</si>
  <si>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</si>
  <si>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</si>
  <si>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</si>
  <si>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</si>
  <si>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</si>
  <si>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</si>
  <si>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</si>
  <si>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</si>
  <si>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</si>
  <si>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</si>
  <si>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</si>
  <si>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</si>
  <si>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</si>
  <si>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</si>
  <si>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</si>
  <si>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</si>
  <si>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</si>
  <si>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</si>
  <si>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</si>
  <si>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</si>
  <si>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</si>
  <si>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</si>
  <si>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</si>
  <si>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</si>
  <si>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</si>
  <si>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</si>
  <si>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</si>
  <si>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</si>
  <si>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which is inline with the confidence interval in step1. If this value is unsatisfactory, use confidence interval.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</si>
  <si>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</si>
  <si>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</si>
  <si>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ABT</t>
  </si>
  <si>
    <t>RHYTHM MANAGEMENT</t>
  </si>
  <si>
    <t>2017Q4</t>
  </si>
  <si>
    <t>ABT_RM</t>
  </si>
  <si>
    <t>ABT_RM AVG RMQ1_Q2</t>
  </si>
  <si>
    <t>AVG_RM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</si>
</sst>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8" xfId="1" applyNumberFormat="1" applyFont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165" fontId="2" fillId="0" borderId="3" xfId="0" applyNumberFormat="1" applyFont="1" applyBorder="1"/>
    <xf numFmtId="165" fontId="4" fillId="0" borderId="3" xfId="0" applyNumberFormat="1" applyFont="1" applyBorder="1"/>
    <xf numFmtId="164" fontId="2" fillId="0" borderId="0" xfId="1" applyNumberFormat="1" applyFon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64" fontId="0" fillId="0" borderId="9" xfId="0" applyNumberFormat="1" applyBorder="1"/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4" fontId="0" fillId="0" borderId="0" xfId="0" applyNumberFormat="1"/>
    <xf numFmtId="166" fontId="0" fillId="0" borderId="10" xfId="0" applyNumberFormat="1" applyBorder="1"/>
    <xf numFmtId="166" fontId="0" fillId="0" borderId="5" xfId="0" applyNumberFormat="1" applyBorder="1"/>
    <xf numFmtId="164" fontId="0" fillId="0" borderId="3" xfId="1" applyNumberFormat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/>
    </xf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8" fillId="0" borderId="0" xfId="0" applyFont="1" applyFill="1" applyBorder="1" applyAlignment="1">
      <alignment horizontal="center" vertical="top"/>
    </xf>
    <xf numFmtId="0" fontId="0" fillId="3" borderId="14" xfId="0" applyFill="1" applyBorder="1"/>
    <xf numFmtId="9" fontId="0" fillId="3" borderId="0" xfId="1" applyFont="1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0" fillId="0" borderId="0" xfId="0" applyNumberFormat="1" applyBorder="1"/>
    <xf numFmtId="0" fontId="0" fillId="0" borderId="11" xfId="0" applyNumberFormat="1" applyBorder="1"/>
    <xf numFmtId="0" fontId="4" fillId="0" borderId="0" xfId="0" applyNumberFormat="1" applyFont="1" applyBorder="1"/>
    <xf numFmtId="0" fontId="4" fillId="0" borderId="3" xfId="0" applyNumberFormat="1" applyFont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zoomScale="70" zoomScaleNormal="70" workbookViewId="0">
      <selection sqref="A1:C3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24" t="s">
        <v>172</v>
      </c>
      <c r="B1" s="125"/>
      <c r="C1" s="126"/>
      <c r="K1" s="133" t="s">
        <v>35</v>
      </c>
      <c r="L1" s="134"/>
      <c r="M1" s="64" t="s">
        <v>31</v>
      </c>
      <c r="N1" s="64" t="s">
        <v>32</v>
      </c>
      <c r="O1" s="4" t="s">
        <v>39</v>
      </c>
      <c r="P1" s="135" t="s">
        <v>41</v>
      </c>
      <c r="Q1" s="136"/>
    </row>
    <row r="2" spans="1:37" x14ac:dyDescent="0.2">
      <c r="A2" s="127"/>
      <c r="B2" s="128"/>
      <c r="C2" s="129"/>
      <c r="K2" s="62" t="s">
        <v>37</v>
      </c>
      <c r="L2" s="63"/>
      <c r="M2" s="65">
        <f>$B$7*($AK$25-2*$AK$26)</f>
        <v>238.83898956958842</v>
      </c>
      <c r="N2" s="65">
        <f>$B$7*($AK$25+2*$AK$26)</f>
        <v>264.07414063239844</v>
      </c>
      <c r="O2" s="68">
        <f>AVERAGE(M2:N2)</f>
        <v>251.45656510099343</v>
      </c>
      <c r="P2" s="137">
        <f>$O$2/AF14-1</f>
        <v>3.9076715293361319E-2</v>
      </c>
      <c r="Q2" s="138"/>
    </row>
    <row r="3" spans="1:37" x14ac:dyDescent="0.2">
      <c r="A3" s="130"/>
      <c r="B3" s="131"/>
      <c r="C3" s="132"/>
      <c r="K3" s="47" t="s">
        <v>38</v>
      </c>
      <c r="L3" s="20"/>
      <c r="M3" s="67">
        <f>$C$7*($AK$25-2*$AK$26)</f>
        <v>256.93134580270549</v>
      </c>
      <c r="N3" s="67">
        <f>$C$7*($AK$25+2*$AK$26)</f>
        <v>284.0780915488109</v>
      </c>
      <c r="O3" s="69">
        <f>AVERAGE(M3:N3)</f>
        <v>270.50471867575823</v>
      </c>
      <c r="P3" s="139">
        <f>$O$3/AF15-1</f>
        <v>0.11778809370148036</v>
      </c>
      <c r="Q3" s="140"/>
    </row>
    <row r="4" spans="1:37" x14ac:dyDescent="0.2">
      <c r="A4" s="53"/>
      <c r="B4" s="53"/>
      <c r="C4" s="53"/>
      <c r="N4" s="4" t="s">
        <v>40</v>
      </c>
      <c r="O4" s="69">
        <f>AVERAGE(O2:O3)</f>
        <v>260.98064188837583</v>
      </c>
      <c r="P4" s="139">
        <f>$O$4/AF15-1</f>
        <v>7.8432404497420727E-2</v>
      </c>
      <c r="Q4" s="140"/>
    </row>
    <row r="5" spans="1:37" x14ac:dyDescent="0.2">
      <c r="A5" s="61" t="s">
        <v>34</v>
      </c>
      <c r="B5" s="51" t="s">
        <v>31</v>
      </c>
      <c r="C5" s="52" t="s">
        <v>32</v>
      </c>
      <c r="D5" s="100"/>
      <c r="E5" s="100"/>
    </row>
    <row r="6" spans="1:37" ht="15.75" x14ac:dyDescent="0.25">
      <c r="A6" s="55" t="s">
        <v>33</v>
      </c>
      <c r="B6" s="59">
        <v>38557.606224738753</v>
      </c>
      <c r="C6" s="60">
        <v>41478.39377526124</v>
      </c>
    </row>
    <row r="7" spans="1:37" ht="14.25" x14ac:dyDescent="0.2">
      <c r="A7" s="56" t="s">
        <v>36</v>
      </c>
      <c r="B7" s="57">
        <f>B6*$AK$24</f>
        <v>1002.780058787077</v>
      </c>
      <c r="C7" s="58">
        <f>C6*$AK$24</f>
        <v>1078.7419194520241</v>
      </c>
    </row>
    <row r="8" spans="1:37" x14ac:dyDescent="0.2">
      <c r="F8" s="53"/>
      <c r="G8" s="53"/>
      <c r="H8" s="53"/>
    </row>
    <row r="9" spans="1:37" x14ac:dyDescent="0.2">
      <c r="F9" s="53"/>
      <c r="G9" s="53"/>
      <c r="H9" s="53"/>
    </row>
    <row r="10" spans="1:37" x14ac:dyDescent="0.2">
      <c r="H10" s="123" t="s">
        <v>15</v>
      </c>
      <c r="I10" s="123"/>
      <c r="J10" s="37">
        <f>AVERAGE(F13:AJ13)</f>
        <v>0.96498724607765574</v>
      </c>
      <c r="AG10" s="123" t="s">
        <v>16</v>
      </c>
      <c r="AH10" s="123"/>
      <c r="AI10" s="123"/>
      <c r="AJ10" s="89">
        <f>AVERAGE(AH13:AJ13)</f>
        <v>1.0465540573196075</v>
      </c>
    </row>
    <row r="11" spans="1:37" x14ac:dyDescent="0.2">
      <c r="A11" s="54" t="s">
        <v>6</v>
      </c>
      <c r="B11" s="141">
        <v>2013</v>
      </c>
      <c r="C11" s="142"/>
      <c r="D11" s="142"/>
      <c r="E11" s="143"/>
      <c r="F11" s="153">
        <v>2014</v>
      </c>
      <c r="G11" s="153"/>
      <c r="H11" s="153"/>
      <c r="I11" s="154"/>
      <c r="J11" s="155">
        <v>2015</v>
      </c>
      <c r="K11" s="156"/>
      <c r="L11" s="156"/>
      <c r="M11" s="157"/>
      <c r="N11" s="155">
        <v>2016</v>
      </c>
      <c r="O11" s="156"/>
      <c r="P11" s="156"/>
      <c r="Q11" s="157"/>
      <c r="R11" s="158">
        <v>2017</v>
      </c>
      <c r="S11" s="159"/>
      <c r="T11" s="159"/>
      <c r="U11" s="160"/>
      <c r="V11" s="116">
        <v>2018</v>
      </c>
      <c r="W11" s="117"/>
      <c r="X11" s="117"/>
      <c r="Y11" s="118"/>
      <c r="Z11" s="161">
        <v>2019</v>
      </c>
      <c r="AA11" s="162"/>
      <c r="AB11" s="162"/>
      <c r="AC11" s="163"/>
      <c r="AD11" s="164">
        <v>2020</v>
      </c>
      <c r="AE11" s="153"/>
      <c r="AF11" s="153"/>
      <c r="AG11" s="154"/>
      <c r="AH11" s="155">
        <v>2021</v>
      </c>
      <c r="AI11" s="156"/>
      <c r="AJ11" s="156"/>
      <c r="AK11" s="157"/>
    </row>
    <row r="12" spans="1:37" x14ac:dyDescent="0.2">
      <c r="A12" s="15" t="s">
        <v>19</v>
      </c>
      <c r="B12" s="90" t="s">
        <v>20</v>
      </c>
      <c r="C12" s="91" t="s">
        <v>3</v>
      </c>
      <c r="D12" s="91" t="s">
        <v>4</v>
      </c>
      <c r="E12" s="92" t="s">
        <v>5</v>
      </c>
      <c r="F12" s="21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2" t="s">
        <v>20</v>
      </c>
      <c r="O12" s="23" t="s">
        <v>3</v>
      </c>
      <c r="P12" s="23" t="s">
        <v>4</v>
      </c>
      <c r="Q12" s="23" t="s">
        <v>5</v>
      </c>
      <c r="R12" s="24" t="s">
        <v>20</v>
      </c>
      <c r="S12" s="25" t="s">
        <v>3</v>
      </c>
      <c r="T12" s="25" t="s">
        <v>4</v>
      </c>
      <c r="U12" s="25" t="s">
        <v>5</v>
      </c>
      <c r="V12" s="26" t="s">
        <v>20</v>
      </c>
      <c r="W12" s="27" t="s">
        <v>3</v>
      </c>
      <c r="X12" s="27" t="s">
        <v>4</v>
      </c>
      <c r="Y12" s="27" t="s">
        <v>5</v>
      </c>
      <c r="Z12" s="28" t="s">
        <v>20</v>
      </c>
      <c r="AA12" s="29" t="s">
        <v>3</v>
      </c>
      <c r="AB12" s="29" t="s">
        <v>4</v>
      </c>
      <c r="AC12" s="29" t="s">
        <v>5</v>
      </c>
      <c r="AD12" s="30" t="s">
        <v>20</v>
      </c>
      <c r="AE12" s="21" t="s">
        <v>3</v>
      </c>
      <c r="AF12" s="21" t="s">
        <v>4</v>
      </c>
      <c r="AG12" s="21" t="s">
        <v>5</v>
      </c>
      <c r="AH12" s="39" t="s">
        <v>20</v>
      </c>
      <c r="AI12" s="40" t="s">
        <v>3</v>
      </c>
      <c r="AJ12" s="41" t="s">
        <v>21</v>
      </c>
      <c r="AK12" s="31" t="s">
        <v>22</v>
      </c>
    </row>
    <row r="13" spans="1:37" x14ac:dyDescent="0.2">
      <c r="A13" s="36" t="s">
        <v>2</v>
      </c>
      <c r="B13" s="32"/>
      <c r="C13" s="32"/>
      <c r="D13" s="32"/>
      <c r="E13" s="32"/>
      <c r="F13" s="96"/>
      <c r="G13" s="96"/>
      <c r="H13" s="97"/>
      <c r="I13" s="98"/>
      <c r="J13" s="99"/>
      <c r="K13" s="96"/>
      <c r="L13" s="96"/>
      <c r="M13" s="96"/>
      <c r="N13" s="97">
        <f>N15/J15</f>
        <v>1.0383229610219455</v>
      </c>
      <c r="O13" s="96">
        <f t="shared" ref="O13:AH13" si="0">O15/K15</f>
        <v>0.9859154929577465</v>
      </c>
      <c r="P13" s="96">
        <f t="shared" si="0"/>
        <v>0.97281362594169662</v>
      </c>
      <c r="Q13" s="96">
        <f t="shared" si="0"/>
        <v>0.91840756799369339</v>
      </c>
      <c r="R13" s="97">
        <f t="shared" si="0"/>
        <v>0.82018927444794953</v>
      </c>
      <c r="S13" s="96">
        <f t="shared" si="0"/>
        <v>0.8666666666666667</v>
      </c>
      <c r="T13" s="96">
        <f t="shared" si="0"/>
        <v>0.84175084175084181</v>
      </c>
      <c r="U13" s="96">
        <f t="shared" si="0"/>
        <v>1.0600858369098713</v>
      </c>
      <c r="V13" s="97">
        <f t="shared" si="0"/>
        <v>1.1038461538461539</v>
      </c>
      <c r="W13" s="96">
        <f t="shared" si="0"/>
        <v>1.043956043956044</v>
      </c>
      <c r="X13" s="96">
        <f t="shared" si="0"/>
        <v>1.0920000000000001</v>
      </c>
      <c r="Y13" s="96">
        <f t="shared" si="0"/>
        <v>1.0647773279352226</v>
      </c>
      <c r="Z13" s="97">
        <f t="shared" si="0"/>
        <v>0.87804878048780488</v>
      </c>
      <c r="AA13" s="96">
        <f t="shared" si="0"/>
        <v>0.95789473684210524</v>
      </c>
      <c r="AB13" s="96">
        <f t="shared" si="0"/>
        <v>0.97069597069597069</v>
      </c>
      <c r="AC13" s="96">
        <f t="shared" si="0"/>
        <v>1.0152091254752851</v>
      </c>
      <c r="AD13" s="97">
        <f t="shared" si="0"/>
        <v>0.90476190476190477</v>
      </c>
      <c r="AE13" s="96">
        <f t="shared" si="0"/>
        <v>0.67765567765567769</v>
      </c>
      <c r="AF13" s="96">
        <f t="shared" si="0"/>
        <v>0.91320754716981134</v>
      </c>
      <c r="AG13" s="96">
        <f t="shared" si="0"/>
        <v>0.92883895131086147</v>
      </c>
      <c r="AH13" s="97">
        <f t="shared" si="0"/>
        <v>1.0570175438596492</v>
      </c>
      <c r="AI13" s="98">
        <f>AI14/AI14</f>
        <v>1</v>
      </c>
      <c r="AJ13" s="99">
        <f>AJ14/AF14</f>
        <v>1.0826446280991735</v>
      </c>
      <c r="AK13" s="33"/>
    </row>
    <row r="14" spans="1:37" x14ac:dyDescent="0.2">
      <c r="A14" s="16" t="s">
        <v>0</v>
      </c>
      <c r="B14" s="8"/>
      <c r="C14" s="8"/>
      <c r="D14" s="8"/>
      <c r="E14" s="8"/>
      <c r="F14" s="8"/>
      <c r="G14" s="8"/>
      <c r="H14" s="8"/>
      <c r="I14" s="8"/>
      <c r="J14" s="10">
        <v>305.3</v>
      </c>
      <c r="K14" s="6">
        <v>319.5</v>
      </c>
      <c r="L14" s="6">
        <v>305.3</v>
      </c>
      <c r="M14" s="6">
        <v>253.7</v>
      </c>
      <c r="N14" s="10">
        <v>317</v>
      </c>
      <c r="O14" s="6">
        <v>315</v>
      </c>
      <c r="P14" s="6">
        <v>297</v>
      </c>
      <c r="Q14" s="6">
        <v>233.1</v>
      </c>
      <c r="R14" s="10">
        <v>260.2</v>
      </c>
      <c r="S14" s="6">
        <v>273.39999999999998</v>
      </c>
      <c r="T14" s="6">
        <v>250.4</v>
      </c>
      <c r="U14" s="6">
        <v>248.4</v>
      </c>
      <c r="V14" s="10">
        <v>276.2</v>
      </c>
      <c r="W14" s="6">
        <v>274.39999999999998</v>
      </c>
      <c r="X14" s="6">
        <v>266.89999999999998</v>
      </c>
      <c r="Y14" s="6">
        <v>256.8</v>
      </c>
      <c r="Z14" s="10">
        <v>249.5</v>
      </c>
      <c r="AA14" s="6">
        <v>273</v>
      </c>
      <c r="AB14" s="6">
        <v>265</v>
      </c>
      <c r="AC14" s="6">
        <v>267</v>
      </c>
      <c r="AD14" s="10">
        <v>227.9</v>
      </c>
      <c r="AE14" s="6">
        <v>185</v>
      </c>
      <c r="AF14" s="6">
        <v>242</v>
      </c>
      <c r="AG14" s="6">
        <v>248</v>
      </c>
      <c r="AH14" s="6">
        <v>241</v>
      </c>
      <c r="AI14" s="6">
        <v>269</v>
      </c>
      <c r="AJ14" s="6">
        <v>262</v>
      </c>
      <c r="AK14" s="6">
        <v>270.8</v>
      </c>
    </row>
    <row r="15" spans="1:37" x14ac:dyDescent="0.2">
      <c r="A15" s="16" t="s">
        <v>1</v>
      </c>
      <c r="B15" s="6"/>
      <c r="C15" s="6"/>
      <c r="D15" s="6"/>
      <c r="E15" s="6"/>
      <c r="F15" s="6"/>
      <c r="G15" s="6"/>
      <c r="H15" s="6"/>
      <c r="I15" s="6"/>
      <c r="J15" s="10">
        <v>305.3</v>
      </c>
      <c r="K15" s="6">
        <v>319.5</v>
      </c>
      <c r="L15" s="6">
        <v>305.3</v>
      </c>
      <c r="M15" s="6">
        <v>253.7</v>
      </c>
      <c r="N15" s="10">
        <v>317</v>
      </c>
      <c r="O15" s="6">
        <v>315</v>
      </c>
      <c r="P15" s="6">
        <v>297</v>
      </c>
      <c r="Q15" s="6">
        <v>233</v>
      </c>
      <c r="R15" s="10">
        <v>260</v>
      </c>
      <c r="S15" s="6">
        <v>273</v>
      </c>
      <c r="T15" s="6">
        <v>250</v>
      </c>
      <c r="U15" s="6">
        <v>247</v>
      </c>
      <c r="V15" s="10">
        <v>287</v>
      </c>
      <c r="W15" s="6">
        <v>285</v>
      </c>
      <c r="X15" s="6">
        <v>273</v>
      </c>
      <c r="Y15" s="6">
        <v>263</v>
      </c>
      <c r="Z15" s="10">
        <v>252</v>
      </c>
      <c r="AA15" s="6">
        <v>273</v>
      </c>
      <c r="AB15" s="6">
        <v>265</v>
      </c>
      <c r="AC15" s="6">
        <v>267</v>
      </c>
      <c r="AD15" s="10">
        <v>228</v>
      </c>
      <c r="AE15" s="6">
        <v>185</v>
      </c>
      <c r="AF15" s="6">
        <v>242</v>
      </c>
      <c r="AG15" s="6">
        <v>248</v>
      </c>
      <c r="AH15" s="10">
        <v>241</v>
      </c>
      <c r="AI15" s="6">
        <v>269</v>
      </c>
      <c r="AJ15" s="10"/>
      <c r="AK15" s="11"/>
    </row>
    <row r="16" spans="1:37" x14ac:dyDescent="0.2">
      <c r="A16" s="16" t="s">
        <v>158</v>
      </c>
      <c r="B16" s="10"/>
      <c r="C16" s="6"/>
      <c r="D16" s="6"/>
      <c r="E16" s="11"/>
      <c r="F16" s="10"/>
      <c r="G16" s="6"/>
      <c r="H16" s="6"/>
      <c r="I16" s="11"/>
      <c r="J16" s="10">
        <v>4897</v>
      </c>
      <c r="K16" s="6">
        <v>5170</v>
      </c>
      <c r="L16" s="6">
        <v>5150</v>
      </c>
      <c r="M16" s="11">
        <v>5188</v>
      </c>
      <c r="N16" s="10">
        <v>4885</v>
      </c>
      <c r="O16" s="6">
        <v>5333</v>
      </c>
      <c r="P16" s="6">
        <v>5302</v>
      </c>
      <c r="Q16" s="11">
        <v>5333</v>
      </c>
      <c r="R16" s="10">
        <v>6335</v>
      </c>
      <c r="S16" s="6">
        <v>6637</v>
      </c>
      <c r="T16" s="6">
        <v>6829</v>
      </c>
      <c r="U16" s="11">
        <v>7589</v>
      </c>
      <c r="V16" s="10">
        <v>7390</v>
      </c>
      <c r="W16" s="6">
        <v>7767</v>
      </c>
      <c r="X16" s="6">
        <v>7656</v>
      </c>
      <c r="Y16" s="11">
        <v>7765</v>
      </c>
      <c r="Z16" s="10">
        <v>7535</v>
      </c>
      <c r="AA16" s="6">
        <v>7979</v>
      </c>
      <c r="AB16" s="6">
        <v>8076</v>
      </c>
      <c r="AC16" s="11">
        <v>8314</v>
      </c>
      <c r="AD16" s="10">
        <v>7726</v>
      </c>
      <c r="AE16" s="6">
        <v>7328</v>
      </c>
      <c r="AF16" s="6">
        <v>8853</v>
      </c>
      <c r="AG16" s="11">
        <v>10701</v>
      </c>
      <c r="AH16" s="10">
        <v>10456</v>
      </c>
      <c r="AI16">
        <v>10223</v>
      </c>
      <c r="AJ16" s="93">
        <v>9554.4</v>
      </c>
      <c r="AK16" s="11"/>
    </row>
    <row r="17" spans="1:38" x14ac:dyDescent="0.2">
      <c r="A17" s="102" t="s">
        <v>18</v>
      </c>
      <c r="B17" s="103"/>
      <c r="C17" s="103"/>
      <c r="D17" s="103"/>
      <c r="E17" s="103"/>
      <c r="F17" s="103"/>
      <c r="G17" s="103"/>
      <c r="H17" s="103"/>
      <c r="I17" s="103"/>
      <c r="J17" s="104">
        <f>J15/J16</f>
        <v>6.2344292423933023E-2</v>
      </c>
      <c r="K17" s="104">
        <f>K15/K16</f>
        <v>6.1798839458413926E-2</v>
      </c>
      <c r="L17" s="104">
        <f>L15/L16</f>
        <v>5.9281553398058254E-2</v>
      </c>
      <c r="M17" s="104">
        <f t="shared" ref="M17:AA17" si="1">M15/M16</f>
        <v>4.890131071703932E-2</v>
      </c>
      <c r="N17" s="104">
        <f t="shared" si="1"/>
        <v>6.4892528147389966E-2</v>
      </c>
      <c r="O17" s="104">
        <f t="shared" si="1"/>
        <v>5.9066191636977308E-2</v>
      </c>
      <c r="P17" s="104">
        <f t="shared" si="1"/>
        <v>5.6016597510373446E-2</v>
      </c>
      <c r="Q17" s="104">
        <f t="shared" si="1"/>
        <v>4.3690230639414962E-2</v>
      </c>
      <c r="R17" s="104">
        <f t="shared" si="1"/>
        <v>4.1041831097079713E-2</v>
      </c>
      <c r="S17" s="104">
        <f t="shared" si="1"/>
        <v>4.1133042037064936E-2</v>
      </c>
      <c r="T17" s="104">
        <f t="shared" si="1"/>
        <v>3.6608581051398449E-2</v>
      </c>
      <c r="U17" s="104">
        <f t="shared" si="1"/>
        <v>3.2547107655817628E-2</v>
      </c>
      <c r="V17" s="104">
        <f t="shared" si="1"/>
        <v>3.8836265223274692E-2</v>
      </c>
      <c r="W17" s="104">
        <f t="shared" si="1"/>
        <v>3.6693704132869834E-2</v>
      </c>
      <c r="X17" s="104">
        <f t="shared" si="1"/>
        <v>3.5658307210031347E-2</v>
      </c>
      <c r="Y17" s="104">
        <f t="shared" si="1"/>
        <v>3.3869929169349645E-2</v>
      </c>
      <c r="Z17" s="104">
        <f t="shared" si="1"/>
        <v>3.3443928334439287E-2</v>
      </c>
      <c r="AA17" s="104">
        <f t="shared" si="1"/>
        <v>3.4214813886451936E-2</v>
      </c>
      <c r="AB17" s="104">
        <f t="shared" ref="AB17:AE17" si="2">AB15/AB16</f>
        <v>3.2813273897969293E-2</v>
      </c>
      <c r="AC17" s="104">
        <f t="shared" si="2"/>
        <v>3.211450565311523E-2</v>
      </c>
      <c r="AD17" s="104">
        <f t="shared" si="2"/>
        <v>2.9510742945896971E-2</v>
      </c>
      <c r="AE17" s="104">
        <f t="shared" si="2"/>
        <v>2.5245633187772926E-2</v>
      </c>
      <c r="AF17" s="104">
        <f>AF15/AF16</f>
        <v>2.7335366542415002E-2</v>
      </c>
      <c r="AG17" s="104">
        <f>AG15/AG16</f>
        <v>2.3175404167834781E-2</v>
      </c>
      <c r="AH17" s="104">
        <f>AH15/AH16</f>
        <v>2.3048967100229533E-2</v>
      </c>
      <c r="AI17" s="104">
        <f>AI15/AI16</f>
        <v>2.6313215298835957E-2</v>
      </c>
      <c r="AJ17" s="105">
        <f>AJ14/AJ16</f>
        <v>2.7421920790421168E-2</v>
      </c>
      <c r="AK17" s="106"/>
    </row>
    <row r="18" spans="1:38" x14ac:dyDescent="0.2">
      <c r="A18" s="102" t="s">
        <v>24</v>
      </c>
      <c r="B18" s="104"/>
      <c r="C18" s="104"/>
      <c r="D18" s="104"/>
      <c r="E18" s="107"/>
      <c r="F18" s="104"/>
      <c r="G18" s="104"/>
      <c r="H18" s="104"/>
      <c r="I18" s="107"/>
      <c r="J18" s="104">
        <f>J15/SUM(J15:M15)</f>
        <v>0.2578982936306809</v>
      </c>
      <c r="K18" s="104">
        <f>K15/SUM(J15:M15)</f>
        <v>0.26989356310187534</v>
      </c>
      <c r="L18" s="104">
        <f>L15/SUM(J15:M15)</f>
        <v>0.2578982936306809</v>
      </c>
      <c r="M18" s="107">
        <f>M15/SUM(J15:M15)</f>
        <v>0.21430984963676297</v>
      </c>
      <c r="N18" s="104">
        <f>N15/SUM(N15:Q15)</f>
        <v>0.2728055077452668</v>
      </c>
      <c r="O18" s="104">
        <f>O15/SUM(N15:Q15)</f>
        <v>0.27108433734939757</v>
      </c>
      <c r="P18" s="104">
        <f>P15/SUM(N15:Q15)</f>
        <v>0.25559380378657487</v>
      </c>
      <c r="Q18" s="107">
        <f>Q15/SUM(N15:Q15)</f>
        <v>0.20051635111876076</v>
      </c>
      <c r="R18" s="104">
        <f>R15/SUM(R15:U15)</f>
        <v>0.25242718446601942</v>
      </c>
      <c r="S18" s="104">
        <f>S15/SUM(R15:U15)</f>
        <v>0.2650485436893204</v>
      </c>
      <c r="T18" s="104">
        <f>T15/SUM(R15:U15)</f>
        <v>0.24271844660194175</v>
      </c>
      <c r="U18" s="107">
        <f>U15/SUM(R15:U15)</f>
        <v>0.23980582524271846</v>
      </c>
      <c r="V18" s="104">
        <f>V15/SUM(V15:Y15)</f>
        <v>0.25902527075812276</v>
      </c>
      <c r="W18" s="104">
        <f>W15/SUM(V15:Y15)</f>
        <v>0.25722021660649819</v>
      </c>
      <c r="X18" s="104">
        <f>X15/SUM(V15:Y15)</f>
        <v>0.24638989169675091</v>
      </c>
      <c r="Y18" s="107">
        <f>Y15/SUM(V15:Y15)</f>
        <v>0.23736462093862815</v>
      </c>
      <c r="Z18" s="104">
        <f>Z15/SUM(Z15:AC15)</f>
        <v>0.23841059602649006</v>
      </c>
      <c r="AA18" s="104">
        <f>AA15/SUM(Z15:AC15)</f>
        <v>0.25827814569536423</v>
      </c>
      <c r="AB18" s="104">
        <f>AB15/SUM(Z15:AC15)</f>
        <v>0.25070955534531691</v>
      </c>
      <c r="AC18" s="107">
        <f>AC15/SUM(Z15:AC15)</f>
        <v>0.25260170293282874</v>
      </c>
      <c r="AD18" s="104"/>
      <c r="AE18" s="104"/>
      <c r="AF18" s="104"/>
      <c r="AG18" s="107"/>
      <c r="AH18" s="104">
        <f>AH15/SUM(AH15:AI15,AJ14:AK14)</f>
        <v>0.23110855389336404</v>
      </c>
      <c r="AI18" s="104">
        <f>AI15/SUM(AH15:AI15,AJ14:AK14)</f>
        <v>0.25795934023782124</v>
      </c>
      <c r="AJ18" s="104">
        <f>AJ14/SUM(AH15:AI15,AJ14:AK14)</f>
        <v>0.25124664365170696</v>
      </c>
      <c r="AK18" s="107">
        <f>AK14/SUM(AH15:AI15,AJ14:AK14)</f>
        <v>0.25968546221710781</v>
      </c>
      <c r="AL18" s="3"/>
    </row>
    <row r="19" spans="1:38" x14ac:dyDescent="0.2">
      <c r="A19" s="17" t="s">
        <v>17</v>
      </c>
      <c r="B19" s="13"/>
      <c r="C19" s="13"/>
      <c r="D19" s="13"/>
      <c r="E19" s="13"/>
      <c r="F19" s="13"/>
      <c r="G19" s="13"/>
      <c r="H19" s="13"/>
      <c r="I19" s="13"/>
      <c r="J19" s="12"/>
      <c r="K19" s="13"/>
      <c r="L19" s="13"/>
      <c r="M19" s="13"/>
      <c r="N19" s="12"/>
      <c r="O19" s="13"/>
      <c r="P19" s="13"/>
      <c r="Q19" s="6">
        <v>194.2</v>
      </c>
      <c r="R19" s="94">
        <v>166.2</v>
      </c>
      <c r="S19" s="94">
        <v>269.39999999999998</v>
      </c>
      <c r="T19" s="94">
        <v>270</v>
      </c>
      <c r="U19" s="94">
        <v>237.5</v>
      </c>
      <c r="V19" s="94">
        <v>271.2</v>
      </c>
      <c r="W19" s="67">
        <v>276</v>
      </c>
      <c r="X19" s="67">
        <v>247.7</v>
      </c>
      <c r="Y19" s="67">
        <v>244</v>
      </c>
      <c r="Z19" s="94">
        <v>262.60000000000002</v>
      </c>
      <c r="AA19" s="67">
        <v>245.4</v>
      </c>
      <c r="AB19" s="67">
        <v>256.5</v>
      </c>
      <c r="AC19" s="67">
        <v>253.2</v>
      </c>
      <c r="AD19" s="94">
        <v>242.2</v>
      </c>
      <c r="AE19" s="67">
        <v>142.5</v>
      </c>
      <c r="AF19" s="67">
        <v>241.6</v>
      </c>
      <c r="AG19" s="67">
        <v>256.3</v>
      </c>
      <c r="AH19" s="94">
        <v>235.9</v>
      </c>
      <c r="AI19" s="67">
        <v>250.3</v>
      </c>
      <c r="AJ19" s="95"/>
      <c r="AK19" s="14"/>
    </row>
    <row r="20" spans="1:38" x14ac:dyDescent="0.2">
      <c r="M20" s="119" t="s">
        <v>7</v>
      </c>
      <c r="N20" s="165"/>
      <c r="O20" s="7"/>
      <c r="P20" s="8"/>
      <c r="Q20" s="8">
        <f t="shared" ref="Q20:AI20" si="3">IF(Q15&gt;Q19,1,0)</f>
        <v>1</v>
      </c>
      <c r="R20" s="8">
        <f t="shared" si="3"/>
        <v>1</v>
      </c>
      <c r="S20" s="8">
        <f t="shared" si="3"/>
        <v>1</v>
      </c>
      <c r="T20" s="8">
        <f t="shared" si="3"/>
        <v>0</v>
      </c>
      <c r="U20" s="8">
        <f t="shared" si="3"/>
        <v>1</v>
      </c>
      <c r="V20" s="8">
        <f t="shared" si="3"/>
        <v>1</v>
      </c>
      <c r="W20" s="8">
        <f t="shared" si="3"/>
        <v>1</v>
      </c>
      <c r="X20" s="8">
        <f t="shared" si="3"/>
        <v>1</v>
      </c>
      <c r="Y20" s="8">
        <f t="shared" si="3"/>
        <v>1</v>
      </c>
      <c r="Z20" s="8">
        <f t="shared" si="3"/>
        <v>0</v>
      </c>
      <c r="AA20" s="8">
        <f t="shared" si="3"/>
        <v>1</v>
      </c>
      <c r="AB20" s="8">
        <f t="shared" si="3"/>
        <v>1</v>
      </c>
      <c r="AC20" s="8">
        <f t="shared" si="3"/>
        <v>1</v>
      </c>
      <c r="AD20" s="8">
        <f t="shared" si="3"/>
        <v>0</v>
      </c>
      <c r="AE20" s="8">
        <f t="shared" si="3"/>
        <v>1</v>
      </c>
      <c r="AF20" s="8">
        <f t="shared" si="3"/>
        <v>1</v>
      </c>
      <c r="AG20" s="8">
        <f t="shared" si="3"/>
        <v>0</v>
      </c>
      <c r="AH20" s="8">
        <f t="shared" si="3"/>
        <v>1</v>
      </c>
      <c r="AI20" s="9">
        <f t="shared" si="3"/>
        <v>1</v>
      </c>
      <c r="AJ20" s="47" t="s">
        <v>8</v>
      </c>
      <c r="AK20" s="44">
        <f>AVERAGE(O20:AI20)</f>
        <v>0.78947368421052633</v>
      </c>
    </row>
    <row r="21" spans="1:38" x14ac:dyDescent="0.2">
      <c r="M21" s="114" t="s">
        <v>9</v>
      </c>
      <c r="N21" s="115"/>
      <c r="O21" s="10"/>
      <c r="P21" s="6"/>
      <c r="Q21" s="6"/>
      <c r="R21" s="6"/>
      <c r="S21" s="6"/>
      <c r="T21" s="6">
        <f>AVERAGE(Q20:T20)</f>
        <v>0.75</v>
      </c>
      <c r="U21" s="6">
        <f>AVERAGE(R20:U20)</f>
        <v>0.75</v>
      </c>
      <c r="V21" s="6">
        <f t="shared" ref="V21:AI21" si="4">AVERAGE(S20:V20)</f>
        <v>0.75</v>
      </c>
      <c r="W21" s="6">
        <f t="shared" si="4"/>
        <v>0.75</v>
      </c>
      <c r="X21" s="6">
        <f t="shared" si="4"/>
        <v>1</v>
      </c>
      <c r="Y21" s="6">
        <f t="shared" si="4"/>
        <v>1</v>
      </c>
      <c r="Z21" s="6">
        <f t="shared" si="4"/>
        <v>0.75</v>
      </c>
      <c r="AA21" s="6">
        <f t="shared" si="4"/>
        <v>0.75</v>
      </c>
      <c r="AB21" s="6">
        <f t="shared" si="4"/>
        <v>0.75</v>
      </c>
      <c r="AC21" s="6">
        <f t="shared" si="4"/>
        <v>0.75</v>
      </c>
      <c r="AD21" s="6">
        <f t="shared" si="4"/>
        <v>0.75</v>
      </c>
      <c r="AE21" s="6">
        <f t="shared" si="4"/>
        <v>0.75</v>
      </c>
      <c r="AF21" s="6">
        <f t="shared" si="4"/>
        <v>0.75</v>
      </c>
      <c r="AG21" s="6">
        <f t="shared" si="4"/>
        <v>0.5</v>
      </c>
      <c r="AH21" s="6">
        <f>AVERAGE(AE20:AH20)</f>
        <v>0.75</v>
      </c>
      <c r="AI21" s="11">
        <f t="shared" si="4"/>
        <v>0.75</v>
      </c>
      <c r="AJ21" s="43" t="s">
        <v>10</v>
      </c>
      <c r="AK21" s="44">
        <f>AVERAGE(R21:AI21)</f>
        <v>0.765625</v>
      </c>
    </row>
    <row r="22" spans="1:38" x14ac:dyDescent="0.2">
      <c r="M22" s="151" t="s">
        <v>11</v>
      </c>
      <c r="N22" s="152"/>
      <c r="O22" s="48"/>
      <c r="P22" s="19"/>
      <c r="Q22" s="19">
        <f t="shared" ref="Q22:AI22" si="5">Q15/Q19-1</f>
        <v>0.19979402677651903</v>
      </c>
      <c r="R22" s="19">
        <f t="shared" si="5"/>
        <v>0.56438026474127567</v>
      </c>
      <c r="S22" s="19">
        <f t="shared" si="5"/>
        <v>1.3363028953229383E-2</v>
      </c>
      <c r="T22" s="19">
        <f t="shared" si="5"/>
        <v>-7.407407407407407E-2</v>
      </c>
      <c r="U22" s="19">
        <f t="shared" si="5"/>
        <v>4.0000000000000036E-2</v>
      </c>
      <c r="V22" s="19">
        <f t="shared" si="5"/>
        <v>5.825958702064904E-2</v>
      </c>
      <c r="W22" s="19">
        <f t="shared" si="5"/>
        <v>3.2608695652173836E-2</v>
      </c>
      <c r="X22" s="19">
        <f t="shared" si="5"/>
        <v>0.10213968510294724</v>
      </c>
      <c r="Y22" s="19">
        <f t="shared" si="5"/>
        <v>7.7868852459016313E-2</v>
      </c>
      <c r="Z22" s="19">
        <f t="shared" si="5"/>
        <v>-4.0365575019040478E-2</v>
      </c>
      <c r="AA22" s="19">
        <f t="shared" si="5"/>
        <v>0.1124694376528117</v>
      </c>
      <c r="AB22" s="19">
        <f t="shared" si="5"/>
        <v>3.3138401559454245E-2</v>
      </c>
      <c r="AC22" s="19">
        <f t="shared" si="5"/>
        <v>5.4502369668246509E-2</v>
      </c>
      <c r="AD22" s="19">
        <f t="shared" si="5"/>
        <v>-5.8629232039636658E-2</v>
      </c>
      <c r="AE22" s="19">
        <f t="shared" si="5"/>
        <v>0.29824561403508776</v>
      </c>
      <c r="AF22" s="19">
        <f t="shared" si="5"/>
        <v>1.6556291390728006E-3</v>
      </c>
      <c r="AG22" s="19">
        <f t="shared" si="5"/>
        <v>-3.2383925087787757E-2</v>
      </c>
      <c r="AH22" s="19">
        <f t="shared" si="5"/>
        <v>2.161933022467144E-2</v>
      </c>
      <c r="AI22" s="42">
        <f t="shared" si="5"/>
        <v>7.4710347582900516E-2</v>
      </c>
      <c r="AJ22" s="43" t="s">
        <v>13</v>
      </c>
      <c r="AK22" s="45">
        <f>MEDIAN(O22:AI22)</f>
        <v>4.0000000000000036E-2</v>
      </c>
    </row>
    <row r="23" spans="1:38" x14ac:dyDescent="0.2">
      <c r="M23" s="114" t="s">
        <v>12</v>
      </c>
      <c r="N23" s="115"/>
      <c r="O23" s="12"/>
      <c r="P23" s="13"/>
      <c r="Q23" s="13"/>
      <c r="R23" s="34"/>
      <c r="S23" s="34"/>
      <c r="T23" s="34">
        <f>AVERAGE(Q22:T22)</f>
        <v>0.1758658115992375</v>
      </c>
      <c r="U23" s="34">
        <f>AVERAGE(R22:U22)</f>
        <v>0.13591730490510776</v>
      </c>
      <c r="V23" s="34">
        <f t="shared" ref="V23:AI23" si="6">AVERAGE(S22:V22)</f>
        <v>9.3871354749510971E-3</v>
      </c>
      <c r="W23" s="34">
        <f t="shared" si="6"/>
        <v>1.419855214968721E-2</v>
      </c>
      <c r="X23" s="34">
        <f t="shared" si="6"/>
        <v>5.8251991943942538E-2</v>
      </c>
      <c r="Y23" s="34">
        <f t="shared" si="6"/>
        <v>6.7719205058696608E-2</v>
      </c>
      <c r="Z23" s="34">
        <f t="shared" si="6"/>
        <v>4.3062914548774228E-2</v>
      </c>
      <c r="AA23" s="34">
        <f t="shared" si="6"/>
        <v>6.3028100048933694E-2</v>
      </c>
      <c r="AB23" s="34">
        <f t="shared" si="6"/>
        <v>4.5777779163060445E-2</v>
      </c>
      <c r="AC23" s="34">
        <f t="shared" si="6"/>
        <v>3.9936158465367994E-2</v>
      </c>
      <c r="AD23" s="34">
        <f t="shared" si="6"/>
        <v>3.5370244210218948E-2</v>
      </c>
      <c r="AE23" s="34">
        <f t="shared" si="6"/>
        <v>8.1814288305787963E-2</v>
      </c>
      <c r="AF23" s="34">
        <f t="shared" si="6"/>
        <v>7.3943595200692602E-2</v>
      </c>
      <c r="AG23" s="34">
        <f t="shared" si="6"/>
        <v>5.2222021511684036E-2</v>
      </c>
      <c r="AH23" s="34">
        <f t="shared" si="6"/>
        <v>7.2284162077761061E-2</v>
      </c>
      <c r="AI23" s="35">
        <f t="shared" si="6"/>
        <v>1.640034546471425E-2</v>
      </c>
      <c r="AJ23" s="20" t="s">
        <v>14</v>
      </c>
      <c r="AK23" s="35">
        <f>MEDIAN(O23:AI23)</f>
        <v>5.5237006727813287E-2</v>
      </c>
    </row>
    <row r="24" spans="1:38" x14ac:dyDescent="0.2">
      <c r="M24" s="119" t="s">
        <v>25</v>
      </c>
      <c r="N24" s="120"/>
      <c r="O24" s="80">
        <f>AVERAGE(Q22:S22,U22:Y22,AA22:AC22,AE22:AF22,AH22:AI22)</f>
        <v>0.11231701803787036</v>
      </c>
      <c r="P24" s="119" t="s">
        <v>29</v>
      </c>
      <c r="Q24" s="120"/>
      <c r="R24" s="49">
        <f>MEDIAN(Q22:S22,U22:Y22,AA22:AC22,AE22:AF22,AH22:AI22)</f>
        <v>5.825958702064904E-2</v>
      </c>
      <c r="AG24" s="144" t="s">
        <v>23</v>
      </c>
      <c r="AH24" s="145"/>
      <c r="AI24" s="145"/>
      <c r="AJ24" s="146"/>
      <c r="AK24" s="46">
        <f>AVERAGE(AD17:AJ17)</f>
        <v>2.600732143334376E-2</v>
      </c>
    </row>
    <row r="25" spans="1:38" x14ac:dyDescent="0.2">
      <c r="M25" s="121" t="s">
        <v>26</v>
      </c>
      <c r="N25" s="122"/>
      <c r="O25" s="35">
        <f>AVERAGE(T22,Z22,AD22,AG22)</f>
        <v>-5.1363201555134741E-2</v>
      </c>
      <c r="P25" s="121" t="s">
        <v>30</v>
      </c>
      <c r="Q25" s="122"/>
      <c r="R25" s="35">
        <f>MEDIAN(T22,Z22,AD22,AG22)</f>
        <v>-4.9497403529338568E-2</v>
      </c>
      <c r="AG25" s="147" t="s">
        <v>27</v>
      </c>
      <c r="AH25" s="148"/>
      <c r="AI25" s="148"/>
      <c r="AJ25" s="148"/>
      <c r="AK25" s="49">
        <f>AVERAGE(AJ18,AB18,X18,P18,L18,T18)</f>
        <v>0.25075943911882864</v>
      </c>
    </row>
    <row r="26" spans="1:38" x14ac:dyDescent="0.2">
      <c r="AG26" s="149" t="s">
        <v>28</v>
      </c>
      <c r="AH26" s="150"/>
      <c r="AI26" s="150"/>
      <c r="AJ26" s="150"/>
      <c r="AK26" s="50">
        <f>_xlfn.STDEV.S(L18,P18,T18,X18,AJ18)</f>
        <v>6.2912975885593102E-3</v>
      </c>
    </row>
    <row r="29" spans="1:38" ht="18" customHeight="1" x14ac:dyDescent="0.2"/>
  </sheetData>
  <mergeCells count="28">
    <mergeCell ref="B11:E11"/>
    <mergeCell ref="M23:N23"/>
    <mergeCell ref="AG24:AJ24"/>
    <mergeCell ref="AG25:AJ25"/>
    <mergeCell ref="AG26:AJ26"/>
    <mergeCell ref="P24:Q24"/>
    <mergeCell ref="P25:Q25"/>
    <mergeCell ref="M22:N22"/>
    <mergeCell ref="F11:I11"/>
    <mergeCell ref="J11:M11"/>
    <mergeCell ref="N11:Q11"/>
    <mergeCell ref="R11:U11"/>
    <mergeCell ref="Z11:AC11"/>
    <mergeCell ref="AD11:AG11"/>
    <mergeCell ref="AH11:AK11"/>
    <mergeCell ref="M20:N20"/>
    <mergeCell ref="AG10:AI10"/>
    <mergeCell ref="A1:C3"/>
    <mergeCell ref="K1:L1"/>
    <mergeCell ref="P1:Q1"/>
    <mergeCell ref="P2:Q2"/>
    <mergeCell ref="P3:Q3"/>
    <mergeCell ref="P4:Q4"/>
    <mergeCell ref="M21:N21"/>
    <mergeCell ref="V11:Y11"/>
    <mergeCell ref="M24:N24"/>
    <mergeCell ref="M25:N25"/>
    <mergeCell ref="H10:I10"/>
  </mergeCells>
  <conditionalFormatting sqref="O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R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4"/>
  <sheetViews>
    <sheetView zoomScale="85" zoomScaleNormal="85" workbookViewId="0">
      <selection activeCell="L15" sqref="A15:XFD16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7.85546875" bestFit="1" customWidth="1"/>
    <col min="6" max="6" width="12" bestFit="1" customWidth="1"/>
    <col min="7" max="7" width="10.5703125" bestFit="1" customWidth="1"/>
    <col min="8" max="8" width="19.5703125" bestFit="1" customWidth="1"/>
    <col min="9" max="9" width="13.42578125" bestFit="1" customWidth="1"/>
    <col min="10" max="10" width="9.7109375" bestFit="1" customWidth="1"/>
    <col min="11" max="11" width="21.7109375" bestFit="1" customWidth="1"/>
    <col min="12" max="12" width="16.28515625" bestFit="1" customWidth="1"/>
    <col min="13" max="13" width="14.42578125" bestFit="1" customWidth="1"/>
    <col min="14" max="14" width="23.42578125" bestFit="1" customWidth="1"/>
    <col min="15" max="15" width="17.7109375" bestFit="1" customWidth="1"/>
    <col min="16" max="16" width="11.28515625" bestFit="1" customWidth="1"/>
    <col min="17" max="17" width="13.85546875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8" t="s">
        <v>76</v>
      </c>
      <c r="B4" s="168"/>
      <c r="T4" s="77" t="s">
        <v>167</v>
      </c>
    </row>
    <row r="5" spans="1:21" x14ac:dyDescent="0.2">
      <c r="A5" s="18" t="s">
        <v>56</v>
      </c>
      <c r="B5" s="18" t="s">
        <v>57</v>
      </c>
      <c r="C5" s="18" t="s">
        <v>68</v>
      </c>
      <c r="D5" s="18" t="s">
        <v>58</v>
      </c>
      <c r="E5" s="18" t="s">
        <v>59</v>
      </c>
      <c r="F5" s="18" t="s">
        <v>69</v>
      </c>
      <c r="G5" s="18" t="s">
        <v>60</v>
      </c>
      <c r="H5" s="18" t="s">
        <v>61</v>
      </c>
      <c r="I5" s="18" t="s">
        <v>70</v>
      </c>
      <c r="J5" s="18" t="s">
        <v>62</v>
      </c>
      <c r="K5" s="18" t="s">
        <v>63</v>
      </c>
      <c r="L5" s="18" t="s">
        <v>73</v>
      </c>
      <c r="M5" s="18" t="s">
        <v>64</v>
      </c>
      <c r="N5" s="18" t="s">
        <v>65</v>
      </c>
      <c r="O5" s="18" t="s">
        <v>74</v>
      </c>
      <c r="P5" s="18" t="s">
        <v>66</v>
      </c>
      <c r="Q5" s="18" t="s">
        <v>67</v>
      </c>
      <c r="R5" s="18" t="s">
        <v>0</v>
      </c>
      <c r="S5" s="18" t="s">
        <v>72</v>
      </c>
      <c r="T5" s="38" t="s">
        <v>0</v>
      </c>
      <c r="U5" s="38" t="s">
        <v>72</v>
      </c>
    </row>
    <row r="6" spans="1:21" x14ac:dyDescent="0.2">
      <c r="A6" t="s">
        <v>169</v>
      </c>
      <c r="B6" t="s">
        <v>170</v>
      </c>
      <c r="C6" s="6" t="s">
        <v>171</v>
      </c>
      <c r="D6" s="6">
        <v>20180118</v>
      </c>
      <c r="E6" s="110">
        <v>275.11243182599998</v>
      </c>
      <c r="F6" s="110">
        <v>271.19093836300868</v>
      </c>
      <c r="G6" s="112">
        <v>242.743817105489</v>
      </c>
      <c r="H6" s="110">
        <v>238.75782440899999</v>
      </c>
      <c r="I6" s="110">
        <v>266.05662388029327</v>
      </c>
      <c r="J6" s="110">
        <v>258.77232711675822</v>
      </c>
      <c r="K6" s="110"/>
      <c r="L6" s="110"/>
      <c r="M6" s="110"/>
      <c r="N6" s="110"/>
      <c r="O6" s="110"/>
      <c r="P6" s="110"/>
      <c r="Q6" s="110"/>
      <c r="R6" s="6">
        <v>237.5</v>
      </c>
      <c r="S6" s="65">
        <v>247</v>
      </c>
      <c r="T6" s="109"/>
      <c r="U6" s="108"/>
    </row>
    <row r="7" spans="1:21" x14ac:dyDescent="0.2">
      <c r="A7" t="s">
        <v>169</v>
      </c>
      <c r="B7" t="s">
        <v>170</v>
      </c>
      <c r="C7" s="6" t="s">
        <v>42</v>
      </c>
      <c r="D7" s="6">
        <v>20180412</v>
      </c>
      <c r="E7" s="110">
        <v>268.89581800000002</v>
      </c>
      <c r="F7" s="110">
        <v>260.00270899999998</v>
      </c>
      <c r="G7" s="112">
        <v>190.09626800000001</v>
      </c>
      <c r="H7" s="110">
        <v>265.78026699999998</v>
      </c>
      <c r="I7" s="110">
        <v>292.37931099999997</v>
      </c>
      <c r="J7" s="110">
        <v>255.43087499999999</v>
      </c>
      <c r="K7" s="110">
        <v>241.41863239392558</v>
      </c>
      <c r="L7" s="110">
        <v>236.80978985011654</v>
      </c>
      <c r="M7" s="110">
        <v>193.42934767972002</v>
      </c>
      <c r="N7" s="110">
        <v>274.95528622569151</v>
      </c>
      <c r="O7" s="110">
        <v>271.43729317369997</v>
      </c>
      <c r="P7" s="110">
        <v>243.8105605339056</v>
      </c>
      <c r="Q7" s="110">
        <v>243.64348497617652</v>
      </c>
      <c r="R7" s="6">
        <v>271.2</v>
      </c>
      <c r="S7" s="65">
        <v>287</v>
      </c>
      <c r="T7" s="10"/>
      <c r="U7" s="65"/>
    </row>
    <row r="8" spans="1:21" x14ac:dyDescent="0.2">
      <c r="A8" t="s">
        <v>169</v>
      </c>
      <c r="B8" t="s">
        <v>170</v>
      </c>
      <c r="C8" s="6" t="s">
        <v>43</v>
      </c>
      <c r="D8" s="6">
        <v>20180712</v>
      </c>
      <c r="E8" s="110">
        <v>294.778886</v>
      </c>
      <c r="F8" s="110">
        <v>293.28727199999997</v>
      </c>
      <c r="G8" s="112">
        <v>271.346048</v>
      </c>
      <c r="H8" s="110">
        <v>273.70836300000002</v>
      </c>
      <c r="I8" s="110">
        <v>285.46481</v>
      </c>
      <c r="J8" s="110">
        <v>283.71707600000002</v>
      </c>
      <c r="K8" s="110">
        <v>314.62571977225764</v>
      </c>
      <c r="L8" s="110">
        <v>323.74065404064692</v>
      </c>
      <c r="M8" s="110">
        <v>409.66777830693655</v>
      </c>
      <c r="N8" s="110">
        <v>295.56107030699917</v>
      </c>
      <c r="O8" s="110">
        <v>280.21271474300727</v>
      </c>
      <c r="P8" s="110">
        <v>318.78213944183534</v>
      </c>
      <c r="Q8" s="110">
        <v>323.76501276861387</v>
      </c>
      <c r="R8" s="6">
        <v>276</v>
      </c>
      <c r="S8" s="65">
        <v>285</v>
      </c>
      <c r="T8" s="10"/>
      <c r="U8" s="65"/>
    </row>
    <row r="9" spans="1:21" x14ac:dyDescent="0.2">
      <c r="A9" t="s">
        <v>169</v>
      </c>
      <c r="B9" t="s">
        <v>170</v>
      </c>
      <c r="C9" s="6" t="s">
        <v>44</v>
      </c>
      <c r="D9" s="6">
        <v>20181011</v>
      </c>
      <c r="E9" s="110">
        <v>290.25033100000002</v>
      </c>
      <c r="F9" s="110">
        <v>287.50878499999999</v>
      </c>
      <c r="G9" s="112">
        <v>270.86381299999999</v>
      </c>
      <c r="H9" s="110">
        <v>274.80589400000002</v>
      </c>
      <c r="I9" s="110">
        <v>282.19079199999999</v>
      </c>
      <c r="J9" s="110">
        <v>281.12392299999999</v>
      </c>
      <c r="K9" s="110">
        <v>280.62167361267524</v>
      </c>
      <c r="L9" s="110">
        <v>279.38479282183101</v>
      </c>
      <c r="M9" s="110">
        <v>284.49349925671294</v>
      </c>
      <c r="N9" s="110">
        <v>286.1428088333567</v>
      </c>
      <c r="O9" s="110">
        <v>281.73131294186487</v>
      </c>
      <c r="P9" s="110">
        <v>282.3951211699362</v>
      </c>
      <c r="Q9" s="110">
        <v>282.46153477272946</v>
      </c>
      <c r="R9" s="6">
        <v>247.7</v>
      </c>
      <c r="S9" s="65">
        <v>273</v>
      </c>
      <c r="T9" s="10"/>
      <c r="U9" s="65"/>
    </row>
    <row r="10" spans="1:21" x14ac:dyDescent="0.2">
      <c r="A10" t="s">
        <v>169</v>
      </c>
      <c r="B10" t="s">
        <v>170</v>
      </c>
      <c r="C10" s="6" t="s">
        <v>45</v>
      </c>
      <c r="D10" s="6">
        <v>20190117</v>
      </c>
      <c r="E10" s="110">
        <v>301.491782</v>
      </c>
      <c r="F10" s="110">
        <v>293.450199</v>
      </c>
      <c r="G10" s="112">
        <v>259.75167900000002</v>
      </c>
      <c r="H10" s="110">
        <v>292.84833400000002</v>
      </c>
      <c r="I10" s="110">
        <v>294.192432</v>
      </c>
      <c r="J10" s="110">
        <v>288.34688499999999</v>
      </c>
      <c r="K10" s="110">
        <v>283.573342371141</v>
      </c>
      <c r="L10" s="110">
        <v>278.64158768922488</v>
      </c>
      <c r="M10" s="110">
        <v>261.80022935363462</v>
      </c>
      <c r="N10" s="110">
        <v>290.92387364151659</v>
      </c>
      <c r="O10" s="110">
        <v>284.61075347915676</v>
      </c>
      <c r="P10" s="110">
        <v>280.01423274461064</v>
      </c>
      <c r="Q10" s="110">
        <v>279.92733654654739</v>
      </c>
      <c r="R10" s="6">
        <v>244</v>
      </c>
      <c r="S10" s="65">
        <v>263</v>
      </c>
      <c r="T10" s="10"/>
      <c r="U10" s="65"/>
    </row>
    <row r="11" spans="1:21" x14ac:dyDescent="0.2">
      <c r="A11" t="s">
        <v>169</v>
      </c>
      <c r="B11" t="s">
        <v>170</v>
      </c>
      <c r="C11" s="6" t="s">
        <v>46</v>
      </c>
      <c r="D11" s="6">
        <v>20190411</v>
      </c>
      <c r="E11" s="110">
        <v>279.28282799999999</v>
      </c>
      <c r="F11" s="110">
        <v>284.38891000000001</v>
      </c>
      <c r="G11" s="112">
        <v>245.10100600000001</v>
      </c>
      <c r="H11" s="110">
        <v>280.27525000000003</v>
      </c>
      <c r="I11" s="110">
        <v>280.69763699999999</v>
      </c>
      <c r="J11" s="110">
        <v>273.94912599999998</v>
      </c>
      <c r="K11" s="110">
        <v>243.62648718564407</v>
      </c>
      <c r="L11" s="110">
        <v>254.878966123993</v>
      </c>
      <c r="M11" s="110">
        <v>248.16611321307377</v>
      </c>
      <c r="N11" s="110">
        <v>251.70841760704707</v>
      </c>
      <c r="O11" s="110">
        <v>250.93602180425904</v>
      </c>
      <c r="P11" s="110">
        <v>249.86786362543847</v>
      </c>
      <c r="Q11" s="110">
        <v>249.86397825990923</v>
      </c>
      <c r="R11" s="6">
        <v>262.60000000000002</v>
      </c>
      <c r="S11" s="65">
        <v>252</v>
      </c>
      <c r="T11" s="10"/>
      <c r="U11" s="65"/>
    </row>
    <row r="12" spans="1:21" x14ac:dyDescent="0.2">
      <c r="A12" t="s">
        <v>169</v>
      </c>
      <c r="B12" t="s">
        <v>170</v>
      </c>
      <c r="C12" s="6" t="s">
        <v>47</v>
      </c>
      <c r="D12" s="6">
        <v>20190711</v>
      </c>
      <c r="E12" s="110">
        <v>288.38463000000002</v>
      </c>
      <c r="F12" s="110">
        <v>279.85516000000001</v>
      </c>
      <c r="G12" s="112">
        <v>248.23572100000001</v>
      </c>
      <c r="H12" s="110">
        <v>271.02553399999999</v>
      </c>
      <c r="I12" s="110">
        <v>280.27065099999999</v>
      </c>
      <c r="J12" s="110">
        <v>273.55433900000003</v>
      </c>
      <c r="K12" s="110">
        <v>260.21265711331171</v>
      </c>
      <c r="L12" s="110">
        <v>247.98259650842223</v>
      </c>
      <c r="M12" s="110">
        <v>255.22294956227145</v>
      </c>
      <c r="N12" s="110">
        <v>243.68343108426447</v>
      </c>
      <c r="O12" s="110">
        <v>251.61666769570988</v>
      </c>
      <c r="P12" s="110">
        <v>251.63684379850883</v>
      </c>
      <c r="Q12" s="110">
        <v>251.72585762708141</v>
      </c>
      <c r="R12" s="6">
        <v>245.4</v>
      </c>
      <c r="S12" s="65">
        <v>273</v>
      </c>
      <c r="T12" s="10"/>
      <c r="U12" s="65"/>
    </row>
    <row r="13" spans="1:21" x14ac:dyDescent="0.2">
      <c r="A13" t="s">
        <v>169</v>
      </c>
      <c r="B13" t="s">
        <v>170</v>
      </c>
      <c r="C13" s="6" t="s">
        <v>48</v>
      </c>
      <c r="D13" s="6">
        <v>20191010</v>
      </c>
      <c r="E13" s="110">
        <v>257.96603099999999</v>
      </c>
      <c r="F13" s="110">
        <v>262.51351399999999</v>
      </c>
      <c r="G13" s="112">
        <v>231.06444999999999</v>
      </c>
      <c r="H13" s="110">
        <v>268.32625899999999</v>
      </c>
      <c r="I13" s="110">
        <v>269.67736400000001</v>
      </c>
      <c r="J13" s="110">
        <v>257.90952399999998</v>
      </c>
      <c r="K13" s="110">
        <v>244.20416047484912</v>
      </c>
      <c r="L13" s="110">
        <v>256.08314430221685</v>
      </c>
      <c r="M13" s="110">
        <v>254.11570339628921</v>
      </c>
      <c r="N13" s="110">
        <v>270.28106033359944</v>
      </c>
      <c r="O13" s="110">
        <v>262.68151912916494</v>
      </c>
      <c r="P13" s="110">
        <v>257.38688813852076</v>
      </c>
      <c r="Q13" s="110">
        <v>257.45874596244005</v>
      </c>
      <c r="R13" s="6">
        <v>256.5</v>
      </c>
      <c r="S13" s="65">
        <v>265</v>
      </c>
      <c r="T13" s="10"/>
      <c r="U13" s="65"/>
    </row>
    <row r="14" spans="1:21" x14ac:dyDescent="0.2">
      <c r="A14" t="s">
        <v>169</v>
      </c>
      <c r="B14" t="s">
        <v>170</v>
      </c>
      <c r="C14" s="6" t="s">
        <v>49</v>
      </c>
      <c r="D14" s="6">
        <v>20200116</v>
      </c>
      <c r="E14" s="110">
        <v>264.60070200000001</v>
      </c>
      <c r="F14" s="110">
        <v>260.66535499999998</v>
      </c>
      <c r="G14" s="112">
        <v>258.17421300000001</v>
      </c>
      <c r="H14" s="110">
        <v>276.61445400000002</v>
      </c>
      <c r="I14" s="110">
        <v>269.95115500000003</v>
      </c>
      <c r="J14" s="110">
        <v>266.00117599999999</v>
      </c>
      <c r="K14" s="110">
        <v>271.81557881161496</v>
      </c>
      <c r="L14" s="110">
        <v>263.13433553367463</v>
      </c>
      <c r="M14" s="110">
        <v>296.09126996818424</v>
      </c>
      <c r="N14" s="110">
        <v>273.18545185695001</v>
      </c>
      <c r="O14" s="110">
        <v>265.26904228787998</v>
      </c>
      <c r="P14" s="110">
        <v>273.31410855537075</v>
      </c>
      <c r="Q14" s="110">
        <v>273.80163116894579</v>
      </c>
      <c r="R14" s="6">
        <v>253.2</v>
      </c>
      <c r="S14" s="65">
        <v>267</v>
      </c>
      <c r="T14" s="10"/>
      <c r="U14" s="65"/>
    </row>
    <row r="15" spans="1:21" x14ac:dyDescent="0.2">
      <c r="A15" t="s">
        <v>169</v>
      </c>
      <c r="B15" t="s">
        <v>170</v>
      </c>
      <c r="C15" s="6" t="s">
        <v>50</v>
      </c>
      <c r="D15" s="6">
        <v>20200409</v>
      </c>
      <c r="E15" s="110">
        <v>272.87121100000002</v>
      </c>
      <c r="F15" s="110">
        <v>270.02137299999998</v>
      </c>
      <c r="G15" s="112">
        <v>236.788388</v>
      </c>
      <c r="H15" s="110">
        <v>260.568063</v>
      </c>
      <c r="I15" s="110">
        <v>258.71434599999998</v>
      </c>
      <c r="J15" s="110">
        <v>259.79267599999997</v>
      </c>
      <c r="K15" s="110">
        <v>275.34550281351864</v>
      </c>
      <c r="L15" s="110">
        <v>276.58338635374082</v>
      </c>
      <c r="M15" s="110">
        <v>244.88309216226796</v>
      </c>
      <c r="N15" s="110">
        <v>251.5113430081278</v>
      </c>
      <c r="O15" s="110">
        <v>255.88603383452826</v>
      </c>
      <c r="P15" s="110">
        <v>260.76818732560793</v>
      </c>
      <c r="Q15" s="110">
        <v>260.82959091629857</v>
      </c>
      <c r="R15" s="6">
        <v>242.2</v>
      </c>
      <c r="S15" s="65">
        <v>228</v>
      </c>
      <c r="T15" s="10"/>
      <c r="U15" s="65"/>
    </row>
    <row r="16" spans="1:21" x14ac:dyDescent="0.2">
      <c r="A16" t="s">
        <v>169</v>
      </c>
      <c r="B16" t="s">
        <v>170</v>
      </c>
      <c r="C16" s="6" t="s">
        <v>51</v>
      </c>
      <c r="D16" s="6">
        <v>20200709</v>
      </c>
      <c r="E16" s="110">
        <v>214.79258400000001</v>
      </c>
      <c r="F16" s="110">
        <v>214.09481700000001</v>
      </c>
      <c r="G16" s="112">
        <v>175.49562800000001</v>
      </c>
      <c r="H16" s="110">
        <v>216.94526200000001</v>
      </c>
      <c r="I16" s="110">
        <v>224.82548299999999</v>
      </c>
      <c r="J16" s="110">
        <v>209.23075499999999</v>
      </c>
      <c r="K16" s="110">
        <v>179.4718796919914</v>
      </c>
      <c r="L16" s="110">
        <v>180.7768686369875</v>
      </c>
      <c r="M16" s="110">
        <v>168.9821174170078</v>
      </c>
      <c r="N16" s="110">
        <v>189.82955611102656</v>
      </c>
      <c r="O16" s="110">
        <v>198.13439384609927</v>
      </c>
      <c r="P16" s="110">
        <v>183.62570059519305</v>
      </c>
      <c r="Q16" s="110">
        <v>183.47008604971757</v>
      </c>
      <c r="R16" s="6">
        <v>142.5</v>
      </c>
      <c r="S16" s="65">
        <v>185</v>
      </c>
      <c r="T16" s="10"/>
      <c r="U16" s="65"/>
    </row>
    <row r="17" spans="1:21" x14ac:dyDescent="0.2">
      <c r="A17" t="s">
        <v>169</v>
      </c>
      <c r="B17" t="s">
        <v>170</v>
      </c>
      <c r="C17" s="6" t="s">
        <v>52</v>
      </c>
      <c r="D17" s="6">
        <v>20201015</v>
      </c>
      <c r="E17" s="110">
        <v>238.54362399999999</v>
      </c>
      <c r="F17" s="110">
        <v>241.90564599999999</v>
      </c>
      <c r="G17" s="112">
        <v>231.872466</v>
      </c>
      <c r="H17" s="110">
        <v>230.478869</v>
      </c>
      <c r="I17" s="110">
        <v>243.62415300000001</v>
      </c>
      <c r="J17" s="110">
        <v>237.284952</v>
      </c>
      <c r="K17" s="110">
        <v>205.45667647445404</v>
      </c>
      <c r="L17" s="110">
        <v>209.03142419370198</v>
      </c>
      <c r="M17" s="110">
        <v>244.43005617211159</v>
      </c>
      <c r="N17" s="110">
        <v>196.54077886706739</v>
      </c>
      <c r="O17" s="110">
        <v>200.46868221339486</v>
      </c>
      <c r="P17" s="110">
        <v>209.80527513749115</v>
      </c>
      <c r="Q17" s="110">
        <v>210.95548217637017</v>
      </c>
      <c r="R17" s="6">
        <v>241.6</v>
      </c>
      <c r="S17" s="65">
        <v>242</v>
      </c>
      <c r="T17" s="10"/>
      <c r="U17" s="65"/>
    </row>
    <row r="18" spans="1:21" x14ac:dyDescent="0.2">
      <c r="A18" t="s">
        <v>169</v>
      </c>
      <c r="B18" t="s">
        <v>170</v>
      </c>
      <c r="C18" s="6" t="s">
        <v>53</v>
      </c>
      <c r="D18" s="6">
        <v>20210121</v>
      </c>
      <c r="E18" s="110">
        <v>244.88763299999999</v>
      </c>
      <c r="F18" s="110">
        <v>241.46023600000001</v>
      </c>
      <c r="G18" s="112">
        <v>244.346013</v>
      </c>
      <c r="H18" s="110">
        <v>246.005</v>
      </c>
      <c r="I18" s="110">
        <v>252.772549</v>
      </c>
      <c r="J18" s="110">
        <v>245.89428599999999</v>
      </c>
      <c r="K18" s="110">
        <v>248.43593046947254</v>
      </c>
      <c r="L18" s="110">
        <v>241.55441627021804</v>
      </c>
      <c r="M18" s="110">
        <v>255.01835628038734</v>
      </c>
      <c r="N18" s="110">
        <v>258.30224809025765</v>
      </c>
      <c r="O18" s="110">
        <v>251.08740699449453</v>
      </c>
      <c r="P18" s="110">
        <v>250.78040857812169</v>
      </c>
      <c r="Q18" s="110">
        <v>250.86312778049196</v>
      </c>
      <c r="R18" s="6">
        <v>256.3</v>
      </c>
      <c r="S18" s="65">
        <v>248</v>
      </c>
    </row>
    <row r="19" spans="1:21" x14ac:dyDescent="0.2">
      <c r="A19" t="s">
        <v>169</v>
      </c>
      <c r="B19" t="s">
        <v>170</v>
      </c>
      <c r="C19" s="6" t="s">
        <v>54</v>
      </c>
      <c r="D19" s="6">
        <v>20210415</v>
      </c>
      <c r="E19" s="110">
        <v>236.91333800000001</v>
      </c>
      <c r="F19" s="110">
        <v>230.81030200000001</v>
      </c>
      <c r="G19" s="112">
        <v>226.69441900000001</v>
      </c>
      <c r="H19" s="110">
        <v>224.694087</v>
      </c>
      <c r="I19" s="110">
        <v>222.72706700000001</v>
      </c>
      <c r="J19" s="110">
        <v>228.36784299999999</v>
      </c>
      <c r="K19" s="110">
        <v>239.92435675181687</v>
      </c>
      <c r="L19" s="110">
        <v>237.06162076309741</v>
      </c>
      <c r="M19" s="110">
        <v>230.08444141055006</v>
      </c>
      <c r="N19" s="110">
        <v>226.51626420601207</v>
      </c>
      <c r="O19" s="110">
        <v>218.52180086216561</v>
      </c>
      <c r="P19" s="110">
        <v>230.32346942783371</v>
      </c>
      <c r="Q19" s="110">
        <v>230.40532557024596</v>
      </c>
      <c r="R19" s="6">
        <v>235.9</v>
      </c>
      <c r="S19" s="66">
        <v>241</v>
      </c>
    </row>
    <row r="20" spans="1:21" x14ac:dyDescent="0.2">
      <c r="A20" t="s">
        <v>169</v>
      </c>
      <c r="B20" t="s">
        <v>170</v>
      </c>
      <c r="C20" s="6" t="s">
        <v>55</v>
      </c>
      <c r="D20" s="6">
        <v>20210715</v>
      </c>
      <c r="E20" s="110">
        <v>278.91439500000001</v>
      </c>
      <c r="F20" s="110">
        <v>272.24084499999998</v>
      </c>
      <c r="G20" s="112">
        <v>250.63226700000001</v>
      </c>
      <c r="H20" s="110">
        <v>280.64594199999999</v>
      </c>
      <c r="I20" s="110">
        <v>266.42503299999998</v>
      </c>
      <c r="J20" s="110">
        <v>269.77169600000002</v>
      </c>
      <c r="K20" s="110">
        <v>283.72555873152231</v>
      </c>
      <c r="L20" s="110">
        <v>284.25959793163821</v>
      </c>
      <c r="M20" s="110">
        <v>266.4484490330571</v>
      </c>
      <c r="N20" s="110">
        <v>301.01224702900174</v>
      </c>
      <c r="O20" s="110">
        <v>288.28302647652606</v>
      </c>
      <c r="P20" s="110">
        <v>284.69410527295651</v>
      </c>
      <c r="Q20" s="110">
        <v>284.73716407911701</v>
      </c>
      <c r="R20" s="6">
        <v>250.3</v>
      </c>
      <c r="S20" s="66">
        <v>269</v>
      </c>
    </row>
    <row r="21" spans="1:21" x14ac:dyDescent="0.2">
      <c r="A21" t="s">
        <v>169</v>
      </c>
      <c r="B21" t="s">
        <v>170</v>
      </c>
      <c r="C21" s="13" t="s">
        <v>71</v>
      </c>
      <c r="D21" s="13">
        <v>20211014</v>
      </c>
      <c r="E21" s="111">
        <v>270.41379499999999</v>
      </c>
      <c r="F21" s="111">
        <v>264.24484000000001</v>
      </c>
      <c r="G21" s="113">
        <v>240.35214099999999</v>
      </c>
      <c r="H21" s="111">
        <v>256.89800000000002</v>
      </c>
      <c r="I21" s="111">
        <v>239.88582099999999</v>
      </c>
      <c r="J21" s="111">
        <v>254.35891939999999</v>
      </c>
      <c r="K21" s="110">
        <f>(E21/E20)*$S20</f>
        <v>260.80156549467443</v>
      </c>
      <c r="L21" s="110">
        <f t="shared" ref="L21:P21" si="0">(F21/F20)*$S20</f>
        <v>261.09918208636185</v>
      </c>
      <c r="M21" s="110">
        <f t="shared" si="0"/>
        <v>257.96648892379045</v>
      </c>
      <c r="N21" s="110">
        <f t="shared" si="0"/>
        <v>246.23752443211885</v>
      </c>
      <c r="O21" s="110">
        <f t="shared" si="0"/>
        <v>242.20428959841774</v>
      </c>
      <c r="P21" s="110">
        <f t="shared" si="0"/>
        <v>253.63131245095479</v>
      </c>
      <c r="Q21" s="110">
        <f>AVERAGE(K21:P21)</f>
        <v>253.65672716438633</v>
      </c>
      <c r="R21" s="6">
        <v>262</v>
      </c>
      <c r="S21" s="11"/>
    </row>
    <row r="22" spans="1:21" x14ac:dyDescent="0.2">
      <c r="A22" s="166" t="s">
        <v>75</v>
      </c>
      <c r="B22" s="167"/>
      <c r="C22" s="167"/>
      <c r="D22" s="167"/>
      <c r="E22" s="72">
        <f t="shared" ref="E22:Q22" si="1">CORREL(E$6:E$20,$S$6:$S$20)</f>
        <v>0.7251258394702812</v>
      </c>
      <c r="F22" s="72">
        <f t="shared" si="1"/>
        <v>0.6977813233388388</v>
      </c>
      <c r="G22" s="72">
        <f t="shared" si="1"/>
        <v>0.5578283001576706</v>
      </c>
      <c r="H22" s="72">
        <f t="shared" si="1"/>
        <v>0.72289522352728297</v>
      </c>
      <c r="I22" s="71">
        <f t="shared" si="1"/>
        <v>0.79434770053898274</v>
      </c>
      <c r="J22" s="71">
        <f t="shared" si="1"/>
        <v>0.76431171098378314</v>
      </c>
      <c r="K22" s="72">
        <f t="shared" si="1"/>
        <v>0.69983547833696269</v>
      </c>
      <c r="L22" s="72">
        <f t="shared" si="1"/>
        <v>0.67156372692633326</v>
      </c>
      <c r="M22" s="72">
        <f t="shared" si="1"/>
        <v>0.56912639220373773</v>
      </c>
      <c r="N22" s="71">
        <f t="shared" si="1"/>
        <v>0.78131363259458042</v>
      </c>
      <c r="O22" s="71">
        <f t="shared" si="1"/>
        <v>0.76927314743557595</v>
      </c>
      <c r="P22" s="72">
        <f t="shared" si="1"/>
        <v>0.74990104168433347</v>
      </c>
      <c r="Q22" s="72">
        <f t="shared" si="1"/>
        <v>0.74729520903848001</v>
      </c>
      <c r="R22" s="71">
        <f t="shared" ref="R22" si="2">CORREL(R$6:R$20,$S$6:$S$20)</f>
        <v>0.86565920624307691</v>
      </c>
      <c r="S22" s="5"/>
    </row>
    <row r="24" spans="1:21" x14ac:dyDescent="0.2">
      <c r="A24" s="169" t="s">
        <v>77</v>
      </c>
      <c r="B24" s="170"/>
    </row>
    <row r="25" spans="1:21" x14ac:dyDescent="0.2">
      <c r="A25" s="18" t="s">
        <v>56</v>
      </c>
      <c r="B25" s="18" t="s">
        <v>57</v>
      </c>
      <c r="C25" s="18" t="s">
        <v>68</v>
      </c>
      <c r="D25" s="18" t="s">
        <v>58</v>
      </c>
      <c r="E25" s="18" t="s">
        <v>59</v>
      </c>
      <c r="F25" s="18" t="s">
        <v>69</v>
      </c>
      <c r="G25" s="18" t="s">
        <v>60</v>
      </c>
      <c r="H25" s="18" t="s">
        <v>61</v>
      </c>
      <c r="I25" s="18" t="s">
        <v>70</v>
      </c>
      <c r="J25" s="18" t="s">
        <v>62</v>
      </c>
      <c r="K25" s="18" t="s">
        <v>63</v>
      </c>
      <c r="L25" s="18" t="s">
        <v>73</v>
      </c>
      <c r="M25" s="18" t="s">
        <v>64</v>
      </c>
      <c r="N25" s="18" t="s">
        <v>65</v>
      </c>
      <c r="O25" s="18" t="s">
        <v>74</v>
      </c>
      <c r="P25" s="18" t="s">
        <v>66</v>
      </c>
      <c r="Q25" s="18" t="s">
        <v>67</v>
      </c>
      <c r="R25" s="18" t="s">
        <v>0</v>
      </c>
    </row>
    <row r="26" spans="1:21" x14ac:dyDescent="0.2">
      <c r="A26" s="10" t="str">
        <f>A6</f>
        <v>ABT</v>
      </c>
      <c r="B26" s="10" t="str">
        <f t="shared" ref="B26:D27" si="3">B6</f>
        <v>RHYTHM MANAGEMENT</v>
      </c>
      <c r="C26" s="10" t="str">
        <f t="shared" si="3"/>
        <v>2017Q4</v>
      </c>
      <c r="D26" s="10">
        <f t="shared" si="3"/>
        <v>20180118</v>
      </c>
      <c r="E26" s="19">
        <f t="shared" ref="E26:J27" si="4">$S6/E6-1</f>
        <v>-0.10218524709846699</v>
      </c>
      <c r="F26" s="19">
        <f t="shared" si="4"/>
        <v>-8.9202605769324594E-2</v>
      </c>
      <c r="G26" s="19">
        <f t="shared" si="4"/>
        <v>1.7533640795725836E-2</v>
      </c>
      <c r="H26" s="19">
        <f t="shared" si="4"/>
        <v>3.452107009017169E-2</v>
      </c>
      <c r="I26" s="19">
        <f t="shared" si="4"/>
        <v>-7.1626195966718043E-2</v>
      </c>
      <c r="J26" s="19">
        <f t="shared" si="4"/>
        <v>-4.5492990877059825E-2</v>
      </c>
      <c r="K26" s="19"/>
      <c r="L26" s="19"/>
      <c r="M26" s="19"/>
      <c r="N26" s="19"/>
      <c r="O26" s="19"/>
      <c r="P26" s="19"/>
      <c r="Q26" s="19"/>
      <c r="R26" s="42">
        <f>$S6/R6-1</f>
        <v>4.0000000000000036E-2</v>
      </c>
    </row>
    <row r="27" spans="1:21" x14ac:dyDescent="0.2">
      <c r="A27" s="10" t="str">
        <f>A7</f>
        <v>ABT</v>
      </c>
      <c r="B27" s="10" t="str">
        <f t="shared" si="3"/>
        <v>RHYTHM MANAGEMENT</v>
      </c>
      <c r="C27" s="10" t="str">
        <f t="shared" si="3"/>
        <v>2018Q1</v>
      </c>
      <c r="D27" s="10">
        <f t="shared" si="3"/>
        <v>20180412</v>
      </c>
      <c r="E27" s="19">
        <f t="shared" si="4"/>
        <v>6.7327867479143766E-2</v>
      </c>
      <c r="F27" s="19">
        <f t="shared" si="4"/>
        <v>0.10383465273817594</v>
      </c>
      <c r="G27" s="19">
        <f t="shared" si="4"/>
        <v>0.50976135943920786</v>
      </c>
      <c r="H27" s="19">
        <f t="shared" si="4"/>
        <v>7.9839384765160171E-2</v>
      </c>
      <c r="I27" s="19">
        <f t="shared" si="4"/>
        <v>-1.8398398236871061E-2</v>
      </c>
      <c r="J27" s="19">
        <f t="shared" si="4"/>
        <v>0.12359165664683269</v>
      </c>
      <c r="K27" s="19">
        <f t="shared" ref="K27:Q27" si="5">$S7/K7-1</f>
        <v>0.18880633675241265</v>
      </c>
      <c r="L27" s="19">
        <f t="shared" si="5"/>
        <v>0.21194313875980475</v>
      </c>
      <c r="M27" s="19">
        <f t="shared" si="5"/>
        <v>0.48374589193783613</v>
      </c>
      <c r="N27" s="19">
        <f t="shared" si="5"/>
        <v>4.3806081852966638E-2</v>
      </c>
      <c r="O27" s="19">
        <f t="shared" si="5"/>
        <v>5.7334445994276173E-2</v>
      </c>
      <c r="P27" s="19">
        <f t="shared" si="5"/>
        <v>0.17714343206264949</v>
      </c>
      <c r="Q27" s="19">
        <f t="shared" si="5"/>
        <v>0.17795064386007642</v>
      </c>
      <c r="R27" s="42">
        <f>$S7/R7-1</f>
        <v>5.825958702064904E-2</v>
      </c>
    </row>
    <row r="28" spans="1:21" x14ac:dyDescent="0.2">
      <c r="A28" s="10" t="str">
        <f t="shared" ref="A28:D28" si="6">A8</f>
        <v>ABT</v>
      </c>
      <c r="B28" s="10" t="str">
        <f t="shared" si="6"/>
        <v>RHYTHM MANAGEMENT</v>
      </c>
      <c r="C28" s="10" t="str">
        <f t="shared" si="6"/>
        <v>2018Q2</v>
      </c>
      <c r="D28" s="10">
        <f t="shared" si="6"/>
        <v>20180712</v>
      </c>
      <c r="E28" s="19">
        <f t="shared" ref="E28:J28" si="7">$S8/E8-1</f>
        <v>-3.3173631031362283E-2</v>
      </c>
      <c r="F28" s="19">
        <f t="shared" si="7"/>
        <v>-2.825650067760177E-2</v>
      </c>
      <c r="G28" s="19">
        <f t="shared" si="7"/>
        <v>5.0319332456244314E-2</v>
      </c>
      <c r="H28" s="19">
        <f t="shared" si="7"/>
        <v>4.1254263758100818E-2</v>
      </c>
      <c r="I28" s="19">
        <f t="shared" si="7"/>
        <v>-1.6282567367935652E-3</v>
      </c>
      <c r="J28" s="19">
        <f t="shared" si="7"/>
        <v>4.521842738855808E-3</v>
      </c>
      <c r="K28" s="19">
        <f t="shared" ref="K28:Q28" si="8">$S8/K8-1</f>
        <v>-9.4161786244628232E-2</v>
      </c>
      <c r="L28" s="19">
        <f t="shared" si="8"/>
        <v>-0.11966570635204465</v>
      </c>
      <c r="M28" s="19">
        <f t="shared" si="8"/>
        <v>-0.30431433690528464</v>
      </c>
      <c r="N28" s="19">
        <f t="shared" si="8"/>
        <v>-3.5732277921545541E-2</v>
      </c>
      <c r="O28" s="19">
        <f t="shared" si="8"/>
        <v>1.7084468352491777E-2</v>
      </c>
      <c r="P28" s="19">
        <f t="shared" si="8"/>
        <v>-0.10597249739582471</v>
      </c>
      <c r="Q28" s="19">
        <f t="shared" si="8"/>
        <v>-0.11973193902924339</v>
      </c>
      <c r="R28" s="42">
        <f t="shared" ref="R28:R35" si="9">$S8/R8-1</f>
        <v>3.2608695652173836E-2</v>
      </c>
    </row>
    <row r="29" spans="1:21" x14ac:dyDescent="0.2">
      <c r="A29" s="10" t="str">
        <f t="shared" ref="A29:D29" si="10">A9</f>
        <v>ABT</v>
      </c>
      <c r="B29" s="10" t="str">
        <f t="shared" si="10"/>
        <v>RHYTHM MANAGEMENT</v>
      </c>
      <c r="C29" s="10" t="str">
        <f t="shared" si="10"/>
        <v>2018Q3</v>
      </c>
      <c r="D29" s="10">
        <f t="shared" si="10"/>
        <v>20181011</v>
      </c>
      <c r="E29" s="19">
        <f t="shared" ref="E29:J29" si="11">$S9/E9-1</f>
        <v>-5.9432597167305312E-2</v>
      </c>
      <c r="F29" s="19">
        <f t="shared" si="11"/>
        <v>-5.0463797132320631E-2</v>
      </c>
      <c r="G29" s="19">
        <f t="shared" si="11"/>
        <v>7.8865721350529494E-3</v>
      </c>
      <c r="H29" s="19">
        <f t="shared" si="11"/>
        <v>-6.5715257184404408E-3</v>
      </c>
      <c r="I29" s="19">
        <f t="shared" si="11"/>
        <v>-3.2569425582107514E-2</v>
      </c>
      <c r="J29" s="19">
        <f t="shared" si="11"/>
        <v>-2.8898013777361786E-2</v>
      </c>
      <c r="K29" s="19">
        <f t="shared" ref="K29:Q29" si="12">$S9/K9-1</f>
        <v>-2.7159960649350889E-2</v>
      </c>
      <c r="L29" s="19">
        <f t="shared" si="12"/>
        <v>-2.2853043493683334E-2</v>
      </c>
      <c r="M29" s="19">
        <f t="shared" si="12"/>
        <v>-4.0399866031180398E-2</v>
      </c>
      <c r="N29" s="19">
        <f t="shared" si="12"/>
        <v>-4.5930942269497232E-2</v>
      </c>
      <c r="O29" s="19">
        <f t="shared" si="12"/>
        <v>-3.0991631177563095E-2</v>
      </c>
      <c r="P29" s="19">
        <f t="shared" si="12"/>
        <v>-3.3269417442529092E-2</v>
      </c>
      <c r="Q29" s="19">
        <f t="shared" si="12"/>
        <v>-3.3496719404085495E-2</v>
      </c>
      <c r="R29" s="42">
        <f t="shared" si="9"/>
        <v>0.10213968510294724</v>
      </c>
    </row>
    <row r="30" spans="1:21" x14ac:dyDescent="0.2">
      <c r="A30" s="10" t="str">
        <f t="shared" ref="A30:D30" si="13">A10</f>
        <v>ABT</v>
      </c>
      <c r="B30" s="10" t="str">
        <f t="shared" si="13"/>
        <v>RHYTHM MANAGEMENT</v>
      </c>
      <c r="C30" s="10" t="str">
        <f t="shared" si="13"/>
        <v>2018Q4</v>
      </c>
      <c r="D30" s="10">
        <f t="shared" si="13"/>
        <v>20190117</v>
      </c>
      <c r="E30" s="19">
        <f t="shared" ref="E30:J30" si="14">$S10/E10-1</f>
        <v>-0.12767108192686993</v>
      </c>
      <c r="F30" s="19">
        <f t="shared" si="14"/>
        <v>-0.10376615556495161</v>
      </c>
      <c r="G30" s="19">
        <f t="shared" si="14"/>
        <v>1.2505486056935133E-2</v>
      </c>
      <c r="H30" s="19">
        <f t="shared" si="14"/>
        <v>-0.1019242062684913</v>
      </c>
      <c r="I30" s="19">
        <f t="shared" si="14"/>
        <v>-0.10602730936328097</v>
      </c>
      <c r="J30" s="19">
        <f t="shared" si="14"/>
        <v>-8.7904140181711998E-2</v>
      </c>
      <c r="K30" s="19">
        <f t="shared" ref="K30:Q30" si="15">$S10/K10-1</f>
        <v>-7.2550339884256743E-2</v>
      </c>
      <c r="L30" s="19">
        <f t="shared" si="15"/>
        <v>-5.6135151320879983E-2</v>
      </c>
      <c r="M30" s="19">
        <f t="shared" si="15"/>
        <v>4.5827715633692812E-3</v>
      </c>
      <c r="N30" s="19">
        <f t="shared" si="15"/>
        <v>-9.5983438182612235E-2</v>
      </c>
      <c r="O30" s="19">
        <f t="shared" si="15"/>
        <v>-7.5930909900561394E-2</v>
      </c>
      <c r="P30" s="19">
        <f t="shared" si="15"/>
        <v>-6.076202833635469E-2</v>
      </c>
      <c r="Q30" s="19">
        <f t="shared" si="15"/>
        <v>-6.0470466212336649E-2</v>
      </c>
      <c r="R30" s="42">
        <f t="shared" si="9"/>
        <v>7.7868852459016313E-2</v>
      </c>
    </row>
    <row r="31" spans="1:21" x14ac:dyDescent="0.2">
      <c r="A31" s="10" t="str">
        <f t="shared" ref="A31:D31" si="16">A11</f>
        <v>ABT</v>
      </c>
      <c r="B31" s="10" t="str">
        <f t="shared" si="16"/>
        <v>RHYTHM MANAGEMENT</v>
      </c>
      <c r="C31" s="10" t="str">
        <f t="shared" si="16"/>
        <v>2019Q1</v>
      </c>
      <c r="D31" s="10">
        <f t="shared" si="16"/>
        <v>20190411</v>
      </c>
      <c r="E31" s="19">
        <f t="shared" ref="E31:J31" si="17">$S11/E11-1</f>
        <v>-9.7688884760218753E-2</v>
      </c>
      <c r="F31" s="19">
        <f t="shared" si="17"/>
        <v>-0.11388949730845699</v>
      </c>
      <c r="G31" s="19">
        <f t="shared" si="17"/>
        <v>2.8147554808485742E-2</v>
      </c>
      <c r="H31" s="19">
        <f t="shared" si="17"/>
        <v>-0.1008838632736927</v>
      </c>
      <c r="I31" s="19">
        <f t="shared" si="17"/>
        <v>-0.10223683144151297</v>
      </c>
      <c r="J31" s="19">
        <f t="shared" si="17"/>
        <v>-8.0121175491539964E-2</v>
      </c>
      <c r="K31" s="19">
        <f t="shared" ref="K31:Q31" si="18">$S11/K11-1</f>
        <v>3.4370289171289148E-2</v>
      </c>
      <c r="L31" s="19">
        <f t="shared" si="18"/>
        <v>-1.1295424521584274E-2</v>
      </c>
      <c r="M31" s="19">
        <f t="shared" si="18"/>
        <v>1.544887308459586E-2</v>
      </c>
      <c r="N31" s="19">
        <f t="shared" si="18"/>
        <v>1.1584133567124066E-3</v>
      </c>
      <c r="O31" s="19">
        <f t="shared" si="18"/>
        <v>4.2400377119666821E-3</v>
      </c>
      <c r="P31" s="19">
        <f t="shared" si="18"/>
        <v>8.5330556063731855E-3</v>
      </c>
      <c r="Q31" s="19">
        <f t="shared" si="18"/>
        <v>8.548738217354801E-3</v>
      </c>
      <c r="R31" s="42">
        <f t="shared" si="9"/>
        <v>-4.0365575019040478E-2</v>
      </c>
    </row>
    <row r="32" spans="1:21" x14ac:dyDescent="0.2">
      <c r="A32" s="10" t="str">
        <f t="shared" ref="A32:D32" si="19">A12</f>
        <v>ABT</v>
      </c>
      <c r="B32" s="10" t="str">
        <f t="shared" si="19"/>
        <v>RHYTHM MANAGEMENT</v>
      </c>
      <c r="C32" s="10" t="str">
        <f t="shared" si="19"/>
        <v>2019Q2</v>
      </c>
      <c r="D32" s="10">
        <f t="shared" si="19"/>
        <v>20190711</v>
      </c>
      <c r="E32" s="19">
        <f t="shared" ref="E32:J32" si="20">$S12/E12-1</f>
        <v>-5.3347607325674784E-2</v>
      </c>
      <c r="F32" s="19">
        <f t="shared" si="20"/>
        <v>-2.4495385398646929E-2</v>
      </c>
      <c r="G32" s="19">
        <f t="shared" si="20"/>
        <v>9.976114195104091E-2</v>
      </c>
      <c r="H32" s="19">
        <f t="shared" si="20"/>
        <v>7.2851659799699764E-3</v>
      </c>
      <c r="I32" s="19">
        <f t="shared" si="20"/>
        <v>-2.5941535348273037E-2</v>
      </c>
      <c r="J32" s="19">
        <f t="shared" si="20"/>
        <v>-2.0264310265611929E-3</v>
      </c>
      <c r="K32" s="19">
        <f t="shared" ref="K32:Q32" si="21">$S12/K12-1</f>
        <v>4.914189428195237E-2</v>
      </c>
      <c r="L32" s="19">
        <f t="shared" si="21"/>
        <v>0.1008837065335273</v>
      </c>
      <c r="M32" s="19">
        <f t="shared" si="21"/>
        <v>6.9653024809162689E-2</v>
      </c>
      <c r="N32" s="19">
        <f t="shared" si="21"/>
        <v>0.12030595919177611</v>
      </c>
      <c r="O32" s="19">
        <f t="shared" si="21"/>
        <v>8.4983767172967406E-2</v>
      </c>
      <c r="P32" s="19">
        <f t="shared" si="21"/>
        <v>8.4896773775294587E-2</v>
      </c>
      <c r="Q32" s="19">
        <f t="shared" si="21"/>
        <v>8.4513138910167651E-2</v>
      </c>
      <c r="R32" s="42">
        <f t="shared" si="9"/>
        <v>0.1124694376528117</v>
      </c>
    </row>
    <row r="33" spans="1:18" x14ac:dyDescent="0.2">
      <c r="A33" s="10" t="str">
        <f t="shared" ref="A33:D33" si="22">A13</f>
        <v>ABT</v>
      </c>
      <c r="B33" s="10" t="str">
        <f t="shared" si="22"/>
        <v>RHYTHM MANAGEMENT</v>
      </c>
      <c r="C33" s="10" t="str">
        <f t="shared" si="22"/>
        <v>2019Q3</v>
      </c>
      <c r="D33" s="10">
        <f t="shared" si="22"/>
        <v>20191010</v>
      </c>
      <c r="E33" s="19">
        <f t="shared" ref="E33:J33" si="23">$S13/E13-1</f>
        <v>2.7267035790460303E-2</v>
      </c>
      <c r="F33" s="19">
        <f t="shared" si="23"/>
        <v>9.4718399906834616E-3</v>
      </c>
      <c r="G33" s="19">
        <f t="shared" si="23"/>
        <v>0.14686616656088813</v>
      </c>
      <c r="H33" s="19">
        <f t="shared" si="23"/>
        <v>-1.2396323089645889E-2</v>
      </c>
      <c r="I33" s="19">
        <f t="shared" si="23"/>
        <v>-1.7344295904642593E-2</v>
      </c>
      <c r="J33" s="19">
        <f t="shared" si="23"/>
        <v>2.7492106107721792E-2</v>
      </c>
      <c r="K33" s="19">
        <f t="shared" ref="K33:Q33" si="24">$S13/K13-1</f>
        <v>8.515759717080118E-2</v>
      </c>
      <c r="L33" s="19">
        <f t="shared" si="24"/>
        <v>3.4820158593725781E-2</v>
      </c>
      <c r="M33" s="19">
        <f t="shared" si="24"/>
        <v>4.2832050354388862E-2</v>
      </c>
      <c r="N33" s="19">
        <f t="shared" si="24"/>
        <v>-1.9539143168526896E-2</v>
      </c>
      <c r="O33" s="19">
        <f t="shared" si="24"/>
        <v>8.8262047460407889E-3</v>
      </c>
      <c r="P33" s="19">
        <f t="shared" si="24"/>
        <v>2.9578475875515542E-2</v>
      </c>
      <c r="Q33" s="19">
        <f t="shared" si="24"/>
        <v>2.929111617229796E-2</v>
      </c>
      <c r="R33" s="42">
        <f t="shared" si="9"/>
        <v>3.3138401559454245E-2</v>
      </c>
    </row>
    <row r="34" spans="1:18" x14ac:dyDescent="0.2">
      <c r="A34" s="10" t="str">
        <f t="shared" ref="A34:D34" si="25">A14</f>
        <v>ABT</v>
      </c>
      <c r="B34" s="10" t="str">
        <f t="shared" si="25"/>
        <v>RHYTHM MANAGEMENT</v>
      </c>
      <c r="C34" s="10" t="str">
        <f t="shared" si="25"/>
        <v>2019Q4</v>
      </c>
      <c r="D34" s="10">
        <f t="shared" si="25"/>
        <v>20200116</v>
      </c>
      <c r="E34" s="19">
        <f t="shared" ref="E34:J34" si="26">$S14/E14-1</f>
        <v>9.0676176664110653E-3</v>
      </c>
      <c r="F34" s="19">
        <f t="shared" si="26"/>
        <v>2.4301829447185286E-2</v>
      </c>
      <c r="G34" s="19">
        <f t="shared" si="26"/>
        <v>3.4185393256142005E-2</v>
      </c>
      <c r="H34" s="19">
        <f t="shared" si="26"/>
        <v>-3.4757598024866887E-2</v>
      </c>
      <c r="I34" s="19">
        <f t="shared" si="26"/>
        <v>-1.0932181416301145E-2</v>
      </c>
      <c r="J34" s="19">
        <f t="shared" si="26"/>
        <v>3.7549608427296377E-3</v>
      </c>
      <c r="K34" s="19">
        <f t="shared" ref="K34:Q34" si="27">$S14/K14-1</f>
        <v>-1.7716345886680918E-2</v>
      </c>
      <c r="L34" s="19">
        <f t="shared" si="27"/>
        <v>1.4690840169091723E-2</v>
      </c>
      <c r="M34" s="19">
        <f t="shared" si="27"/>
        <v>-9.8251022299003177E-2</v>
      </c>
      <c r="N34" s="19">
        <f t="shared" si="27"/>
        <v>-2.2641951886182232E-2</v>
      </c>
      <c r="O34" s="19">
        <f t="shared" si="27"/>
        <v>6.5252910674797882E-3</v>
      </c>
      <c r="P34" s="19">
        <f t="shared" si="27"/>
        <v>-2.3102022024199975E-2</v>
      </c>
      <c r="Q34" s="19">
        <f t="shared" si="27"/>
        <v>-2.4841455983689587E-2</v>
      </c>
      <c r="R34" s="42">
        <f t="shared" si="9"/>
        <v>5.4502369668246509E-2</v>
      </c>
    </row>
    <row r="35" spans="1:18" x14ac:dyDescent="0.2">
      <c r="A35" s="10" t="str">
        <f t="shared" ref="A35:D35" si="28">A15</f>
        <v>ABT</v>
      </c>
      <c r="B35" s="10" t="str">
        <f t="shared" si="28"/>
        <v>RHYTHM MANAGEMENT</v>
      </c>
      <c r="C35" s="10" t="str">
        <f t="shared" si="28"/>
        <v>2020Q1</v>
      </c>
      <c r="D35" s="10">
        <f t="shared" si="28"/>
        <v>20200409</v>
      </c>
      <c r="E35" s="19">
        <f t="shared" ref="E35:J35" si="29">$S15/E15-1</f>
        <v>-0.16444098604451174</v>
      </c>
      <c r="F35" s="19">
        <f t="shared" si="29"/>
        <v>-0.15562239586123428</v>
      </c>
      <c r="G35" s="19">
        <f t="shared" si="29"/>
        <v>-3.7114945011577194E-2</v>
      </c>
      <c r="H35" s="19">
        <f t="shared" si="29"/>
        <v>-0.12498869825040682</v>
      </c>
      <c r="I35" s="19">
        <f t="shared" si="29"/>
        <v>-0.11871914516870274</v>
      </c>
      <c r="J35" s="19">
        <f t="shared" si="29"/>
        <v>-0.12237710658171119</v>
      </c>
      <c r="K35" s="19">
        <f t="shared" ref="K35:Q35" si="30">$S15/K15-1</f>
        <v>-0.17194943200355806</v>
      </c>
      <c r="L35" s="19">
        <f t="shared" si="30"/>
        <v>-0.17565547589183217</v>
      </c>
      <c r="M35" s="19">
        <f t="shared" si="30"/>
        <v>-6.8943478347948339E-2</v>
      </c>
      <c r="N35" s="19">
        <f t="shared" si="30"/>
        <v>-9.3480249148715333E-2</v>
      </c>
      <c r="O35" s="19">
        <f t="shared" si="30"/>
        <v>-0.10897833467754281</v>
      </c>
      <c r="P35" s="19">
        <f t="shared" si="30"/>
        <v>-0.12566021822551521</v>
      </c>
      <c r="Q35" s="19">
        <f t="shared" si="30"/>
        <v>-0.12586605224111147</v>
      </c>
      <c r="R35" s="42">
        <f t="shared" si="9"/>
        <v>-5.8629232039636658E-2</v>
      </c>
    </row>
    <row r="36" spans="1:18" x14ac:dyDescent="0.2">
      <c r="A36" s="10" t="str">
        <f t="shared" ref="A36:D36" si="31">A16</f>
        <v>ABT</v>
      </c>
      <c r="B36" s="10" t="str">
        <f t="shared" si="31"/>
        <v>RHYTHM MANAGEMENT</v>
      </c>
      <c r="C36" s="10" t="str">
        <f t="shared" si="31"/>
        <v>2020Q2</v>
      </c>
      <c r="D36" s="10">
        <f t="shared" si="31"/>
        <v>20200709</v>
      </c>
      <c r="E36" s="19">
        <f t="shared" ref="E36:J36" si="32">$S16/E16-1</f>
        <v>-0.13870396940706298</v>
      </c>
      <c r="F36" s="19">
        <f t="shared" si="32"/>
        <v>-0.13589687694307895</v>
      </c>
      <c r="G36" s="19">
        <f t="shared" si="32"/>
        <v>5.4157314961715164E-2</v>
      </c>
      <c r="H36" s="19">
        <f t="shared" si="32"/>
        <v>-0.14725033266686416</v>
      </c>
      <c r="I36" s="19">
        <f t="shared" si="32"/>
        <v>-0.17713954160614431</v>
      </c>
      <c r="J36" s="19">
        <f t="shared" si="32"/>
        <v>-0.11580876339140478</v>
      </c>
      <c r="K36" s="19">
        <f t="shared" ref="K36:Q36" si="33">$S16/K16-1</f>
        <v>3.0802153058718362E-2</v>
      </c>
      <c r="L36" s="19">
        <f t="shared" si="33"/>
        <v>2.3361016234288545E-2</v>
      </c>
      <c r="M36" s="19">
        <f t="shared" si="33"/>
        <v>9.4790400474529912E-2</v>
      </c>
      <c r="N36" s="19">
        <f t="shared" si="33"/>
        <v>-2.5441539294344007E-2</v>
      </c>
      <c r="O36" s="19">
        <f t="shared" si="33"/>
        <v>-6.6290327444620267E-2</v>
      </c>
      <c r="P36" s="19">
        <f t="shared" si="33"/>
        <v>7.4842432205970422E-3</v>
      </c>
      <c r="Q36" s="19">
        <f t="shared" si="33"/>
        <v>8.3387650991118001E-3</v>
      </c>
      <c r="R36" s="42">
        <f t="shared" ref="R36" si="34">$S16/R16-1</f>
        <v>0.29824561403508776</v>
      </c>
    </row>
    <row r="37" spans="1:18" x14ac:dyDescent="0.2">
      <c r="A37" s="10" t="str">
        <f t="shared" ref="A37:D37" si="35">A17</f>
        <v>ABT</v>
      </c>
      <c r="B37" s="10" t="str">
        <f t="shared" si="35"/>
        <v>RHYTHM MANAGEMENT</v>
      </c>
      <c r="C37" s="10" t="str">
        <f t="shared" si="35"/>
        <v>2020Q3</v>
      </c>
      <c r="D37" s="10">
        <f t="shared" si="35"/>
        <v>20201015</v>
      </c>
      <c r="E37" s="19">
        <f t="shared" ref="E37:J37" si="36">$S17/E17-1</f>
        <v>1.4489492286744232E-2</v>
      </c>
      <c r="F37" s="19">
        <f t="shared" si="36"/>
        <v>3.9004463748648632E-4</v>
      </c>
      <c r="G37" s="19">
        <f t="shared" si="36"/>
        <v>4.3677173813297943E-2</v>
      </c>
      <c r="H37" s="19">
        <f t="shared" si="36"/>
        <v>4.9987797362889719E-2</v>
      </c>
      <c r="I37" s="19">
        <f t="shared" si="36"/>
        <v>-6.6666337471064097E-3</v>
      </c>
      <c r="J37" s="19">
        <f t="shared" si="36"/>
        <v>1.9870826026928246E-2</v>
      </c>
      <c r="K37" s="19">
        <f t="shared" ref="K37:Q37" si="37">$S17/K17-1</f>
        <v>0.17786388913036699</v>
      </c>
      <c r="L37" s="19">
        <f t="shared" si="37"/>
        <v>0.15772066775829452</v>
      </c>
      <c r="M37" s="19">
        <f t="shared" si="37"/>
        <v>-9.9417240668655538E-3</v>
      </c>
      <c r="N37" s="19">
        <f t="shared" si="37"/>
        <v>0.23129663673348655</v>
      </c>
      <c r="O37" s="19">
        <f t="shared" si="37"/>
        <v>0.20717110188012255</v>
      </c>
      <c r="P37" s="19">
        <f t="shared" si="37"/>
        <v>0.15345050233560986</v>
      </c>
      <c r="Q37" s="19">
        <f t="shared" si="37"/>
        <v>0.14716146507951344</v>
      </c>
      <c r="R37" s="42">
        <f>$S17/R17-1</f>
        <v>1.6556291390728006E-3</v>
      </c>
    </row>
    <row r="38" spans="1:18" x14ac:dyDescent="0.2">
      <c r="A38" s="10" t="str">
        <f t="shared" ref="A38:D38" si="38">A18</f>
        <v>ABT</v>
      </c>
      <c r="B38" s="10" t="str">
        <f t="shared" si="38"/>
        <v>RHYTHM MANAGEMENT</v>
      </c>
      <c r="C38" s="10" t="str">
        <f t="shared" si="38"/>
        <v>2020Q4</v>
      </c>
      <c r="D38" s="10">
        <f t="shared" si="38"/>
        <v>20210121</v>
      </c>
      <c r="E38" s="19">
        <f t="shared" ref="E38:J38" si="39">$S18/E18-1</f>
        <v>1.2709367810337824E-2</v>
      </c>
      <c r="F38" s="19">
        <f t="shared" si="39"/>
        <v>2.7084227648978221E-2</v>
      </c>
      <c r="G38" s="19">
        <f t="shared" si="39"/>
        <v>1.4954150285235057E-2</v>
      </c>
      <c r="H38" s="19">
        <f t="shared" si="39"/>
        <v>8.1095912684701066E-3</v>
      </c>
      <c r="I38" s="19">
        <f t="shared" si="39"/>
        <v>-1.8880804180995137E-2</v>
      </c>
      <c r="J38" s="19">
        <f t="shared" si="39"/>
        <v>8.5634930126030628E-3</v>
      </c>
      <c r="K38" s="19">
        <f t="shared" ref="K38:Q38" si="40">$S18/K18-1</f>
        <v>-1.7546997676574083E-3</v>
      </c>
      <c r="L38" s="19">
        <f t="shared" si="40"/>
        <v>2.6683775148087285E-2</v>
      </c>
      <c r="M38" s="19">
        <f t="shared" si="40"/>
        <v>-2.7520984695983186E-2</v>
      </c>
      <c r="N38" s="19">
        <f t="shared" si="40"/>
        <v>-3.9884469323928529E-2</v>
      </c>
      <c r="O38" s="19">
        <f t="shared" si="40"/>
        <v>-1.2296144324602576E-2</v>
      </c>
      <c r="P38" s="19">
        <f t="shared" si="40"/>
        <v>-1.1087024675835333E-2</v>
      </c>
      <c r="Q38" s="19">
        <f t="shared" si="40"/>
        <v>-1.1413107242277731E-2</v>
      </c>
      <c r="R38" s="42">
        <f>$S18/R18-1</f>
        <v>-3.2383925087787757E-2</v>
      </c>
    </row>
    <row r="39" spans="1:18" x14ac:dyDescent="0.2">
      <c r="A39" s="10" t="str">
        <f t="shared" ref="A39:D39" si="41">A19</f>
        <v>ABT</v>
      </c>
      <c r="B39" s="10" t="str">
        <f t="shared" si="41"/>
        <v>RHYTHM MANAGEMENT</v>
      </c>
      <c r="C39" s="10" t="str">
        <f t="shared" si="41"/>
        <v>2021Q1</v>
      </c>
      <c r="D39" s="10">
        <f t="shared" si="41"/>
        <v>20210415</v>
      </c>
      <c r="E39" s="19">
        <f t="shared" ref="E39:J39" si="42">$S19/E19-1</f>
        <v>1.7249607111609722E-2</v>
      </c>
      <c r="F39" s="19">
        <f t="shared" si="42"/>
        <v>4.4147500833823239E-2</v>
      </c>
      <c r="G39" s="19">
        <f t="shared" si="42"/>
        <v>6.310513096486936E-2</v>
      </c>
      <c r="H39" s="19">
        <f t="shared" si="42"/>
        <v>7.2569390755707897E-2</v>
      </c>
      <c r="I39" s="19">
        <f t="shared" si="42"/>
        <v>8.2041815779848593E-2</v>
      </c>
      <c r="J39" s="19">
        <f t="shared" si="42"/>
        <v>5.5314955179569747E-2</v>
      </c>
      <c r="K39" s="19">
        <f t="shared" ref="K39:Q39" si="43">$S19/K19-1</f>
        <v>4.4832599021857877E-3</v>
      </c>
      <c r="L39" s="19">
        <f t="shared" si="43"/>
        <v>1.6613314395746537E-2</v>
      </c>
      <c r="M39" s="19">
        <f t="shared" si="43"/>
        <v>4.7441532867373848E-2</v>
      </c>
      <c r="N39" s="19">
        <f t="shared" si="43"/>
        <v>6.39412619873303E-2</v>
      </c>
      <c r="O39" s="19">
        <f t="shared" si="43"/>
        <v>0.10286478991637416</v>
      </c>
      <c r="P39" s="19">
        <f t="shared" si="43"/>
        <v>4.6354505681460711E-2</v>
      </c>
      <c r="Q39" s="19">
        <f t="shared" si="43"/>
        <v>4.5982767123687651E-2</v>
      </c>
      <c r="R39" s="42">
        <f>$S19/R19-1</f>
        <v>2.161933022467144E-2</v>
      </c>
    </row>
    <row r="40" spans="1:18" x14ac:dyDescent="0.2">
      <c r="A40" s="10" t="str">
        <f t="shared" ref="A40:D40" si="44">A20</f>
        <v>ABT</v>
      </c>
      <c r="B40" s="10" t="str">
        <f t="shared" si="44"/>
        <v>RHYTHM MANAGEMENT</v>
      </c>
      <c r="C40" s="10" t="str">
        <f t="shared" si="44"/>
        <v>2021Q2</v>
      </c>
      <c r="D40" s="10">
        <f t="shared" si="44"/>
        <v>20210715</v>
      </c>
      <c r="E40" s="19">
        <f>$S20/E20-1</f>
        <v>-3.554637257069504E-2</v>
      </c>
      <c r="F40" s="19">
        <f t="shared" ref="F40:J40" si="45">$S20/F20-1</f>
        <v>-1.1904330520278728E-2</v>
      </c>
      <c r="G40" s="19">
        <f t="shared" si="45"/>
        <v>7.3285587765121951E-2</v>
      </c>
      <c r="H40" s="19">
        <f t="shared" si="45"/>
        <v>-4.1496919274891853E-2</v>
      </c>
      <c r="I40" s="19">
        <f t="shared" si="45"/>
        <v>9.6648838549642235E-3</v>
      </c>
      <c r="J40" s="19">
        <f t="shared" si="45"/>
        <v>-2.860552131458638E-3</v>
      </c>
      <c r="K40" s="19">
        <f t="shared" ref="K40:Q40" si="46">$S20/K20-1</f>
        <v>-5.1900712778070512E-2</v>
      </c>
      <c r="L40" s="19">
        <f t="shared" si="46"/>
        <v>-5.368190922196403E-2</v>
      </c>
      <c r="M40" s="19">
        <f t="shared" si="46"/>
        <v>9.5761524460078462E-3</v>
      </c>
      <c r="N40" s="19">
        <f t="shared" si="46"/>
        <v>-0.10634865306964547</v>
      </c>
      <c r="O40" s="19">
        <f t="shared" si="46"/>
        <v>-6.6889218946423856E-2</v>
      </c>
      <c r="P40" s="19">
        <f t="shared" si="46"/>
        <v>-5.5126203817635999E-2</v>
      </c>
      <c r="Q40" s="19">
        <f t="shared" si="46"/>
        <v>-5.5269090461069204E-2</v>
      </c>
      <c r="R40" s="42">
        <f>$S20/R20-1</f>
        <v>7.4710347582900516E-2</v>
      </c>
    </row>
    <row r="41" spans="1:18" x14ac:dyDescent="0.2">
      <c r="A41" s="175" t="s">
        <v>78</v>
      </c>
      <c r="B41" s="175"/>
      <c r="C41" s="171"/>
      <c r="D41" s="172"/>
      <c r="E41" s="81" cm="1">
        <f t="array" ref="E41">SUM(ABS(E26:E40))/COUNT(E26:E40)</f>
        <v>6.4020091031791654E-2</v>
      </c>
      <c r="F41" s="81" cm="1">
        <f t="array" ref="F41">SUM(ABS(F26:F40))/COUNT(F26:F40)</f>
        <v>6.1515176031481808E-2</v>
      </c>
      <c r="G41" s="81" cm="1">
        <f t="array" ref="G41">SUM(ABS(G26:G40))/COUNT(G26:G40)</f>
        <v>7.9550730017435983E-2</v>
      </c>
      <c r="H41" s="81" cm="1">
        <f t="array" ref="H41">SUM(ABS(H26:H40))/COUNT(H26:H40)</f>
        <v>5.7589075369851361E-2</v>
      </c>
      <c r="I41" s="83" cm="1">
        <f t="array" ref="I41">SUM(ABS(I26:I40))/COUNT(I26:I40)</f>
        <v>5.3321150288950819E-2</v>
      </c>
      <c r="J41" s="83" cm="1">
        <f t="array" ref="J41">SUM(ABS(J26:J40))/COUNT(J26:J40)</f>
        <v>4.8573267600936693E-2</v>
      </c>
      <c r="K41" s="81" cm="1">
        <f t="array" ref="K41">SUM(ABS(K26:K40))/COUNT(K26:K40)</f>
        <v>7.1987049762994956E-2</v>
      </c>
      <c r="L41" s="81" cm="1">
        <f t="array" ref="L41">SUM(ABS(L26:L40))/COUNT(L26:L40)</f>
        <v>7.3285952028182486E-2</v>
      </c>
      <c r="M41" s="81" cm="1">
        <f t="array" ref="M41">SUM(ABS(M26:M40))/COUNT(M26:M40)</f>
        <v>9.4103007848823542E-2</v>
      </c>
      <c r="N41" s="81" cm="1">
        <f t="array" ref="N41">SUM(ABS(N26:N40))/COUNT(N26:N40)</f>
        <v>6.7535072670519253E-2</v>
      </c>
      <c r="O41" s="81" cm="1">
        <f t="array" ref="O41">SUM(ABS(O26:O40))/COUNT(O26:O40)</f>
        <v>6.0743333808073806E-2</v>
      </c>
      <c r="P41" s="81" cm="1">
        <f t="array" ref="P41">SUM(ABS(P26:P40))/COUNT(P26:P40)</f>
        <v>6.5887171462528246E-2</v>
      </c>
      <c r="Q41" s="81" cm="1">
        <f t="array" ref="Q41">SUM(ABS(Q26:Q40))/COUNT(Q26:Q40)</f>
        <v>6.6633961788287371E-2</v>
      </c>
      <c r="R41" s="81" cm="1">
        <f t="array" ref="R41">SUM(ABS(R26:R40))/COUNT(R26:R40)</f>
        <v>6.9239778816233097E-2</v>
      </c>
    </row>
    <row r="42" spans="1:18" x14ac:dyDescent="0.2">
      <c r="A42" s="176" t="s">
        <v>79</v>
      </c>
      <c r="B42" s="176"/>
      <c r="C42" s="173"/>
      <c r="D42" s="174"/>
      <c r="E42" s="82" cm="1">
        <f t="array" ref="E42">SQRT(SUM(POWER(E26:E40,2))/COUNT(E26:E40))</f>
        <v>8.0554118188119195E-2</v>
      </c>
      <c r="F42" s="82" cm="1">
        <f t="array" ref="F42">SQRT(SUM(POWER(F26:F40,2))/COUNT(F26:F40))</f>
        <v>7.8576090316547345E-2</v>
      </c>
      <c r="G42" s="82" cm="1">
        <f t="array" ref="G42">SQRT(SUM(POWER(G26:G40,2))/COUNT(G26:G40))</f>
        <v>0.14426652783257901</v>
      </c>
      <c r="H42" s="82" cm="1">
        <f t="array" ref="H42">SQRT(SUM(POWER(H26:H40,2))/COUNT(H26:H40))</f>
        <v>7.2180215641736947E-2</v>
      </c>
      <c r="I42" s="84" cm="1">
        <f t="array" ref="I42">SQRT(SUM(POWER(I26:I40,2))/COUNT(I26:I40))</f>
        <v>7.3944818663978687E-2</v>
      </c>
      <c r="J42" s="84" cm="1">
        <f t="array" ref="J42">SQRT(SUM(POWER(J26:J40,2))/COUNT(J26:J40))</f>
        <v>6.5850614174269975E-2</v>
      </c>
      <c r="K42" s="82" cm="1">
        <f t="array" ref="K42">SQRT(SUM(POWER(K26:K40,2))/COUNT(K26:K40))</f>
        <v>9.5073363897395777E-2</v>
      </c>
      <c r="L42" s="82" cm="1">
        <f t="array" ref="L42">SQRT(SUM(POWER(L26:L40,2))/COUNT(L26:L40))</f>
        <v>9.8122638650660537E-2</v>
      </c>
      <c r="M42" s="82" cm="1">
        <f t="array" ref="M42">SQRT(SUM(POWER(M26:M40,2))/COUNT(M26:M40))</f>
        <v>0.1607539338531663</v>
      </c>
      <c r="N42" s="82" cm="1">
        <f t="array" ref="N42">SQRT(SUM(POWER(N26:N40,2))/COUNT(N26:N40))</f>
        <v>8.854409601586373E-2</v>
      </c>
      <c r="O42" s="82" cm="1">
        <f t="array" ref="O42">SQRT(SUM(POWER(O26:O40,2))/COUNT(O26:O40))</f>
        <v>8.1092046523537076E-2</v>
      </c>
      <c r="P42" s="82" cm="1">
        <f t="array" ref="P42">SQRT(SUM(POWER(P26:P40,2))/COUNT(P26:P40))</f>
        <v>8.4853584195918971E-2</v>
      </c>
      <c r="Q42" s="82" cm="1">
        <f t="array" ref="Q42">SQRT(SUM(POWER(Q26:Q40,2))/COUNT(Q26:Q40))</f>
        <v>8.5498177310737569E-2</v>
      </c>
      <c r="R42" s="82" cm="1">
        <f t="array" ref="R42">SQRT(SUM(POWER(R26:R40,2))/COUNT(R26:R40))</f>
        <v>9.6743413317936428E-2</v>
      </c>
    </row>
    <row r="44" spans="1:18" x14ac:dyDescent="0.2">
      <c r="B44" t="s">
        <v>159</v>
      </c>
    </row>
  </sheetData>
  <mergeCells count="7">
    <mergeCell ref="A22:D22"/>
    <mergeCell ref="A4:B4"/>
    <mergeCell ref="A24:B24"/>
    <mergeCell ref="C41:D41"/>
    <mergeCell ref="C42:D42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4"/>
  <sheetViews>
    <sheetView zoomScale="85" zoomScaleNormal="85" workbookViewId="0">
      <selection activeCell="K31" sqref="K31"/>
    </sheetView>
  </sheetViews>
  <sheetFormatPr defaultRowHeight="12.75" x14ac:dyDescent="0.2"/>
  <cols>
    <col min="1" max="1" width="9.140625" style="74"/>
    <col min="2" max="2" width="9.140625" customWidth="1"/>
    <col min="3" max="3" width="12.85546875" bestFit="1" customWidth="1"/>
    <col min="4" max="4" width="8.85546875" customWidth="1"/>
    <col min="5" max="5" width="6.42578125" customWidth="1"/>
    <col min="6" max="6" width="8.42578125" bestFit="1" customWidth="1"/>
    <col min="7" max="7" width="14.42578125" bestFit="1" customWidth="1"/>
    <col min="8" max="8" width="8.140625" bestFit="1" customWidth="1"/>
    <col min="9" max="9" width="7.42578125" bestFit="1" customWidth="1"/>
    <col min="10" max="10" width="11.85546875" bestFit="1" customWidth="1"/>
    <col min="11" max="11" width="12.42578125" bestFit="1" customWidth="1"/>
    <col min="12" max="12" width="6.42578125" bestFit="1" customWidth="1"/>
    <col min="13" max="13" width="7.42578125" bestFit="1" customWidth="1"/>
  </cols>
  <sheetData>
    <row r="1" spans="1:17" x14ac:dyDescent="0.2">
      <c r="A1" s="74" t="s">
        <v>104</v>
      </c>
      <c r="B1" t="s">
        <v>84</v>
      </c>
    </row>
    <row r="2" spans="1:17" x14ac:dyDescent="0.2">
      <c r="A2" s="74" t="s">
        <v>99</v>
      </c>
      <c r="B2" t="s">
        <v>82</v>
      </c>
    </row>
    <row r="3" spans="1:17" x14ac:dyDescent="0.2">
      <c r="A3" s="74" t="s">
        <v>100</v>
      </c>
      <c r="B3" t="s">
        <v>148</v>
      </c>
    </row>
    <row r="4" spans="1:17" x14ac:dyDescent="0.2">
      <c r="A4" s="74" t="s">
        <v>101</v>
      </c>
      <c r="B4" t="s">
        <v>168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74" t="s">
        <v>102</v>
      </c>
      <c r="B7" s="177" t="s">
        <v>83</v>
      </c>
      <c r="C7" s="177"/>
      <c r="D7" s="177" t="s">
        <v>113</v>
      </c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6"/>
      <c r="P7" s="6"/>
      <c r="Q7" s="6"/>
    </row>
    <row r="8" spans="1:17" ht="15" x14ac:dyDescent="0.2">
      <c r="A8" s="101" t="s">
        <v>173</v>
      </c>
      <c r="C8" s="78" t="s">
        <v>85</v>
      </c>
      <c r="D8" s="78" t="s">
        <v>86</v>
      </c>
      <c r="E8" s="78" t="s">
        <v>87</v>
      </c>
      <c r="F8" s="78" t="s">
        <v>88</v>
      </c>
      <c r="G8" s="78" t="s">
        <v>89</v>
      </c>
      <c r="H8" s="78" t="s">
        <v>90</v>
      </c>
      <c r="I8" s="78" t="s">
        <v>91</v>
      </c>
      <c r="J8" s="78" t="s">
        <v>92</v>
      </c>
      <c r="K8" s="78" t="s">
        <v>93</v>
      </c>
      <c r="L8" s="78" t="s">
        <v>94</v>
      </c>
      <c r="M8" s="78" t="s">
        <v>95</v>
      </c>
      <c r="O8" s="6"/>
      <c r="P8" s="6"/>
      <c r="Q8" s="6"/>
    </row>
    <row r="9" spans="1:17" ht="15" x14ac:dyDescent="0.2">
      <c r="B9" s="78" t="s">
        <v>96</v>
      </c>
      <c r="C9" s="2">
        <v>4.4090305870884638E-2</v>
      </c>
      <c r="D9" s="73">
        <v>2.5348212524389759E-2</v>
      </c>
      <c r="E9" s="2">
        <v>3.2053123647185863E-2</v>
      </c>
      <c r="F9" s="2">
        <v>4.8721509085237202E-2</v>
      </c>
      <c r="G9" s="2">
        <v>3.8185862027906102E-2</v>
      </c>
      <c r="H9" s="2">
        <v>3.2145022464562231E-2</v>
      </c>
      <c r="I9" s="2">
        <v>3.400585305015616E-2</v>
      </c>
      <c r="J9" s="2">
        <v>3.8124673881428997E-2</v>
      </c>
      <c r="K9" s="2">
        <v>4.0233484514505133E-2</v>
      </c>
      <c r="L9" s="2">
        <v>5.4063889242117247E-2</v>
      </c>
      <c r="M9" s="2">
        <v>0.24628057070965001</v>
      </c>
      <c r="O9" s="6"/>
      <c r="P9" s="6"/>
      <c r="Q9" s="6"/>
    </row>
    <row r="10" spans="1:17" ht="15" x14ac:dyDescent="0.2">
      <c r="B10" s="78" t="s">
        <v>97</v>
      </c>
      <c r="C10" s="2">
        <v>5.2552070796161317E-2</v>
      </c>
      <c r="D10" s="73">
        <v>3.7881882713372027E-2</v>
      </c>
      <c r="E10" s="2">
        <v>4.430118042014957E-2</v>
      </c>
      <c r="F10" s="2">
        <v>5.791583253491199E-2</v>
      </c>
      <c r="G10" s="2">
        <v>4.836109684182345E-2</v>
      </c>
      <c r="H10" s="2">
        <v>4.4373233481338689E-2</v>
      </c>
      <c r="I10" s="2">
        <v>4.6932044683061613E-2</v>
      </c>
      <c r="J10" s="2">
        <v>4.8309634892542253E-2</v>
      </c>
      <c r="K10" s="2">
        <v>5.0353913422663682E-2</v>
      </c>
      <c r="L10" s="2">
        <v>8.3664173699877706E-2</v>
      </c>
      <c r="M10" s="2">
        <v>0.56895814904786268</v>
      </c>
      <c r="O10" s="6"/>
      <c r="P10" s="6"/>
      <c r="Q10" s="6"/>
    </row>
    <row r="11" spans="1:17" ht="15" x14ac:dyDescent="0.2">
      <c r="B11" s="78" t="s">
        <v>98</v>
      </c>
      <c r="C11" s="2">
        <v>-2.6618648712127099E-2</v>
      </c>
      <c r="D11" s="73">
        <v>-6.1065301437718822E-3</v>
      </c>
      <c r="E11" s="2">
        <v>1.3153018033002509E-2</v>
      </c>
      <c r="F11" s="2">
        <v>2.774140611272025E-2</v>
      </c>
      <c r="G11" s="2">
        <v>2.888930056305139E-3</v>
      </c>
      <c r="H11" s="2">
        <v>1.332990289890967E-2</v>
      </c>
      <c r="I11" s="2">
        <v>1.538831880275082E-2</v>
      </c>
      <c r="J11" s="2">
        <v>2.9567432620943301E-3</v>
      </c>
      <c r="K11" s="2">
        <v>6.0185565403005348E-3</v>
      </c>
      <c r="L11" s="2">
        <v>4.0469681372302668E-3</v>
      </c>
      <c r="M11" s="2">
        <v>-1.8754977705741971E-2</v>
      </c>
      <c r="O11" s="6"/>
      <c r="P11" s="6"/>
      <c r="Q11" s="6"/>
    </row>
    <row r="12" spans="1:17" x14ac:dyDescent="0.2">
      <c r="C12" s="73"/>
      <c r="D12" s="2"/>
      <c r="E12" s="2"/>
      <c r="F12" s="73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ht="15" x14ac:dyDescent="0.2">
      <c r="A14" s="101" t="s">
        <v>174</v>
      </c>
      <c r="C14" s="78" t="s">
        <v>85</v>
      </c>
      <c r="D14" s="78" t="s">
        <v>86</v>
      </c>
      <c r="E14" s="78" t="s">
        <v>87</v>
      </c>
      <c r="F14" s="78" t="s">
        <v>88</v>
      </c>
      <c r="G14" s="78" t="s">
        <v>89</v>
      </c>
      <c r="H14" s="78" t="s">
        <v>90</v>
      </c>
      <c r="I14" s="78" t="s">
        <v>91</v>
      </c>
      <c r="J14" s="78" t="s">
        <v>92</v>
      </c>
      <c r="K14" s="78" t="s">
        <v>93</v>
      </c>
      <c r="L14" s="78" t="s">
        <v>94</v>
      </c>
      <c r="M14" s="78" t="s">
        <v>95</v>
      </c>
      <c r="O14" s="6"/>
      <c r="P14" s="6"/>
      <c r="Q14" s="6"/>
    </row>
    <row r="15" spans="1:17" ht="15" x14ac:dyDescent="0.2">
      <c r="B15" s="78" t="s">
        <v>96</v>
      </c>
      <c r="C15" s="2">
        <v>6.447328784511927E-2</v>
      </c>
      <c r="D15" s="73">
        <v>4.7307019521645531E-2</v>
      </c>
      <c r="E15" s="2">
        <v>7.1679389687909392E-2</v>
      </c>
      <c r="F15" s="2">
        <v>6.6842551374025977E-2</v>
      </c>
      <c r="G15" s="2">
        <v>6.3232953499159444E-2</v>
      </c>
      <c r="H15" s="2">
        <v>7.1784248007008694E-2</v>
      </c>
      <c r="I15" s="2">
        <v>7.3241752199770943E-2</v>
      </c>
      <c r="J15" s="2">
        <v>6.2922220503206006E-2</v>
      </c>
      <c r="K15" s="2">
        <v>6.0560964641605507E-2</v>
      </c>
      <c r="L15" s="2">
        <v>8.1565680465211565E-2</v>
      </c>
      <c r="M15" s="2">
        <v>0.21717877912430061</v>
      </c>
      <c r="O15" s="6"/>
      <c r="P15" s="6"/>
      <c r="Q15" s="6"/>
    </row>
    <row r="16" spans="1:17" ht="15" x14ac:dyDescent="0.2">
      <c r="B16" s="78" t="s">
        <v>97</v>
      </c>
      <c r="C16" s="2">
        <v>8.874029281697883E-2</v>
      </c>
      <c r="D16" s="73">
        <v>6.931426484895932E-2</v>
      </c>
      <c r="E16" s="2">
        <v>0.1025631101606411</v>
      </c>
      <c r="F16" s="2">
        <v>8.2304608798243056E-2</v>
      </c>
      <c r="G16" s="2">
        <v>8.9462344334763688E-2</v>
      </c>
      <c r="H16" s="2">
        <v>0.10276671637297791</v>
      </c>
      <c r="I16" s="2">
        <v>0.1034983655806701</v>
      </c>
      <c r="J16" s="2">
        <v>8.8674148728094954E-2</v>
      </c>
      <c r="K16" s="2">
        <v>8.0170541924297067E-2</v>
      </c>
      <c r="L16" s="2">
        <v>0.1135842474334523</v>
      </c>
      <c r="M16" s="2">
        <v>0.51166718787324472</v>
      </c>
      <c r="O16" s="6"/>
      <c r="P16" s="6"/>
      <c r="Q16" s="6"/>
    </row>
    <row r="17" spans="1:17" ht="15" x14ac:dyDescent="0.2">
      <c r="B17" s="78" t="s">
        <v>98</v>
      </c>
      <c r="C17" s="2">
        <v>-2.6618648712127099E-2</v>
      </c>
      <c r="D17" s="73">
        <v>-7.7375807712887212E-4</v>
      </c>
      <c r="E17" s="2">
        <v>4.4446301674305744E-3</v>
      </c>
      <c r="F17" s="2">
        <v>2.514030792941457E-2</v>
      </c>
      <c r="G17" s="2">
        <v>2.888930056305139E-3</v>
      </c>
      <c r="H17" s="2">
        <v>4.4890105222136212E-3</v>
      </c>
      <c r="I17" s="2">
        <v>7.410994289054007E-3</v>
      </c>
      <c r="J17" s="2">
        <v>2.9567432620943301E-3</v>
      </c>
      <c r="K17" s="2">
        <v>6.0185565403005348E-3</v>
      </c>
      <c r="L17" s="2">
        <v>4.6837415929146808E-3</v>
      </c>
      <c r="M17" s="2">
        <v>-1.8754977705741971E-2</v>
      </c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A19" s="74" t="s">
        <v>103</v>
      </c>
      <c r="B19" t="s">
        <v>106</v>
      </c>
      <c r="O19" s="6"/>
      <c r="P19" s="6"/>
      <c r="Q19" s="6"/>
    </row>
    <row r="20" spans="1:17" x14ac:dyDescent="0.2">
      <c r="B20" t="s">
        <v>140</v>
      </c>
      <c r="H20" s="75" t="s">
        <v>107</v>
      </c>
      <c r="O20" s="6"/>
      <c r="P20" s="6"/>
      <c r="Q20" s="6"/>
    </row>
    <row r="21" spans="1:17" x14ac:dyDescent="0.2">
      <c r="B21" t="s">
        <v>141</v>
      </c>
      <c r="H21" s="75"/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A24" s="74" t="s">
        <v>105</v>
      </c>
      <c r="B24" s="178" t="s">
        <v>109</v>
      </c>
      <c r="C24" s="178"/>
      <c r="D24" s="178"/>
      <c r="E24" s="178"/>
      <c r="F24" s="70" t="e">
        <f>#REF!+#REF!*'2. Past Proj &amp; Candidate Model'!R20</f>
        <v>#REF!</v>
      </c>
      <c r="G24" s="76" t="s">
        <v>110</v>
      </c>
      <c r="H24" s="2" t="e">
        <f>'2. Past Proj &amp; Candidate Model'!S20/'3. Improved Alpha Model'!F24-1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B28" s="179" t="s">
        <v>160</v>
      </c>
      <c r="C28" s="179"/>
      <c r="D28" s="179"/>
      <c r="E28" s="3">
        <f>C9</f>
        <v>4.4090305870884638E-2</v>
      </c>
      <c r="F28" t="s">
        <v>111</v>
      </c>
      <c r="G28" s="179" t="s">
        <v>112</v>
      </c>
      <c r="H28" s="179"/>
      <c r="I28" s="3">
        <f>D15</f>
        <v>4.7307019521645531E-2</v>
      </c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O30" s="6"/>
      <c r="P30" s="6"/>
      <c r="Q30" s="6"/>
    </row>
    <row r="31" spans="1:17" x14ac:dyDescent="0.2">
      <c r="A31" s="74" t="s">
        <v>108</v>
      </c>
      <c r="B31" t="s">
        <v>114</v>
      </c>
      <c r="O31" s="6"/>
      <c r="P31" s="6"/>
      <c r="Q31" s="6"/>
    </row>
    <row r="32" spans="1:17" x14ac:dyDescent="0.2">
      <c r="B32" t="s">
        <v>115</v>
      </c>
      <c r="O32" s="6"/>
      <c r="P32" s="6"/>
      <c r="Q32" s="6"/>
    </row>
    <row r="33" spans="2:17" x14ac:dyDescent="0.2">
      <c r="B33" t="s">
        <v>116</v>
      </c>
      <c r="O33" s="6"/>
      <c r="P33" s="6"/>
      <c r="Q33" s="6"/>
    </row>
    <row r="34" spans="2:17" x14ac:dyDescent="0.2">
      <c r="B34" t="s">
        <v>117</v>
      </c>
      <c r="O34" s="6"/>
      <c r="P34" s="6"/>
      <c r="Q34" s="6"/>
    </row>
    <row r="35" spans="2:17" x14ac:dyDescent="0.2">
      <c r="B35" t="s">
        <v>118</v>
      </c>
      <c r="O35" s="6"/>
      <c r="P35" s="6"/>
      <c r="Q35" s="6"/>
    </row>
    <row r="36" spans="2:17" x14ac:dyDescent="0.2">
      <c r="B36" t="s">
        <v>119</v>
      </c>
      <c r="O36" s="6"/>
      <c r="P36" s="6"/>
      <c r="Q36" s="6"/>
    </row>
    <row r="37" spans="2:17" x14ac:dyDescent="0.2">
      <c r="B37" t="s">
        <v>120</v>
      </c>
      <c r="O37" s="6"/>
      <c r="P37" s="6"/>
      <c r="Q37" s="6"/>
    </row>
    <row r="38" spans="2:17" x14ac:dyDescent="0.2">
      <c r="B38" t="s">
        <v>121</v>
      </c>
      <c r="O38" s="6"/>
      <c r="P38" s="6"/>
      <c r="Q38" s="6"/>
    </row>
    <row r="39" spans="2:17" x14ac:dyDescent="0.2">
      <c r="B39" t="s">
        <v>122</v>
      </c>
      <c r="O39" s="6"/>
      <c r="P39" s="6"/>
      <c r="Q39" s="6"/>
    </row>
    <row r="40" spans="2:17" x14ac:dyDescent="0.2">
      <c r="B40" t="s">
        <v>123</v>
      </c>
      <c r="O40" s="6"/>
      <c r="P40" s="6"/>
      <c r="Q40" s="6"/>
    </row>
    <row r="41" spans="2:17" x14ac:dyDescent="0.2">
      <c r="O41" s="6"/>
      <c r="P41" s="6"/>
      <c r="Q41" s="6"/>
    </row>
    <row r="42" spans="2:17" x14ac:dyDescent="0.2">
      <c r="O42" s="6"/>
      <c r="P42" s="6"/>
      <c r="Q42" s="6"/>
    </row>
    <row r="43" spans="2:17" x14ac:dyDescent="0.2">
      <c r="O43" s="6"/>
      <c r="P43" s="6"/>
    </row>
    <row r="44" spans="2:17" x14ac:dyDescent="0.2">
      <c r="O44" s="6"/>
      <c r="P44" s="6"/>
    </row>
  </sheetData>
  <mergeCells count="5">
    <mergeCell ref="D7:N7"/>
    <mergeCell ref="B7:C7"/>
    <mergeCell ref="B24:E24"/>
    <mergeCell ref="B28:D28"/>
    <mergeCell ref="G28:H28"/>
  </mergeCells>
  <conditionalFormatting sqref="C9:K9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0:K10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5:K15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6:K1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6"/>
  <sheetViews>
    <sheetView tabSelected="1" zoomScale="85" zoomScaleNormal="85" workbookViewId="0">
      <selection activeCell="H32" sqref="H32"/>
    </sheetView>
  </sheetViews>
  <sheetFormatPr defaultRowHeight="12.75" x14ac:dyDescent="0.2"/>
  <cols>
    <col min="1" max="1" width="9.140625" style="74"/>
    <col min="3" max="3" width="18.5703125" customWidth="1"/>
    <col min="4" max="13" width="14.7109375" customWidth="1"/>
  </cols>
  <sheetData>
    <row r="1" spans="1:25" x14ac:dyDescent="0.2">
      <c r="A1" s="74" t="s">
        <v>125</v>
      </c>
      <c r="B1" t="s">
        <v>84</v>
      </c>
    </row>
    <row r="2" spans="1:25" x14ac:dyDescent="0.2">
      <c r="A2" s="74" t="s">
        <v>99</v>
      </c>
      <c r="B2" s="85" t="s">
        <v>161</v>
      </c>
      <c r="C2" s="86" t="str">
        <f>D5</f>
        <v>PROJ</v>
      </c>
      <c r="D2" t="s">
        <v>162</v>
      </c>
    </row>
    <row r="4" spans="1:25" x14ac:dyDescent="0.2">
      <c r="A4" s="74" t="s">
        <v>100</v>
      </c>
      <c r="B4" t="s">
        <v>124</v>
      </c>
    </row>
    <row r="5" spans="1:25" ht="15" x14ac:dyDescent="0.2">
      <c r="C5" s="78" t="s">
        <v>85</v>
      </c>
      <c r="D5" s="78" t="s">
        <v>86</v>
      </c>
      <c r="E5" s="78" t="s">
        <v>87</v>
      </c>
      <c r="F5" s="78" t="s">
        <v>88</v>
      </c>
      <c r="G5" s="78" t="s">
        <v>89</v>
      </c>
      <c r="H5" s="78" t="s">
        <v>90</v>
      </c>
      <c r="I5" s="78" t="s">
        <v>91</v>
      </c>
      <c r="J5" s="78" t="s">
        <v>92</v>
      </c>
      <c r="K5" s="78" t="s">
        <v>93</v>
      </c>
      <c r="L5" s="78" t="s">
        <v>94</v>
      </c>
      <c r="M5" s="78" t="s">
        <v>95</v>
      </c>
    </row>
    <row r="6" spans="1:25" ht="15" x14ac:dyDescent="0.2">
      <c r="B6" s="78" t="s">
        <v>96</v>
      </c>
      <c r="C6" s="2">
        <v>3.9191382996341902E-2</v>
      </c>
      <c r="D6" s="2">
        <v>2.5783434247605829E-2</v>
      </c>
      <c r="E6" s="2">
        <v>3.028421481099362E-2</v>
      </c>
      <c r="F6" s="2">
        <v>4.6990204615657373E-2</v>
      </c>
      <c r="G6" s="2">
        <v>3.5404937678633869E-2</v>
      </c>
      <c r="H6" s="2">
        <v>3.0360724731798738E-2</v>
      </c>
      <c r="I6" s="2">
        <v>3.2046464307862621E-2</v>
      </c>
      <c r="J6" s="2">
        <v>3.5336558562989659E-2</v>
      </c>
      <c r="K6" s="2">
        <v>3.7185290746602442E-2</v>
      </c>
      <c r="L6" s="2">
        <v>4.8488260838549992E-2</v>
      </c>
      <c r="M6" s="2">
        <v>0.21920596468552669</v>
      </c>
    </row>
    <row r="7" spans="1:25" ht="15" x14ac:dyDescent="0.2">
      <c r="B7" s="78" t="s">
        <v>97</v>
      </c>
      <c r="C7" s="2">
        <v>4.9546567500481593E-2</v>
      </c>
      <c r="D7" s="2">
        <v>3.708590910324934E-2</v>
      </c>
      <c r="E7" s="2">
        <v>4.211079626929283E-2</v>
      </c>
      <c r="F7" s="2">
        <v>5.5709757319845732E-2</v>
      </c>
      <c r="G7" s="2">
        <v>4.5825528863723312E-2</v>
      </c>
      <c r="H7" s="2">
        <v>4.2176122958291172E-2</v>
      </c>
      <c r="I7" s="2">
        <v>4.4635975237031812E-2</v>
      </c>
      <c r="J7" s="2">
        <v>4.5773192990842523E-2</v>
      </c>
      <c r="K7" s="2">
        <v>4.7682750522756931E-2</v>
      </c>
      <c r="L7" s="2">
        <v>7.8327688967405718E-2</v>
      </c>
      <c r="M7" s="2">
        <v>0.53421852763037025</v>
      </c>
    </row>
    <row r="8" spans="1:25" ht="15" x14ac:dyDescent="0.2">
      <c r="B8" s="78" t="s">
        <v>98</v>
      </c>
      <c r="C8" s="2">
        <v>-2.1161825726141E-2</v>
      </c>
      <c r="D8" s="2">
        <v>-8.4907822580645442E-3</v>
      </c>
      <c r="E8" s="2">
        <v>7.3335694281537736E-3</v>
      </c>
      <c r="F8" s="2">
        <v>3.3139768859018703E-2</v>
      </c>
      <c r="G8" s="2">
        <v>9.7652229499816112E-3</v>
      </c>
      <c r="H8" s="2">
        <v>7.3991037741600874E-3</v>
      </c>
      <c r="I8" s="2">
        <v>1.179001034802685E-2</v>
      </c>
      <c r="J8" s="2">
        <v>9.8288739797256497E-3</v>
      </c>
      <c r="K8" s="2">
        <v>1.2624932150328229E-2</v>
      </c>
      <c r="L8" s="2">
        <v>-4.1607497598228349E-3</v>
      </c>
      <c r="M8" s="2">
        <v>-1.4921859726965799E-2</v>
      </c>
    </row>
    <row r="10" spans="1:25" ht="15" x14ac:dyDescent="0.2">
      <c r="A10" s="74" t="s">
        <v>101</v>
      </c>
      <c r="B10" s="79" t="s">
        <v>163</v>
      </c>
    </row>
    <row r="12" spans="1:25" x14ac:dyDescent="0.2">
      <c r="A12" s="74" t="s">
        <v>102</v>
      </c>
      <c r="B12" t="s">
        <v>139</v>
      </c>
    </row>
    <row r="13" spans="1:25" ht="15" x14ac:dyDescent="0.2">
      <c r="B13" s="78" t="s">
        <v>126</v>
      </c>
      <c r="C13" s="78" t="s">
        <v>127</v>
      </c>
      <c r="D13" s="78" t="s">
        <v>85</v>
      </c>
      <c r="E13" s="78" t="s">
        <v>86</v>
      </c>
      <c r="F13" s="78" t="s">
        <v>87</v>
      </c>
      <c r="G13" s="78" t="s">
        <v>88</v>
      </c>
      <c r="H13" s="78" t="s">
        <v>89</v>
      </c>
      <c r="I13" s="78" t="s">
        <v>90</v>
      </c>
      <c r="J13" s="78" t="s">
        <v>91</v>
      </c>
      <c r="K13" s="78" t="s">
        <v>92</v>
      </c>
      <c r="L13" s="78" t="s">
        <v>93</v>
      </c>
      <c r="M13" s="78" t="s">
        <v>94</v>
      </c>
      <c r="N13" s="78" t="s">
        <v>95</v>
      </c>
      <c r="O13" s="78" t="s">
        <v>128</v>
      </c>
      <c r="P13" s="78" t="s">
        <v>129</v>
      </c>
      <c r="Q13" s="78" t="s">
        <v>130</v>
      </c>
      <c r="R13" s="78" t="s">
        <v>131</v>
      </c>
      <c r="S13" s="78" t="s">
        <v>132</v>
      </c>
      <c r="T13" s="78" t="s">
        <v>133</v>
      </c>
      <c r="U13" s="78" t="s">
        <v>134</v>
      </c>
      <c r="V13" s="78" t="s">
        <v>135</v>
      </c>
      <c r="W13" s="78" t="s">
        <v>136</v>
      </c>
      <c r="X13" s="78" t="s">
        <v>137</v>
      </c>
      <c r="Y13" s="78" t="s">
        <v>138</v>
      </c>
    </row>
    <row r="14" spans="1:25" x14ac:dyDescent="0.2">
      <c r="B14" t="s">
        <v>171</v>
      </c>
      <c r="C14">
        <v>247</v>
      </c>
      <c r="D14">
        <v>237.5</v>
      </c>
      <c r="E14">
        <v>258.77232709999998</v>
      </c>
      <c r="P14" s="2">
        <f>E14/C14-1</f>
        <v>4.7661243319838009E-2</v>
      </c>
    </row>
    <row r="15" spans="1:25" x14ac:dyDescent="0.2">
      <c r="B15" t="s">
        <v>42</v>
      </c>
      <c r="C15">
        <v>287</v>
      </c>
      <c r="D15">
        <v>271.2</v>
      </c>
      <c r="E15">
        <v>255.43087499999999</v>
      </c>
      <c r="P15" s="2">
        <f t="shared" ref="P15:P18" si="0">E15/C15-1</f>
        <v>-0.10999695121951225</v>
      </c>
    </row>
    <row r="16" spans="1:25" x14ac:dyDescent="0.2">
      <c r="B16" t="s">
        <v>43</v>
      </c>
      <c r="C16">
        <v>285</v>
      </c>
      <c r="D16">
        <v>276</v>
      </c>
      <c r="E16">
        <v>283.71707600000002</v>
      </c>
      <c r="P16" s="2">
        <f t="shared" si="0"/>
        <v>-4.5014877192981473E-3</v>
      </c>
    </row>
    <row r="17" spans="2:25" x14ac:dyDescent="0.2">
      <c r="B17" t="s">
        <v>44</v>
      </c>
      <c r="C17">
        <v>273</v>
      </c>
      <c r="D17">
        <v>247.7</v>
      </c>
      <c r="E17">
        <v>281.12392299999999</v>
      </c>
      <c r="P17" s="2">
        <f t="shared" si="0"/>
        <v>2.9757959706959713E-2</v>
      </c>
    </row>
    <row r="18" spans="2:25" x14ac:dyDescent="0.2">
      <c r="B18" t="s">
        <v>45</v>
      </c>
      <c r="C18">
        <v>263</v>
      </c>
      <c r="D18">
        <v>244</v>
      </c>
      <c r="E18">
        <v>288.34688499999999</v>
      </c>
      <c r="P18" s="2">
        <f t="shared" si="0"/>
        <v>9.6375988593155881E-2</v>
      </c>
    </row>
    <row r="19" spans="2:25" x14ac:dyDescent="0.2">
      <c r="B19" t="s">
        <v>46</v>
      </c>
      <c r="C19">
        <v>252</v>
      </c>
      <c r="D19">
        <v>262.60000000000002</v>
      </c>
      <c r="E19">
        <v>273.94912599999998</v>
      </c>
      <c r="F19">
        <v>271.05280284352222</v>
      </c>
      <c r="G19">
        <v>277.47278613841991</v>
      </c>
      <c r="H19">
        <v>277.57988558428963</v>
      </c>
      <c r="I19">
        <v>271.05223947218849</v>
      </c>
      <c r="J19">
        <v>271.02741050163411</v>
      </c>
      <c r="K19">
        <v>277.5240399847745</v>
      </c>
      <c r="L19">
        <v>277.23110738571262</v>
      </c>
      <c r="M19">
        <v>268.75925230012467</v>
      </c>
      <c r="N19">
        <v>248.2396913488046</v>
      </c>
      <c r="O19" s="2">
        <v>4.2063492063492143E-2</v>
      </c>
      <c r="P19" s="2">
        <v>8.7099706349206274E-2</v>
      </c>
      <c r="Q19" s="2">
        <v>7.5606360490167335E-2</v>
      </c>
      <c r="R19" s="2">
        <v>0.1010824846762695</v>
      </c>
      <c r="S19" s="2">
        <v>0.10150748247733971</v>
      </c>
      <c r="T19" s="2">
        <v>7.5604124889637081E-2</v>
      </c>
      <c r="U19" s="2">
        <v>7.5505597228706645E-2</v>
      </c>
      <c r="V19" s="2">
        <v>0.1012858729554544</v>
      </c>
      <c r="W19" s="2">
        <v>0.10012344200679579</v>
      </c>
      <c r="X19" s="2">
        <v>6.650496944493911E-2</v>
      </c>
      <c r="Y19" s="2">
        <v>-1.4921859726965799E-2</v>
      </c>
    </row>
    <row r="20" spans="2:25" x14ac:dyDescent="0.2">
      <c r="B20" t="s">
        <v>47</v>
      </c>
      <c r="C20">
        <v>273</v>
      </c>
      <c r="D20">
        <v>245.4</v>
      </c>
      <c r="E20">
        <v>273.55433900000003</v>
      </c>
      <c r="F20">
        <v>267.83308743794157</v>
      </c>
      <c r="G20">
        <v>259.42229803078692</v>
      </c>
      <c r="H20">
        <v>259.37776568162008</v>
      </c>
      <c r="I20">
        <v>267.83309006096431</v>
      </c>
      <c r="J20">
        <v>267.83324030973819</v>
      </c>
      <c r="K20">
        <v>259.44653315244329</v>
      </c>
      <c r="L20">
        <v>259.94161666524661</v>
      </c>
      <c r="M20">
        <v>258.43790368993632</v>
      </c>
      <c r="N20">
        <v>248.85604678356319</v>
      </c>
      <c r="O20" s="2">
        <v>-0.1010989010989011</v>
      </c>
      <c r="P20" s="2">
        <v>2.0305457875458011E-3</v>
      </c>
      <c r="Q20" s="2">
        <v>-1.8926419641239641E-2</v>
      </c>
      <c r="R20" s="2">
        <v>-4.9735172048399612E-2</v>
      </c>
      <c r="S20" s="2">
        <v>-4.98982942065197E-2</v>
      </c>
      <c r="T20" s="2">
        <v>-1.892641003309781E-2</v>
      </c>
      <c r="U20" s="2">
        <v>-1.8925859671288681E-2</v>
      </c>
      <c r="V20" s="2">
        <v>-4.9646398708998903E-2</v>
      </c>
      <c r="W20" s="2">
        <v>-4.7832905988107847E-2</v>
      </c>
      <c r="X20" s="2">
        <v>-5.3341012124775378E-2</v>
      </c>
      <c r="Y20" s="2">
        <v>-8.8439389071196972E-2</v>
      </c>
    </row>
    <row r="21" spans="2:25" x14ac:dyDescent="0.2">
      <c r="B21" t="s">
        <v>48</v>
      </c>
      <c r="C21">
        <v>265</v>
      </c>
      <c r="D21">
        <v>256.5</v>
      </c>
      <c r="E21">
        <v>257.90952399999998</v>
      </c>
      <c r="F21">
        <v>266.94339589846072</v>
      </c>
      <c r="G21">
        <v>269.61942992029549</v>
      </c>
      <c r="H21">
        <v>267.5877840817451</v>
      </c>
      <c r="I21">
        <v>266.96076250015238</v>
      </c>
      <c r="J21">
        <v>268.12435274222707</v>
      </c>
      <c r="K21">
        <v>267.60465160462729</v>
      </c>
      <c r="L21">
        <v>268.7158396289218</v>
      </c>
      <c r="M21">
        <v>268.22182668553887</v>
      </c>
      <c r="N21">
        <v>258.63676182739442</v>
      </c>
      <c r="O21" s="2">
        <v>-3.20754716981132E-2</v>
      </c>
      <c r="P21" s="2">
        <v>-2.6756513207547239E-2</v>
      </c>
      <c r="Q21" s="2">
        <v>7.3335694281537736E-3</v>
      </c>
      <c r="R21" s="2">
        <v>1.743181101998292E-2</v>
      </c>
      <c r="S21" s="2">
        <v>9.7652229499816112E-3</v>
      </c>
      <c r="T21" s="2">
        <v>7.3991037741600874E-3</v>
      </c>
      <c r="U21" s="2">
        <v>1.179001034802685E-2</v>
      </c>
      <c r="V21" s="2">
        <v>9.8288739797256497E-3</v>
      </c>
      <c r="W21" s="2">
        <v>1.402203633555388E-2</v>
      </c>
      <c r="X21" s="2">
        <v>1.2157836549203219E-2</v>
      </c>
      <c r="Y21" s="2">
        <v>-2.4012219519266579E-2</v>
      </c>
    </row>
    <row r="22" spans="2:25" x14ac:dyDescent="0.2">
      <c r="B22" t="s">
        <v>49</v>
      </c>
      <c r="C22">
        <v>267</v>
      </c>
      <c r="D22">
        <v>253.2</v>
      </c>
      <c r="E22">
        <v>266.00117599999999</v>
      </c>
      <c r="F22">
        <v>267.41179656806219</v>
      </c>
      <c r="G22">
        <v>266.87020028273628</v>
      </c>
      <c r="H22">
        <v>265.95419348390971</v>
      </c>
      <c r="I22">
        <v>267.41798818578201</v>
      </c>
      <c r="J22">
        <v>267.80408344216261</v>
      </c>
      <c r="K22">
        <v>265.97299174407487</v>
      </c>
      <c r="L22">
        <v>266.48497961916109</v>
      </c>
      <c r="M22">
        <v>263.44231780754632</v>
      </c>
      <c r="N22">
        <v>237.50559865735701</v>
      </c>
      <c r="O22" s="2">
        <v>-5.1685393258427033E-2</v>
      </c>
      <c r="P22" s="2">
        <v>-3.740913857677941E-3</v>
      </c>
      <c r="Q22" s="2">
        <v>1.542309243678819E-3</v>
      </c>
      <c r="R22" s="2">
        <v>-4.861412631600448E-4</v>
      </c>
      <c r="S22" s="2">
        <v>-3.9168783374168292E-3</v>
      </c>
      <c r="T22" s="2">
        <v>1.5654988231532661E-3</v>
      </c>
      <c r="U22" s="2">
        <v>3.011548472518832E-3</v>
      </c>
      <c r="V22" s="2">
        <v>-3.8464728686333771E-3</v>
      </c>
      <c r="W22" s="2">
        <v>-1.9289152840408219E-3</v>
      </c>
      <c r="X22" s="2">
        <v>-1.3324652406193739E-2</v>
      </c>
      <c r="Y22" s="2">
        <v>-0.1104659226316216</v>
      </c>
    </row>
    <row r="23" spans="2:25" x14ac:dyDescent="0.2">
      <c r="B23" t="s">
        <v>52</v>
      </c>
      <c r="C23">
        <v>242</v>
      </c>
      <c r="D23">
        <v>241.6</v>
      </c>
      <c r="E23">
        <v>237.284952</v>
      </c>
      <c r="F23">
        <v>263.64927848118589</v>
      </c>
      <c r="G23">
        <v>259.27600238930802</v>
      </c>
      <c r="H23">
        <v>253.921263590938</v>
      </c>
      <c r="I23">
        <v>263.68615580736019</v>
      </c>
      <c r="J23">
        <v>266.07548943037182</v>
      </c>
      <c r="K23">
        <v>254.03878829605239</v>
      </c>
      <c r="L23">
        <v>257.54325514114601</v>
      </c>
      <c r="M23">
        <v>293.36236333108701</v>
      </c>
      <c r="N23">
        <v>627.50205371952325</v>
      </c>
      <c r="O23" s="2">
        <v>-1.652892561983532E-3</v>
      </c>
      <c r="P23" s="2">
        <v>-1.94836694214876E-2</v>
      </c>
      <c r="Q23" s="2">
        <v>8.9459828434652611E-2</v>
      </c>
      <c r="R23" s="2">
        <v>7.1388439625239775E-2</v>
      </c>
      <c r="S23" s="2">
        <v>4.9261419797264283E-2</v>
      </c>
      <c r="T23" s="2">
        <v>8.9612214080000863E-2</v>
      </c>
      <c r="U23" s="2">
        <v>9.9485493513932877E-2</v>
      </c>
      <c r="V23" s="2">
        <v>4.9747059074596763E-2</v>
      </c>
      <c r="W23" s="2">
        <v>6.4228327029528964E-2</v>
      </c>
      <c r="X23" s="2">
        <v>0.21224117078961549</v>
      </c>
      <c r="Y23" s="2">
        <v>1.5929836930558809</v>
      </c>
    </row>
    <row r="24" spans="2:25" x14ac:dyDescent="0.2">
      <c r="B24" t="s">
        <v>53</v>
      </c>
      <c r="C24">
        <v>248</v>
      </c>
      <c r="D24">
        <v>256.3</v>
      </c>
      <c r="E24">
        <v>245.89428599999999</v>
      </c>
      <c r="F24">
        <v>256.08763292880008</v>
      </c>
      <c r="G24">
        <v>267.5674564114405</v>
      </c>
      <c r="H24">
        <v>260.58493547329681</v>
      </c>
      <c r="I24">
        <v>256.12991331972103</v>
      </c>
      <c r="J24">
        <v>256.0886243181086</v>
      </c>
      <c r="K24">
        <v>260.58700274994709</v>
      </c>
      <c r="L24">
        <v>261.21244782110472</v>
      </c>
      <c r="M24">
        <v>254.6926167587325</v>
      </c>
      <c r="N24">
        <v>258.34570497981798</v>
      </c>
      <c r="O24" s="2">
        <v>3.3467741935483852E-2</v>
      </c>
      <c r="P24" s="2">
        <v>-8.4907822580645442E-3</v>
      </c>
      <c r="Q24" s="2">
        <v>3.2611423100000307E-2</v>
      </c>
      <c r="R24" s="2">
        <v>7.8901033917098795E-2</v>
      </c>
      <c r="S24" s="2">
        <v>5.0745707553616182E-2</v>
      </c>
      <c r="T24" s="2">
        <v>3.2781908547262262E-2</v>
      </c>
      <c r="U24" s="2">
        <v>3.2615420637534642E-2</v>
      </c>
      <c r="V24" s="2">
        <v>5.0754043346560751E-2</v>
      </c>
      <c r="W24" s="2">
        <v>5.327599927864779E-2</v>
      </c>
      <c r="X24" s="2">
        <v>2.698635789811488E-2</v>
      </c>
      <c r="Y24" s="2">
        <v>4.1716552337975887E-2</v>
      </c>
    </row>
    <row r="25" spans="2:25" x14ac:dyDescent="0.2">
      <c r="B25" t="s">
        <v>54</v>
      </c>
      <c r="C25">
        <v>241</v>
      </c>
      <c r="D25">
        <v>235.9</v>
      </c>
      <c r="E25">
        <v>228.36784299999999</v>
      </c>
      <c r="F25">
        <v>245.56435555962759</v>
      </c>
      <c r="G25">
        <v>250.17029129051531</v>
      </c>
      <c r="H25">
        <v>236.29827634188581</v>
      </c>
      <c r="I25">
        <v>245.63371905186821</v>
      </c>
      <c r="J25">
        <v>245.56592080847969</v>
      </c>
      <c r="K25">
        <v>236.41483596683639</v>
      </c>
      <c r="L25">
        <v>236.3007127688312</v>
      </c>
      <c r="M25">
        <v>230.7621503707968</v>
      </c>
      <c r="N25">
        <v>219.05079619825301</v>
      </c>
      <c r="O25" s="2">
        <v>-2.1161825726141E-2</v>
      </c>
      <c r="P25" s="2">
        <v>-5.2415589211618263E-2</v>
      </c>
      <c r="Q25" s="2">
        <v>1.8939234687251449E-2</v>
      </c>
      <c r="R25" s="2">
        <v>3.8051001205457569E-2</v>
      </c>
      <c r="S25" s="2">
        <v>-1.95092267971545E-2</v>
      </c>
      <c r="T25" s="2">
        <v>1.9227050007752041E-2</v>
      </c>
      <c r="U25" s="2">
        <v>1.8945729495766669E-2</v>
      </c>
      <c r="V25" s="2">
        <v>-1.9025576901093851E-2</v>
      </c>
      <c r="W25" s="2">
        <v>-1.9499117141779099E-2</v>
      </c>
      <c r="X25" s="2">
        <v>-4.2480703855614983E-2</v>
      </c>
      <c r="Y25" s="2">
        <v>-9.107553444708294E-2</v>
      </c>
    </row>
    <row r="26" spans="2:25" x14ac:dyDescent="0.2">
      <c r="B26" t="s">
        <v>55</v>
      </c>
      <c r="C26">
        <v>269</v>
      </c>
      <c r="D26">
        <v>250.3</v>
      </c>
      <c r="E26">
        <v>269.77169600000002</v>
      </c>
      <c r="F26">
        <v>265.7541817785459</v>
      </c>
      <c r="G26">
        <v>260.20477897882807</v>
      </c>
      <c r="H26">
        <v>263.31722527653801</v>
      </c>
      <c r="I26">
        <v>265.74435709632519</v>
      </c>
      <c r="J26">
        <v>265.75395848505002</v>
      </c>
      <c r="K26">
        <v>263.32343279491602</v>
      </c>
      <c r="L26">
        <v>263.31550773525203</v>
      </c>
      <c r="M26">
        <v>267.88075831460759</v>
      </c>
      <c r="N26">
        <v>268.24896514756551</v>
      </c>
      <c r="O26" s="2">
        <v>-6.9516728624535284E-2</v>
      </c>
      <c r="P26" s="2">
        <v>2.8687583643123289E-3</v>
      </c>
      <c r="Q26" s="2">
        <v>-1.2066238741465059E-2</v>
      </c>
      <c r="R26" s="2">
        <v>-3.2695988926289443E-2</v>
      </c>
      <c r="S26" s="2">
        <v>-2.1125556592795469E-2</v>
      </c>
      <c r="T26" s="2">
        <v>-1.2102761723698169E-2</v>
      </c>
      <c r="U26" s="2">
        <v>-1.206706882881037E-2</v>
      </c>
      <c r="V26" s="2">
        <v>-2.1102480316297582E-2</v>
      </c>
      <c r="W26" s="2">
        <v>-2.1131941504639481E-2</v>
      </c>
      <c r="X26" s="2">
        <v>-4.1607497598228349E-3</v>
      </c>
      <c r="Y26" s="2">
        <v>-2.7919511242917579E-3</v>
      </c>
    </row>
    <row r="27" spans="2:25" x14ac:dyDescent="0.2">
      <c r="B27" t="s">
        <v>71</v>
      </c>
      <c r="C27">
        <v>262</v>
      </c>
      <c r="D27">
        <v>262</v>
      </c>
      <c r="E27">
        <v>254.35891939999999</v>
      </c>
      <c r="F27">
        <v>257.78899202252859</v>
      </c>
      <c r="G27">
        <v>270.68261944106291</v>
      </c>
      <c r="H27">
        <v>265.38363840365162</v>
      </c>
      <c r="I27">
        <v>257.80080791465411</v>
      </c>
      <c r="J27">
        <v>257.78927994956541</v>
      </c>
      <c r="K27">
        <v>265.35156921587298</v>
      </c>
      <c r="L27">
        <v>265.30773222338598</v>
      </c>
      <c r="M27">
        <v>260.63841358370843</v>
      </c>
      <c r="N27">
        <v>260.31100121307031</v>
      </c>
      <c r="O27" s="2">
        <v>0</v>
      </c>
      <c r="P27" s="2">
        <v>-2.9164429770992428E-2</v>
      </c>
      <c r="Q27" s="2">
        <v>-1.607254953233361E-2</v>
      </c>
      <c r="R27" s="2">
        <v>3.3139768859018703E-2</v>
      </c>
      <c r="S27" s="2">
        <v>1.291465039561657E-2</v>
      </c>
      <c r="T27" s="2">
        <v>-1.602745070742706E-2</v>
      </c>
      <c r="U27" s="2">
        <v>-1.6071450574178029E-2</v>
      </c>
      <c r="V27" s="2">
        <v>1.2792248915545651E-2</v>
      </c>
      <c r="W27" s="2">
        <v>1.2624932150328229E-2</v>
      </c>
      <c r="X27" s="2">
        <v>-5.1968947186703529E-3</v>
      </c>
      <c r="Y27" s="2">
        <v>-6.4465602554568679E-3</v>
      </c>
    </row>
    <row r="28" spans="2:25" x14ac:dyDescent="0.2">
      <c r="B28" s="120" t="s">
        <v>149</v>
      </c>
      <c r="C28" s="120"/>
      <c r="D28" s="120"/>
      <c r="E28">
        <f t="shared" ref="E28:E33" si="1">E$27/(1+P28)</f>
        <v>254.96089665615784</v>
      </c>
      <c r="F28" s="2">
        <f>E28/$D$27-1</f>
        <v>-2.6866806655886144E-2</v>
      </c>
      <c r="H28">
        <f>E$27/(1+Q28)</f>
        <v>253.57073776674574</v>
      </c>
      <c r="L28" s="120" t="s">
        <v>142</v>
      </c>
      <c r="M28" s="120"/>
      <c r="N28" s="120"/>
      <c r="O28" s="120"/>
      <c r="P28" s="1">
        <f>AVERAGE(P19:P26)</f>
        <v>-2.3610571819163984E-3</v>
      </c>
      <c r="Q28" s="3">
        <f>AVERAGE(P14:P26)</f>
        <v>3.1083304019855398E-3</v>
      </c>
    </row>
    <row r="29" spans="2:25" x14ac:dyDescent="0.2">
      <c r="B29" s="178" t="s">
        <v>150</v>
      </c>
      <c r="C29" s="178"/>
      <c r="D29" s="178"/>
      <c r="E29">
        <f t="shared" si="1"/>
        <v>255.92411238569647</v>
      </c>
      <c r="F29" s="2">
        <f t="shared" ref="F29:F33" si="2">E29/$D$27-1</f>
        <v>-2.3190410741616541E-2</v>
      </c>
      <c r="H29">
        <f>E$27/(1+Q29)</f>
        <v>255.314027182346</v>
      </c>
      <c r="L29" s="178" t="s">
        <v>144</v>
      </c>
      <c r="M29" s="178"/>
      <c r="N29" s="178"/>
      <c r="O29" s="178"/>
      <c r="P29" s="1">
        <f>MEDIAN(P19:P26)</f>
        <v>-6.1158480578712426E-3</v>
      </c>
      <c r="Q29" s="3">
        <f>MEDIAN(P14:P26)</f>
        <v>-3.740913857677941E-3</v>
      </c>
    </row>
    <row r="30" spans="2:25" x14ac:dyDescent="0.2">
      <c r="B30" s="179" t="s">
        <v>151</v>
      </c>
      <c r="C30" s="179"/>
      <c r="D30" s="179"/>
      <c r="E30">
        <f t="shared" si="1"/>
        <v>260.12790433121842</v>
      </c>
      <c r="F30" s="2">
        <f t="shared" si="2"/>
        <v>-7.1454033159602526E-3</v>
      </c>
      <c r="G30">
        <f>E30</f>
        <v>260.12790433121842</v>
      </c>
      <c r="H30">
        <f>E$27/(1+Q30)</f>
        <v>262.82123399651744</v>
      </c>
      <c r="L30" s="179" t="s">
        <v>143</v>
      </c>
      <c r="M30" s="179"/>
      <c r="N30" s="179"/>
      <c r="O30" s="179"/>
      <c r="P30" s="1">
        <f>AVERAGE(P21:P25)</f>
        <v>-2.2177493591279119E-2</v>
      </c>
      <c r="Q30" s="3">
        <f>AVERAGE(P21:P25,P15:P16)</f>
        <v>-3.2197986699315138E-2</v>
      </c>
    </row>
    <row r="31" spans="2:25" x14ac:dyDescent="0.2">
      <c r="B31" s="181" t="s">
        <v>152</v>
      </c>
      <c r="C31" s="181"/>
      <c r="D31" s="181"/>
      <c r="E31">
        <f t="shared" si="1"/>
        <v>259.41324123579483</v>
      </c>
      <c r="F31" s="2">
        <f t="shared" si="2"/>
        <v>-9.8731250542182236E-3</v>
      </c>
      <c r="H31">
        <f>E$27/(1+Q31)</f>
        <v>259.41324123579483</v>
      </c>
      <c r="L31" s="181" t="s">
        <v>145</v>
      </c>
      <c r="M31" s="181"/>
      <c r="N31" s="181"/>
      <c r="O31" s="181"/>
      <c r="P31" s="1">
        <f>MEDIAN(P21:P25)</f>
        <v>-1.94836694214876E-2</v>
      </c>
      <c r="Q31" s="3">
        <f>MEDIAN(P21:P25,P15:P16)</f>
        <v>-1.94836694214876E-2</v>
      </c>
    </row>
    <row r="32" spans="2:25" x14ac:dyDescent="0.2">
      <c r="B32" s="182" t="s">
        <v>153</v>
      </c>
      <c r="C32" s="182"/>
      <c r="D32" s="182"/>
      <c r="E32">
        <f t="shared" si="1"/>
        <v>246.79075109934848</v>
      </c>
      <c r="F32" s="2">
        <f t="shared" si="2"/>
        <v>-5.8050568323097407E-2</v>
      </c>
      <c r="H32">
        <f>E$27/(1+Q32)</f>
        <v>243.56904602506506</v>
      </c>
      <c r="L32" s="182" t="s">
        <v>146</v>
      </c>
      <c r="M32" s="182"/>
      <c r="N32" s="182"/>
      <c r="O32" s="182"/>
      <c r="P32" s="1">
        <f>AVERAGE(P26,P19:P20)</f>
        <v>3.0666336833688135E-2</v>
      </c>
      <c r="Q32" s="3">
        <f>AVERAGE(P26,P17:P20,P14)</f>
        <v>4.4299033686836332E-2</v>
      </c>
    </row>
    <row r="33" spans="1:17" x14ac:dyDescent="0.2">
      <c r="B33" s="183" t="s">
        <v>154</v>
      </c>
      <c r="C33" s="183"/>
      <c r="D33" s="183"/>
      <c r="E33">
        <f t="shared" si="1"/>
        <v>253.63131245095479</v>
      </c>
      <c r="F33" s="2">
        <f t="shared" si="2"/>
        <v>-3.1941555530706878E-2</v>
      </c>
      <c r="H33">
        <f>E$27/(1+Q33)</f>
        <v>244.87972290753765</v>
      </c>
      <c r="L33" s="183" t="s">
        <v>147</v>
      </c>
      <c r="M33" s="183"/>
      <c r="N33" s="183"/>
      <c r="O33" s="183"/>
      <c r="P33" s="1">
        <f>MEDIAN(P26,P19:P20)</f>
        <v>2.8687583643123289E-3</v>
      </c>
      <c r="Q33" s="3">
        <f>MEDIAN(P26,P17:P20,P14)</f>
        <v>3.8709601513398861E-2</v>
      </c>
    </row>
    <row r="36" spans="1:17" x14ac:dyDescent="0.2">
      <c r="A36" s="74" t="s">
        <v>103</v>
      </c>
      <c r="B36" t="s">
        <v>155</v>
      </c>
    </row>
    <row r="37" spans="1:17" x14ac:dyDescent="0.2">
      <c r="B37" t="s">
        <v>156</v>
      </c>
    </row>
    <row r="43" spans="1:17" x14ac:dyDescent="0.2">
      <c r="A43" s="74" t="s">
        <v>105</v>
      </c>
      <c r="B43" s="87" t="s">
        <v>157</v>
      </c>
      <c r="C43" s="88">
        <f>E27</f>
        <v>254.35891939999999</v>
      </c>
      <c r="D43" t="s">
        <v>166</v>
      </c>
    </row>
    <row r="45" spans="1:17" x14ac:dyDescent="0.2">
      <c r="B45" s="180" t="s">
        <v>165</v>
      </c>
      <c r="C45" s="180"/>
      <c r="D45" s="2">
        <f>C43/D27-1</f>
        <v>-2.9164429770992428E-2</v>
      </c>
    </row>
    <row r="46" spans="1:17" x14ac:dyDescent="0.2">
      <c r="B46" s="168" t="s">
        <v>164</v>
      </c>
      <c r="C46" s="168"/>
      <c r="D46" s="2">
        <f>'1. Data &amp; Confidence Interval'!R25</f>
        <v>-4.9497403529338568E-2</v>
      </c>
    </row>
  </sheetData>
  <mergeCells count="14">
    <mergeCell ref="L33:O33"/>
    <mergeCell ref="L28:O28"/>
    <mergeCell ref="L29:O29"/>
    <mergeCell ref="L30:O30"/>
    <mergeCell ref="L31:O31"/>
    <mergeCell ref="L32:O32"/>
    <mergeCell ref="B46:C46"/>
    <mergeCell ref="B45:C45"/>
    <mergeCell ref="B28:D28"/>
    <mergeCell ref="B29:D29"/>
    <mergeCell ref="B30:D30"/>
    <mergeCell ref="B31:D31"/>
    <mergeCell ref="B32:D32"/>
    <mergeCell ref="B33:D33"/>
  </mergeCells>
  <conditionalFormatting sqref="P28:P3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W27 Q18:W1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2021-10-25T14:11:25Z</dcterms:modified>
</cp:coreProperties>
</file>