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ABT\"/>
    </mc:Choice>
  </mc:AlternateContent>
  <xr:revisionPtr revIDLastSave="0" documentId="13_ncr:1_{45B65863-E854-4647-8568-AF0CB3F8673A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4" l="1"/>
  <c r="G32" i="4"/>
  <c r="R25" i="1" l="1"/>
  <c r="O25" i="1"/>
  <c r="O24" i="1"/>
  <c r="R24" i="1"/>
  <c r="AK26" i="1"/>
  <c r="AJ10" i="1"/>
  <c r="Q33" i="4"/>
  <c r="Q32" i="4"/>
  <c r="Q31" i="4"/>
  <c r="Q30" i="4"/>
  <c r="Q29" i="4"/>
  <c r="Q28" i="4"/>
  <c r="J21" i="2"/>
  <c r="J36" i="2"/>
  <c r="J35" i="2"/>
  <c r="H35" i="2"/>
  <c r="H36" i="2"/>
  <c r="G40" i="2"/>
  <c r="G39" i="2"/>
  <c r="G38" i="2"/>
  <c r="G37" i="2"/>
  <c r="G36" i="2"/>
  <c r="G35" i="2"/>
  <c r="G33" i="2"/>
  <c r="G32" i="2"/>
  <c r="E37" i="2"/>
  <c r="E36" i="2"/>
  <c r="E35" i="2"/>
  <c r="E34" i="2"/>
  <c r="E33" i="2"/>
  <c r="E32" i="2"/>
  <c r="E31" i="2"/>
  <c r="E30" i="2"/>
  <c r="E29" i="2"/>
  <c r="E28" i="2"/>
  <c r="E27" i="2"/>
  <c r="G41" i="2" a="1"/>
  <c r="G41" i="2" s="1"/>
  <c r="L21" i="2"/>
  <c r="M21" i="2"/>
  <c r="N21" i="2"/>
  <c r="O21" i="2"/>
  <c r="P21" i="2"/>
  <c r="Q21" i="2" s="1"/>
  <c r="K21" i="2"/>
  <c r="AK25" i="1"/>
  <c r="AK24" i="1"/>
  <c r="AJ18" i="1"/>
  <c r="AK18" i="1"/>
  <c r="AK20" i="1"/>
  <c r="AK23" i="1"/>
  <c r="AK22" i="1"/>
  <c r="AK21" i="1"/>
  <c r="J17" i="1"/>
  <c r="I17" i="1"/>
  <c r="H17" i="1"/>
  <c r="G17" i="1"/>
  <c r="F17" i="1"/>
  <c r="R17" i="1"/>
  <c r="Q17" i="1"/>
  <c r="P17" i="1"/>
  <c r="O17" i="1"/>
  <c r="M18" i="1"/>
  <c r="L18" i="1"/>
  <c r="J18" i="1"/>
  <c r="I18" i="1"/>
  <c r="H18" i="1"/>
  <c r="G18" i="1"/>
  <c r="F18" i="1"/>
  <c r="S20" i="1"/>
  <c r="S22" i="1"/>
  <c r="F33" i="4" l="1"/>
  <c r="F32" i="4"/>
  <c r="F31" i="4"/>
  <c r="C43" i="4" s="1"/>
  <c r="F30" i="4"/>
  <c r="F29" i="4"/>
  <c r="F28" i="4"/>
  <c r="C2" i="4"/>
  <c r="J22" i="2"/>
  <c r="A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J13" i="1"/>
  <c r="Q27" i="2"/>
  <c r="P27" i="2"/>
  <c r="O27" i="2"/>
  <c r="N27" i="2"/>
  <c r="M27" i="2"/>
  <c r="L27" i="2"/>
  <c r="K27" i="2"/>
  <c r="R27" i="2"/>
  <c r="A26" i="2"/>
  <c r="B26" i="2"/>
  <c r="C26" i="2"/>
  <c r="D26" i="2"/>
  <c r="E26" i="2"/>
  <c r="F26" i="2"/>
  <c r="G26" i="2"/>
  <c r="H26" i="2"/>
  <c r="I26" i="2"/>
  <c r="J26" i="2"/>
  <c r="R26" i="2"/>
  <c r="Q22" i="2"/>
  <c r="P22" i="2"/>
  <c r="O22" i="2"/>
  <c r="N22" i="2"/>
  <c r="M22" i="2"/>
  <c r="L22" i="2"/>
  <c r="K22" i="2"/>
  <c r="I22" i="2"/>
  <c r="H22" i="2"/>
  <c r="G22" i="2"/>
  <c r="F22" i="2"/>
  <c r="R22" i="2"/>
  <c r="E22" i="2"/>
  <c r="AJ17" i="1"/>
  <c r="AI17" i="1"/>
  <c r="AH17" i="1"/>
  <c r="AG17" i="1"/>
  <c r="AF17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27" i="2"/>
  <c r="I27" i="2"/>
  <c r="H27" i="2"/>
  <c r="G27" i="2"/>
  <c r="F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B27" i="2"/>
  <c r="C27" i="2"/>
  <c r="D27" i="2"/>
  <c r="A27" i="2"/>
  <c r="I24" i="3"/>
  <c r="E24" i="3"/>
  <c r="AE17" i="1"/>
  <c r="AD17" i="1"/>
  <c r="AC17" i="1"/>
  <c r="AB17" i="1"/>
  <c r="D45" i="4" l="1"/>
  <c r="C7" i="1"/>
  <c r="B7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Y17" i="1"/>
  <c r="Z17" i="1"/>
  <c r="AA17" i="1"/>
  <c r="F20" i="3"/>
  <c r="D46" i="4" l="1"/>
  <c r="M2" i="1"/>
  <c r="V21" i="1"/>
  <c r="R40" i="2"/>
  <c r="R39" i="2"/>
  <c r="R38" i="2"/>
  <c r="R37" i="2"/>
  <c r="R35" i="2"/>
  <c r="R34" i="2"/>
  <c r="R33" i="2"/>
  <c r="R32" i="2"/>
  <c r="R31" i="2"/>
  <c r="R30" i="2"/>
  <c r="R29" i="2"/>
  <c r="R28" i="2"/>
  <c r="N2" i="1" l="1"/>
  <c r="O2" i="1" s="1"/>
  <c r="P2" i="1" s="1"/>
  <c r="N3" i="1"/>
  <c r="M3" i="1"/>
  <c r="H20" i="3"/>
  <c r="O3" i="1" l="1"/>
  <c r="P3" i="1" s="1"/>
  <c r="R36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E40" i="2"/>
  <c r="F28" i="2"/>
  <c r="G28" i="2"/>
  <c r="H28" i="2"/>
  <c r="I28" i="2"/>
  <c r="J28" i="2"/>
  <c r="F29" i="2"/>
  <c r="G29" i="2"/>
  <c r="H29" i="2"/>
  <c r="I29" i="2"/>
  <c r="J29" i="2"/>
  <c r="F30" i="2"/>
  <c r="G30" i="2"/>
  <c r="H30" i="2"/>
  <c r="I30" i="2"/>
  <c r="J30" i="2"/>
  <c r="F31" i="2"/>
  <c r="G31" i="2"/>
  <c r="H31" i="2"/>
  <c r="I31" i="2"/>
  <c r="J31" i="2"/>
  <c r="F32" i="2"/>
  <c r="H32" i="2"/>
  <c r="I32" i="2"/>
  <c r="J32" i="2"/>
  <c r="F33" i="2"/>
  <c r="H33" i="2"/>
  <c r="I33" i="2"/>
  <c r="J33" i="2"/>
  <c r="F34" i="2"/>
  <c r="G34" i="2"/>
  <c r="H34" i="2"/>
  <c r="I34" i="2"/>
  <c r="J34" i="2"/>
  <c r="F35" i="2"/>
  <c r="I35" i="2"/>
  <c r="F36" i="2"/>
  <c r="I36" i="2"/>
  <c r="F37" i="2"/>
  <c r="H37" i="2"/>
  <c r="I37" i="2"/>
  <c r="J37" i="2"/>
  <c r="E38" i="2"/>
  <c r="F38" i="2"/>
  <c r="H38" i="2"/>
  <c r="I38" i="2"/>
  <c r="J38" i="2"/>
  <c r="E39" i="2"/>
  <c r="F39" i="2"/>
  <c r="H39" i="2"/>
  <c r="I39" i="2"/>
  <c r="J39" i="2"/>
  <c r="F40" i="2"/>
  <c r="H40" i="2"/>
  <c r="I40" i="2"/>
  <c r="J40" i="2"/>
  <c r="E42" i="2" l="1" a="1"/>
  <c r="E42" i="2" s="1"/>
  <c r="E41" i="2" a="1"/>
  <c r="E41" i="2" s="1"/>
  <c r="Q42" i="2" a="1"/>
  <c r="Q42" i="2" s="1"/>
  <c r="Q41" i="2" a="1"/>
  <c r="Q41" i="2" s="1"/>
  <c r="H41" i="2" a="1"/>
  <c r="H41" i="2" s="1"/>
  <c r="H42" i="2" a="1"/>
  <c r="H42" i="2" s="1"/>
  <c r="R41" i="2" a="1"/>
  <c r="R41" i="2" s="1"/>
  <c r="R42" i="2" a="1"/>
  <c r="R42" i="2" s="1"/>
  <c r="G42" i="2" a="1"/>
  <c r="G42" i="2" s="1"/>
  <c r="P42" i="2" a="1"/>
  <c r="P42" i="2" s="1"/>
  <c r="P41" i="2" a="1"/>
  <c r="P41" i="2" s="1"/>
  <c r="O42" i="2" a="1"/>
  <c r="O42" i="2" s="1"/>
  <c r="O41" i="2" a="1"/>
  <c r="O41" i="2" s="1"/>
  <c r="N42" i="2" a="1"/>
  <c r="N42" i="2" s="1"/>
  <c r="N41" i="2" a="1"/>
  <c r="N41" i="2" s="1"/>
  <c r="F42" i="2" a="1"/>
  <c r="F42" i="2" s="1"/>
  <c r="F41" i="2" a="1"/>
  <c r="F41" i="2" s="1"/>
  <c r="M42" i="2" a="1"/>
  <c r="M42" i="2" s="1"/>
  <c r="M41" i="2" a="1"/>
  <c r="M41" i="2" s="1"/>
  <c r="J41" i="2" a="1"/>
  <c r="J41" i="2" s="1"/>
  <c r="J42" i="2" a="1"/>
  <c r="J42" i="2" s="1"/>
  <c r="L42" i="2" a="1"/>
  <c r="L42" i="2" s="1"/>
  <c r="L41" i="2" a="1"/>
  <c r="L41" i="2" s="1"/>
  <c r="I41" i="2" a="1"/>
  <c r="I41" i="2" s="1"/>
  <c r="I42" i="2" a="1"/>
  <c r="I42" i="2" s="1"/>
  <c r="K41" i="2" a="1"/>
  <c r="K41" i="2" s="1"/>
  <c r="K42" i="2" a="1"/>
  <c r="K42" i="2" s="1"/>
  <c r="J10" i="1"/>
  <c r="AH21" i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<sst xmlns="http://schemas.openxmlformats.org/spreadsheetml/2006/main" count="304" uniqueCount="176">
  <si>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</si>
  <si>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</si>
  <si>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</si>
  <si>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</si>
  <si>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</si>
  <si>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</si>
  <si>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</si>
  <si>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</si>
  <si>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</si>
  <si>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</si>
  <si>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</si>
  <si>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</si>
  <si>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</si>
  <si>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</si>
  <si>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</si>
  <si>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</si>
  <si>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</si>
  <si>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</si>
  <si>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</si>
  <si>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</si>
  <si>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</si>
  <si>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</si>
  <si>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</si>
  <si>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</si>
  <si>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</si>
  <si>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</si>
  <si>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</si>
  <si>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</si>
  <si>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</si>
  <si>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</si>
  <si>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</si>
  <si>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</si>
  <si>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</si>
  <si>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</si>
  <si>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</si>
  <si>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</si>
  <si>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</si>
  <si>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</si>
  <si>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</si>
  <si>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</si>
  <si>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</si>
  <si>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</si>
  <si>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</si>
  <si>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</si>
  <si>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</si>
  <si>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</si>
  <si>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</si>
  <si>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</si>
  <si>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</si>
  <si>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</si>
  <si>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</si>
  <si>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</si>
  <si>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</si>
  <si>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</si>
  <si>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</si>
  <si>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</si>
  <si>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</si>
  <si>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</si>
  <si>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</si>
  <si>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</si>
  <si>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</si>
  <si>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</si>
  <si>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</si>
  <si>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</si>
  <si>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</si>
  <si>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</si>
  <si>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</si>
  <si>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</si>
  <si>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</si>
  <si>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</si>
  <si>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</si>
  <si>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</si>
  <si>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</si>
  <si>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</si>
  <si>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</si>
  <si>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</si>
  <si>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</si>
  <si>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</si>
  <si>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</si>
  <si>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</si>
  <si>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</si>
  <si>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</si>
  <si>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</si>
  <si>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</si>
  <si>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</si>
  <si>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</si>
  <si>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</si>
  <si>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</si>
  <si>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</si>
  <si>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</si>
  <si>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</si>
  <si>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</si>
  <si>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</si>
  <si>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</si>
  <si>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</si>
  <si>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</si>
  <si>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</si>
  <si>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</si>
  <si>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</si>
  <si>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</si>
  <si>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</si>
  <si>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</si>
  <si>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</si>
  <si>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</si>
  <si>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</si>
  <si>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</si>
  <si>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</si>
  <si>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</si>
  <si>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</si>
  <si>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</si>
  <si>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</si>
  <si>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</si>
  <si>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</si>
  <si>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</si>
  <si>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</si>
  <si>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</si>
  <si>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</si>
  <si>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</si>
  <si>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</si>
  <si>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</si>
  <si>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</si>
  <si>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</si>
  <si>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</si>
  <si>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</si>
  <si>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</si>
  <si>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</si>
  <si>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</si>
  <si>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</si>
  <si>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</si>
  <si>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</si>
  <si>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</si>
  <si>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</si>
  <si>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</si>
  <si>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</si>
  <si>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</si>
  <si>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</si>
  <si>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</si>
  <si>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</si>
  <si>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</si>
  <si>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</si>
  <si>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</si>
  <si>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</si>
  <si>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</si>
  <si>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</si>
  <si>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</si>
  <si>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</si>
  <si>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</si>
  <si>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</si>
  <si>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</si>
  <si>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</si>
  <si>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</si>
  <si>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</si>
  <si>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</si>
  <si>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</si>
  <si>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</si>
  <si>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</si>
  <si>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</si>
  <si>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</si>
  <si>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</si>
  <si>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</si>
  <si>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</si>
  <si>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</si>
  <si>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</si>
  <si>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</si>
  <si>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</si>
  <si>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</si>
  <si>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</si>
  <si>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</si>
  <si>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ABT</t>
  </si>
  <si>
    <t>2017Q4</t>
  </si>
  <si>
    <t>HEART FAILURE</t>
  </si>
  <si>
    <t>ABT_SH</t>
  </si>
  <si>
    <t>STRUCTURAL HEART</t>
  </si>
  <si>
    <t>AVG RM Q12</t>
  </si>
  <si>
    <t>AVG RMQ12</t>
  </si>
  <si>
    <t>which is not inline with the confidence interval in step1. If this value is unsatisfactory, use confidence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</si>
</sst>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8" xfId="1" applyNumberFormat="1" applyFont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165" fontId="2" fillId="0" borderId="3" xfId="0" applyNumberFormat="1" applyFont="1" applyBorder="1"/>
    <xf numFmtId="165" fontId="4" fillId="0" borderId="3" xfId="0" applyNumberFormat="1" applyFont="1" applyBorder="1"/>
    <xf numFmtId="164" fontId="2" fillId="0" borderId="0" xfId="1" applyNumberFormat="1" applyFon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64" fontId="0" fillId="0" borderId="9" xfId="0" applyNumberFormat="1" applyBorder="1"/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4" fontId="0" fillId="0" borderId="0" xfId="0" applyNumberFormat="1"/>
    <xf numFmtId="166" fontId="0" fillId="0" borderId="10" xfId="0" applyNumberFormat="1" applyBorder="1"/>
    <xf numFmtId="166" fontId="0" fillId="0" borderId="5" xfId="0" applyNumberFormat="1" applyBorder="1"/>
    <xf numFmtId="164" fontId="0" fillId="0" borderId="3" xfId="1" applyNumberFormat="1" applyFon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/>
    </xf>
    <xf numFmtId="164" fontId="0" fillId="0" borderId="4" xfId="1" applyNumberFormat="1" applyFont="1" applyFill="1" applyBorder="1" applyAlignment="1">
      <alignment horizontal="center"/>
    </xf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9" fontId="0" fillId="3" borderId="0" xfId="1" applyFont="1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6" fontId="4" fillId="0" borderId="0" xfId="0" applyNumberFormat="1" applyFont="1" applyBorder="1"/>
    <xf numFmtId="166" fontId="4" fillId="0" borderId="3" xfId="0" applyNumberFormat="1" applyFont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E1" zoomScale="70" zoomScaleNormal="70" workbookViewId="0">
      <selection activeCell="AC21" sqref="AC21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21" t="s">
        <v>171</v>
      </c>
      <c r="B1" s="122"/>
      <c r="C1" s="123"/>
      <c r="K1" s="130" t="s">
        <v>35</v>
      </c>
      <c r="L1" s="131"/>
      <c r="M1" s="64" t="s">
        <v>31</v>
      </c>
      <c r="N1" s="64" t="s">
        <v>32</v>
      </c>
      <c r="O1" s="4" t="s">
        <v>39</v>
      </c>
      <c r="P1" s="132" t="s">
        <v>41</v>
      </c>
      <c r="Q1" s="133"/>
    </row>
    <row r="2" spans="1:37" x14ac:dyDescent="0.2">
      <c r="A2" s="124"/>
      <c r="B2" s="125"/>
      <c r="C2" s="126"/>
      <c r="K2" s="62" t="s">
        <v>37</v>
      </c>
      <c r="L2" s="63"/>
      <c r="M2" s="65">
        <f>$B$7*($AK$25-2*$AK$26)</f>
        <v>190.6998062013154</v>
      </c>
      <c r="N2" s="65">
        <f>$B$7*($AK$25+2*$AK$26)</f>
        <v>206.34057880646267</v>
      </c>
      <c r="O2" s="68">
        <f>AVERAGE(M2:N2)</f>
        <v>198.52019250388904</v>
      </c>
      <c r="P2" s="134">
        <f>$O$2/AF14-1</f>
        <v>0.24776990888679484</v>
      </c>
      <c r="Q2" s="135"/>
    </row>
    <row r="3" spans="1:37" x14ac:dyDescent="0.2">
      <c r="A3" s="127"/>
      <c r="B3" s="128"/>
      <c r="C3" s="129"/>
      <c r="K3" s="47" t="s">
        <v>38</v>
      </c>
      <c r="L3" s="20"/>
      <c r="M3" s="67">
        <f>$C$7*($AK$25-2*$AK$26)</f>
        <v>205.14555826884086</v>
      </c>
      <c r="N3" s="67">
        <f>$C$7*($AK$25+2*$AK$26)</f>
        <v>221.97113922644124</v>
      </c>
      <c r="O3" s="69">
        <f>AVERAGE(M3:N3)</f>
        <v>213.55834874764105</v>
      </c>
      <c r="P3" s="136">
        <f>$O$3/AF15-1</f>
        <v>0.34313426885308829</v>
      </c>
      <c r="Q3" s="137"/>
    </row>
    <row r="4" spans="1:37" x14ac:dyDescent="0.2">
      <c r="A4" s="53"/>
      <c r="B4" s="53"/>
      <c r="C4" s="53"/>
      <c r="N4" s="4" t="s">
        <v>40</v>
      </c>
      <c r="O4" s="69">
        <f>AVERAGE(O2:O3)</f>
        <v>206.03927062576503</v>
      </c>
      <c r="P4" s="136">
        <f>$O$4/AF15-1</f>
        <v>0.2958444693444342</v>
      </c>
      <c r="Q4" s="137"/>
    </row>
    <row r="5" spans="1:37" x14ac:dyDescent="0.2">
      <c r="A5" s="61" t="s">
        <v>34</v>
      </c>
      <c r="B5" s="51" t="s">
        <v>31</v>
      </c>
      <c r="C5" s="52" t="s">
        <v>32</v>
      </c>
      <c r="D5" s="100"/>
      <c r="E5" s="100"/>
    </row>
    <row r="6" spans="1:37" ht="15.75" x14ac:dyDescent="0.25">
      <c r="A6" s="55" t="s">
        <v>33</v>
      </c>
      <c r="B6" s="59">
        <v>38557.606224738753</v>
      </c>
      <c r="C6" s="60">
        <v>41478.39377526124</v>
      </c>
    </row>
    <row r="7" spans="1:37" ht="14.25" x14ac:dyDescent="0.2">
      <c r="A7" s="56" t="s">
        <v>36</v>
      </c>
      <c r="B7" s="57">
        <f>B6*$AK$24</f>
        <v>770.00663300050894</v>
      </c>
      <c r="C7" s="58">
        <f>C6*$AK$24</f>
        <v>828.33561157814268</v>
      </c>
    </row>
    <row r="8" spans="1:37" x14ac:dyDescent="0.2">
      <c r="F8" s="53"/>
      <c r="G8" s="53"/>
      <c r="H8" s="53"/>
    </row>
    <row r="9" spans="1:37" x14ac:dyDescent="0.2">
      <c r="F9" s="53"/>
      <c r="G9" s="53"/>
      <c r="H9" s="53"/>
    </row>
    <row r="10" spans="1:37" x14ac:dyDescent="0.2">
      <c r="H10" s="120" t="s">
        <v>15</v>
      </c>
      <c r="I10" s="120"/>
      <c r="J10" s="37">
        <f>AVERAGE(F13:AJ13)</f>
        <v>1.0323140914210667</v>
      </c>
      <c r="AG10" s="120" t="s">
        <v>16</v>
      </c>
      <c r="AH10" s="120"/>
      <c r="AI10" s="120"/>
      <c r="AJ10" s="89">
        <f>AVERAGE(AF13:AJ13)</f>
        <v>1.306063049996538</v>
      </c>
    </row>
    <row r="11" spans="1:37" x14ac:dyDescent="0.2">
      <c r="A11" s="54" t="s">
        <v>6</v>
      </c>
      <c r="B11" s="138">
        <v>2013</v>
      </c>
      <c r="C11" s="139"/>
      <c r="D11" s="139"/>
      <c r="E11" s="140"/>
      <c r="F11" s="150">
        <v>2014</v>
      </c>
      <c r="G11" s="150"/>
      <c r="H11" s="150"/>
      <c r="I11" s="151"/>
      <c r="J11" s="152">
        <v>2015</v>
      </c>
      <c r="K11" s="153"/>
      <c r="L11" s="153"/>
      <c r="M11" s="154"/>
      <c r="N11" s="152">
        <v>2016</v>
      </c>
      <c r="O11" s="153"/>
      <c r="P11" s="153"/>
      <c r="Q11" s="154"/>
      <c r="R11" s="155">
        <v>2017</v>
      </c>
      <c r="S11" s="156"/>
      <c r="T11" s="156"/>
      <c r="U11" s="157"/>
      <c r="V11" s="113">
        <v>2018</v>
      </c>
      <c r="W11" s="114"/>
      <c r="X11" s="114"/>
      <c r="Y11" s="115"/>
      <c r="Z11" s="158">
        <v>2019</v>
      </c>
      <c r="AA11" s="159"/>
      <c r="AB11" s="159"/>
      <c r="AC11" s="160"/>
      <c r="AD11" s="161">
        <v>2020</v>
      </c>
      <c r="AE11" s="150"/>
      <c r="AF11" s="150"/>
      <c r="AG11" s="151"/>
      <c r="AH11" s="152">
        <v>2021</v>
      </c>
      <c r="AI11" s="153"/>
      <c r="AJ11" s="153"/>
      <c r="AK11" s="154"/>
    </row>
    <row r="12" spans="1:37" x14ac:dyDescent="0.2">
      <c r="A12" s="15" t="s">
        <v>19</v>
      </c>
      <c r="B12" s="90" t="s">
        <v>20</v>
      </c>
      <c r="C12" s="91" t="s">
        <v>3</v>
      </c>
      <c r="D12" s="91" t="s">
        <v>4</v>
      </c>
      <c r="E12" s="92" t="s">
        <v>5</v>
      </c>
      <c r="F12" s="21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2" t="s">
        <v>20</v>
      </c>
      <c r="O12" s="23" t="s">
        <v>3</v>
      </c>
      <c r="P12" s="23" t="s">
        <v>4</v>
      </c>
      <c r="Q12" s="23" t="s">
        <v>5</v>
      </c>
      <c r="R12" s="24" t="s">
        <v>20</v>
      </c>
      <c r="S12" s="25" t="s">
        <v>3</v>
      </c>
      <c r="T12" s="25" t="s">
        <v>4</v>
      </c>
      <c r="U12" s="25" t="s">
        <v>5</v>
      </c>
      <c r="V12" s="26" t="s">
        <v>20</v>
      </c>
      <c r="W12" s="27" t="s">
        <v>3</v>
      </c>
      <c r="X12" s="27" t="s">
        <v>4</v>
      </c>
      <c r="Y12" s="27" t="s">
        <v>5</v>
      </c>
      <c r="Z12" s="28" t="s">
        <v>20</v>
      </c>
      <c r="AA12" s="29" t="s">
        <v>3</v>
      </c>
      <c r="AB12" s="29" t="s">
        <v>4</v>
      </c>
      <c r="AC12" s="29" t="s">
        <v>5</v>
      </c>
      <c r="AD12" s="30" t="s">
        <v>20</v>
      </c>
      <c r="AE12" s="21" t="s">
        <v>3</v>
      </c>
      <c r="AF12" s="21" t="s">
        <v>4</v>
      </c>
      <c r="AG12" s="21" t="s">
        <v>5</v>
      </c>
      <c r="AH12" s="39" t="s">
        <v>20</v>
      </c>
      <c r="AI12" s="40" t="s">
        <v>3</v>
      </c>
      <c r="AJ12" s="41" t="s">
        <v>21</v>
      </c>
      <c r="AK12" s="31" t="s">
        <v>22</v>
      </c>
    </row>
    <row r="13" spans="1:37" x14ac:dyDescent="0.2">
      <c r="A13" s="36" t="s">
        <v>2</v>
      </c>
      <c r="B13" s="32"/>
      <c r="C13" s="32"/>
      <c r="D13" s="32"/>
      <c r="E13" s="32"/>
      <c r="F13" s="96"/>
      <c r="G13" s="96"/>
      <c r="H13" s="97"/>
      <c r="I13" s="98"/>
      <c r="J13" s="99">
        <f>J15/F15</f>
        <v>0.5145631067961165</v>
      </c>
      <c r="K13" s="99">
        <f t="shared" ref="K13:AI13" si="0">K15/G15</f>
        <v>0.48732394366197179</v>
      </c>
      <c r="L13" s="99">
        <f t="shared" si="0"/>
        <v>0.4872641509433962</v>
      </c>
      <c r="M13" s="99">
        <f t="shared" si="0"/>
        <v>0.47431192660550459</v>
      </c>
      <c r="N13" s="99">
        <f t="shared" si="0"/>
        <v>0.82075471698113212</v>
      </c>
      <c r="O13" s="99">
        <f t="shared" si="0"/>
        <v>0.92485549132947975</v>
      </c>
      <c r="P13" s="99">
        <f t="shared" si="0"/>
        <v>0.92933204259438529</v>
      </c>
      <c r="Q13" s="99">
        <f t="shared" si="0"/>
        <v>0.93810444874274657</v>
      </c>
      <c r="R13" s="99">
        <f t="shared" si="0"/>
        <v>1.2298850574712643</v>
      </c>
      <c r="S13" s="99">
        <f t="shared" si="0"/>
        <v>1.0833333333333333</v>
      </c>
      <c r="T13" s="99">
        <f t="shared" si="0"/>
        <v>1.1354166666666667</v>
      </c>
      <c r="U13" s="99">
        <f t="shared" si="0"/>
        <v>1.1546391752577319</v>
      </c>
      <c r="V13" s="99">
        <f t="shared" si="0"/>
        <v>1.0186915887850467</v>
      </c>
      <c r="W13" s="99">
        <f t="shared" si="0"/>
        <v>1.1346153846153846</v>
      </c>
      <c r="X13" s="99">
        <f t="shared" si="0"/>
        <v>1.1559633027522935</v>
      </c>
      <c r="Y13" s="99">
        <f t="shared" si="0"/>
        <v>1.2053571428571428</v>
      </c>
      <c r="Z13" s="99">
        <f t="shared" si="0"/>
        <v>1.2477064220183487</v>
      </c>
      <c r="AA13" s="99">
        <f t="shared" si="0"/>
        <v>1.2881355932203389</v>
      </c>
      <c r="AB13" s="99">
        <f t="shared" si="0"/>
        <v>1.253968253968254</v>
      </c>
      <c r="AC13" s="99">
        <f t="shared" si="0"/>
        <v>1.2592592592592593</v>
      </c>
      <c r="AD13" s="99">
        <f t="shared" si="0"/>
        <v>1</v>
      </c>
      <c r="AE13" s="99">
        <f t="shared" si="0"/>
        <v>0.59868421052631582</v>
      </c>
      <c r="AF13" s="99">
        <f t="shared" si="0"/>
        <v>1.0063291139240507</v>
      </c>
      <c r="AG13" s="99">
        <f t="shared" si="0"/>
        <v>0.90588235294117647</v>
      </c>
      <c r="AH13" s="99">
        <f t="shared" si="0"/>
        <v>1.2426470588235294</v>
      </c>
      <c r="AI13" s="99">
        <f t="shared" si="0"/>
        <v>2.098901098901099</v>
      </c>
      <c r="AJ13" s="99">
        <f>AJ14/AF14</f>
        <v>1.2765556253928347</v>
      </c>
      <c r="AK13" s="33"/>
    </row>
    <row r="14" spans="1:37" x14ac:dyDescent="0.2">
      <c r="A14" s="16" t="s">
        <v>0</v>
      </c>
      <c r="B14" s="8"/>
      <c r="C14" s="8"/>
      <c r="D14" s="8"/>
      <c r="E14" s="8"/>
      <c r="F14" s="8">
        <v>206</v>
      </c>
      <c r="G14" s="8">
        <v>213</v>
      </c>
      <c r="H14" s="8">
        <v>212</v>
      </c>
      <c r="I14" s="8">
        <v>218</v>
      </c>
      <c r="J14" s="10">
        <v>106</v>
      </c>
      <c r="K14" s="6">
        <v>103.8</v>
      </c>
      <c r="L14" s="6">
        <v>103.3</v>
      </c>
      <c r="M14" s="6">
        <v>103.4</v>
      </c>
      <c r="N14" s="10">
        <v>82.9</v>
      </c>
      <c r="O14" s="6">
        <v>91.8</v>
      </c>
      <c r="P14" s="6">
        <v>91.6</v>
      </c>
      <c r="Q14" s="6">
        <v>92.6</v>
      </c>
      <c r="R14" s="10">
        <v>107</v>
      </c>
      <c r="S14" s="6">
        <v>104</v>
      </c>
      <c r="T14" s="6">
        <v>109</v>
      </c>
      <c r="U14" s="6">
        <v>112.1</v>
      </c>
      <c r="V14" s="10">
        <v>109</v>
      </c>
      <c r="W14" s="6">
        <v>118</v>
      </c>
      <c r="X14" s="6">
        <v>126</v>
      </c>
      <c r="Y14" s="6">
        <v>135</v>
      </c>
      <c r="Z14" s="10">
        <v>136</v>
      </c>
      <c r="AA14" s="6">
        <v>152</v>
      </c>
      <c r="AB14" s="6">
        <v>158</v>
      </c>
      <c r="AC14" s="6">
        <v>170</v>
      </c>
      <c r="AD14" s="10">
        <v>136</v>
      </c>
      <c r="AE14" s="6">
        <v>91</v>
      </c>
      <c r="AF14" s="6">
        <v>159.1</v>
      </c>
      <c r="AG14" s="6">
        <v>154</v>
      </c>
      <c r="AH14" s="6">
        <v>169</v>
      </c>
      <c r="AI14" s="6">
        <v>191</v>
      </c>
      <c r="AJ14" s="6">
        <v>203.1</v>
      </c>
      <c r="AK14" s="6">
        <v>214.3</v>
      </c>
    </row>
    <row r="15" spans="1:37" x14ac:dyDescent="0.2">
      <c r="A15" s="16" t="s">
        <v>1</v>
      </c>
      <c r="B15" s="6"/>
      <c r="C15" s="6"/>
      <c r="D15" s="6"/>
      <c r="E15" s="6"/>
      <c r="F15" s="6">
        <v>206</v>
      </c>
      <c r="G15" s="6">
        <v>213</v>
      </c>
      <c r="H15" s="6">
        <v>212</v>
      </c>
      <c r="I15" s="6">
        <v>218</v>
      </c>
      <c r="J15" s="10">
        <v>106</v>
      </c>
      <c r="K15" s="6">
        <v>103.8</v>
      </c>
      <c r="L15" s="6">
        <v>103.3</v>
      </c>
      <c r="M15" s="6">
        <v>103.4</v>
      </c>
      <c r="N15" s="10">
        <v>87</v>
      </c>
      <c r="O15" s="6">
        <v>96</v>
      </c>
      <c r="P15" s="6">
        <v>96</v>
      </c>
      <c r="Q15" s="6">
        <v>97</v>
      </c>
      <c r="R15" s="10">
        <v>107</v>
      </c>
      <c r="S15" s="6">
        <v>104</v>
      </c>
      <c r="T15" s="6">
        <v>109</v>
      </c>
      <c r="U15" s="6">
        <v>112</v>
      </c>
      <c r="V15" s="10">
        <v>109</v>
      </c>
      <c r="W15" s="6">
        <v>118</v>
      </c>
      <c r="X15" s="6">
        <v>126</v>
      </c>
      <c r="Y15" s="6">
        <v>135</v>
      </c>
      <c r="Z15" s="10">
        <v>136</v>
      </c>
      <c r="AA15" s="6">
        <v>152</v>
      </c>
      <c r="AB15" s="6">
        <v>158</v>
      </c>
      <c r="AC15" s="6">
        <v>170</v>
      </c>
      <c r="AD15" s="10">
        <v>136</v>
      </c>
      <c r="AE15" s="6">
        <v>91</v>
      </c>
      <c r="AF15" s="6">
        <v>159</v>
      </c>
      <c r="AG15" s="6">
        <v>154</v>
      </c>
      <c r="AH15" s="10">
        <v>169</v>
      </c>
      <c r="AI15" s="6">
        <v>191</v>
      </c>
      <c r="AJ15" s="10"/>
      <c r="AK15" s="11"/>
    </row>
    <row r="16" spans="1:37" x14ac:dyDescent="0.2">
      <c r="A16" s="16" t="s">
        <v>158</v>
      </c>
      <c r="B16" s="10"/>
      <c r="C16" s="6"/>
      <c r="D16" s="6"/>
      <c r="E16" s="11"/>
      <c r="F16" s="10">
        <v>4755</v>
      </c>
      <c r="G16" s="6">
        <v>5057</v>
      </c>
      <c r="H16" s="6">
        <v>5079</v>
      </c>
      <c r="I16" s="11">
        <v>5356</v>
      </c>
      <c r="J16" s="10">
        <v>4897</v>
      </c>
      <c r="K16" s="6">
        <v>5170</v>
      </c>
      <c r="L16" s="6">
        <v>5150</v>
      </c>
      <c r="M16" s="11">
        <v>5188</v>
      </c>
      <c r="N16" s="10">
        <v>4885</v>
      </c>
      <c r="O16" s="6">
        <v>5333</v>
      </c>
      <c r="P16" s="6">
        <v>5302</v>
      </c>
      <c r="Q16" s="11">
        <v>5333</v>
      </c>
      <c r="R16" s="10">
        <v>6335</v>
      </c>
      <c r="S16" s="6">
        <v>6637</v>
      </c>
      <c r="T16" s="6">
        <v>6829</v>
      </c>
      <c r="U16" s="11">
        <v>7589</v>
      </c>
      <c r="V16" s="10">
        <v>7390</v>
      </c>
      <c r="W16" s="6">
        <v>7767</v>
      </c>
      <c r="X16" s="6">
        <v>7656</v>
      </c>
      <c r="Y16" s="11">
        <v>7765</v>
      </c>
      <c r="Z16" s="10">
        <v>7535</v>
      </c>
      <c r="AA16" s="6">
        <v>7979</v>
      </c>
      <c r="AB16" s="6">
        <v>8076</v>
      </c>
      <c r="AC16" s="11">
        <v>8314</v>
      </c>
      <c r="AD16" s="10">
        <v>7726</v>
      </c>
      <c r="AE16" s="6">
        <v>7328</v>
      </c>
      <c r="AF16" s="6">
        <v>8853</v>
      </c>
      <c r="AG16" s="11">
        <v>10701</v>
      </c>
      <c r="AH16" s="10">
        <v>10456</v>
      </c>
      <c r="AI16">
        <v>10223</v>
      </c>
      <c r="AJ16" s="93">
        <v>9554.4</v>
      </c>
      <c r="AK16" s="11"/>
    </row>
    <row r="17" spans="1:38" x14ac:dyDescent="0.2">
      <c r="A17" s="101" t="s">
        <v>18</v>
      </c>
      <c r="B17" s="102"/>
      <c r="C17" s="102"/>
      <c r="D17" s="102"/>
      <c r="E17" s="102"/>
      <c r="F17" s="103">
        <f t="shared" ref="F17:L17" si="1">F15/F16</f>
        <v>4.3322818086225026E-2</v>
      </c>
      <c r="G17" s="103">
        <f t="shared" si="1"/>
        <v>4.2119833893612811E-2</v>
      </c>
      <c r="H17" s="103">
        <f t="shared" si="1"/>
        <v>4.1740500098444579E-2</v>
      </c>
      <c r="I17" s="103">
        <f t="shared" si="1"/>
        <v>4.0702016430171767E-2</v>
      </c>
      <c r="J17" s="103">
        <f t="shared" si="1"/>
        <v>2.1645905656524404E-2</v>
      </c>
      <c r="K17" s="103">
        <f t="shared" si="1"/>
        <v>2.0077369439071565E-2</v>
      </c>
      <c r="L17" s="103">
        <f t="shared" si="1"/>
        <v>2.0058252427184467E-2</v>
      </c>
      <c r="M17" s="103">
        <f t="shared" ref="M17:AA17" si="2">M15/M16</f>
        <v>1.9930609097918273E-2</v>
      </c>
      <c r="N17" s="103">
        <f t="shared" si="2"/>
        <v>1.7809621289662233E-2</v>
      </c>
      <c r="O17" s="103">
        <f>O15/O16</f>
        <v>1.8001125070316894E-2</v>
      </c>
      <c r="P17" s="103">
        <f>P15/P16</f>
        <v>1.8106374952847983E-2</v>
      </c>
      <c r="Q17" s="103">
        <f>Q15/Q16</f>
        <v>1.8188636789799362E-2</v>
      </c>
      <c r="R17" s="103">
        <f>R15/R16</f>
        <v>1.6890292028413575E-2</v>
      </c>
      <c r="S17" s="103">
        <f t="shared" si="2"/>
        <v>1.5669730299834261E-2</v>
      </c>
      <c r="T17" s="103">
        <f t="shared" si="2"/>
        <v>1.5961341338409724E-2</v>
      </c>
      <c r="U17" s="103">
        <f t="shared" si="2"/>
        <v>1.4758202661747266E-2</v>
      </c>
      <c r="V17" s="103">
        <f t="shared" si="2"/>
        <v>1.4749661705006765E-2</v>
      </c>
      <c r="W17" s="103">
        <f t="shared" si="2"/>
        <v>1.5192481009398738E-2</v>
      </c>
      <c r="X17" s="103">
        <f t="shared" si="2"/>
        <v>1.6457680250783698E-2</v>
      </c>
      <c r="Y17" s="103">
        <f t="shared" si="2"/>
        <v>1.7385705086928525E-2</v>
      </c>
      <c r="Z17" s="103">
        <f t="shared" si="2"/>
        <v>1.8049104180491042E-2</v>
      </c>
      <c r="AA17" s="103">
        <f t="shared" si="2"/>
        <v>1.905000626644943E-2</v>
      </c>
      <c r="AB17" s="103">
        <f t="shared" ref="AB17:AE17" si="3">AB15/AB16</f>
        <v>1.9564140663694898E-2</v>
      </c>
      <c r="AC17" s="103">
        <f t="shared" si="3"/>
        <v>2.0447438056290596E-2</v>
      </c>
      <c r="AD17" s="103">
        <f t="shared" si="3"/>
        <v>1.7602899301061351E-2</v>
      </c>
      <c r="AE17" s="103">
        <f t="shared" si="3"/>
        <v>1.2418122270742358E-2</v>
      </c>
      <c r="AF17" s="103">
        <f>AF15/AF16</f>
        <v>1.7960013554727212E-2</v>
      </c>
      <c r="AG17" s="103">
        <f>AG15/AG16</f>
        <v>1.4391178394542566E-2</v>
      </c>
      <c r="AH17" s="103">
        <f>AH15/AH16</f>
        <v>1.6162968630451417E-2</v>
      </c>
      <c r="AI17" s="103">
        <f>AI15/AI16</f>
        <v>1.8683361048615867E-2</v>
      </c>
      <c r="AJ17" s="104">
        <f>AJ14/AJ16</f>
        <v>2.1257221803566942E-2</v>
      </c>
      <c r="AK17" s="105"/>
    </row>
    <row r="18" spans="1:38" x14ac:dyDescent="0.2">
      <c r="A18" s="101" t="s">
        <v>24</v>
      </c>
      <c r="B18" s="103"/>
      <c r="C18" s="103"/>
      <c r="D18" s="103"/>
      <c r="E18" s="106"/>
      <c r="F18" s="103">
        <f>F15/SUM(F15:I15)</f>
        <v>0.24263839811542992</v>
      </c>
      <c r="G18" s="103">
        <f>G15/SUM(F15:I15)</f>
        <v>0.25088339222614842</v>
      </c>
      <c r="H18" s="103">
        <f>H15/SUM(F15:I15)</f>
        <v>0.24970553592461719</v>
      </c>
      <c r="I18" s="106">
        <f>I15/SUM(F15:I15)</f>
        <v>0.25677267373380447</v>
      </c>
      <c r="J18" s="103">
        <f>J15/SUM(J15:M15)</f>
        <v>0.25450180072028811</v>
      </c>
      <c r="K18" s="103">
        <f>K15/SUM(J15:M15)</f>
        <v>0.24921968787515006</v>
      </c>
      <c r="L18" s="103">
        <f>L15/SUM(J15:M15)</f>
        <v>0.24801920768307323</v>
      </c>
      <c r="M18" s="106">
        <f>M15/SUM(J15:M15)</f>
        <v>0.24825930372148861</v>
      </c>
      <c r="N18" s="103">
        <f>N15/SUM(N15:Q15)</f>
        <v>0.23138297872340424</v>
      </c>
      <c r="O18" s="103">
        <f>O15/SUM(N15:Q15)</f>
        <v>0.25531914893617019</v>
      </c>
      <c r="P18" s="103">
        <f>P15/SUM(N15:Q15)</f>
        <v>0.25531914893617019</v>
      </c>
      <c r="Q18" s="106">
        <f>Q15/SUM(N15:Q15)</f>
        <v>0.25797872340425532</v>
      </c>
      <c r="R18" s="103">
        <f>R15/SUM(R15:U15)</f>
        <v>0.24768518518518517</v>
      </c>
      <c r="S18" s="103">
        <f>S15/SUM(R15:U15)</f>
        <v>0.24074074074074073</v>
      </c>
      <c r="T18" s="103">
        <f>T15/SUM(R15:U15)</f>
        <v>0.25231481481481483</v>
      </c>
      <c r="U18" s="106">
        <f>U15/SUM(R15:U15)</f>
        <v>0.25925925925925924</v>
      </c>
      <c r="V18" s="103">
        <f>V15/SUM(V15:Y15)</f>
        <v>0.22336065573770492</v>
      </c>
      <c r="W18" s="103">
        <f>W15/SUM(V15:Y15)</f>
        <v>0.24180327868852458</v>
      </c>
      <c r="X18" s="103">
        <f>X15/SUM(V15:Y15)</f>
        <v>0.25819672131147542</v>
      </c>
      <c r="Y18" s="106">
        <f>Y15/SUM(V15:Y15)</f>
        <v>0.27663934426229508</v>
      </c>
      <c r="Z18" s="103">
        <f>Z15/SUM(Z15:AC15)</f>
        <v>0.22077922077922077</v>
      </c>
      <c r="AA18" s="103">
        <f>AA15/SUM(Z15:AC15)</f>
        <v>0.24675324675324675</v>
      </c>
      <c r="AB18" s="103">
        <f>AB15/SUM(Z15:AC15)</f>
        <v>0.2564935064935065</v>
      </c>
      <c r="AC18" s="106">
        <f>AC15/SUM(Z15:AC15)</f>
        <v>0.27597402597402598</v>
      </c>
      <c r="AD18" s="103"/>
      <c r="AE18" s="103"/>
      <c r="AF18" s="103"/>
      <c r="AG18" s="106"/>
      <c r="AH18" s="103">
        <f>AH15/SUM(AH15:AI15,AJ14:AK14)</f>
        <v>0.21739130434782605</v>
      </c>
      <c r="AI18" s="103">
        <f>AI15/SUM(AH15:AI15,AJ14:AK14)</f>
        <v>0.24569076408541288</v>
      </c>
      <c r="AJ18" s="103">
        <f>AJ14/SUM(AH15:AI15,AJ14:AK14)</f>
        <v>0.26125546694108565</v>
      </c>
      <c r="AK18" s="106">
        <f>AK14/SUM(AH15:AI15,AJ14:AK14)</f>
        <v>0.27566246462567529</v>
      </c>
      <c r="AL18" s="3"/>
    </row>
    <row r="19" spans="1:38" x14ac:dyDescent="0.2">
      <c r="A19" s="17" t="s">
        <v>17</v>
      </c>
      <c r="B19" s="13"/>
      <c r="C19" s="13"/>
      <c r="D19" s="13"/>
      <c r="E19" s="13"/>
      <c r="F19" s="13"/>
      <c r="G19" s="13"/>
      <c r="H19" s="13"/>
      <c r="I19" s="13"/>
      <c r="J19" s="12"/>
      <c r="K19" s="13"/>
      <c r="L19" s="13"/>
      <c r="M19" s="13"/>
      <c r="N19" s="12"/>
      <c r="O19" s="13"/>
      <c r="P19" s="13"/>
      <c r="Q19" s="6"/>
      <c r="R19" s="94"/>
      <c r="S19" s="94">
        <v>109.8</v>
      </c>
      <c r="T19" s="94">
        <v>105.3</v>
      </c>
      <c r="U19" s="94">
        <v>108.8</v>
      </c>
      <c r="V19" s="94">
        <v>117.5</v>
      </c>
      <c r="W19" s="67">
        <v>113.1</v>
      </c>
      <c r="X19" s="67">
        <v>118.3</v>
      </c>
      <c r="Y19" s="67">
        <v>129.1</v>
      </c>
      <c r="Z19" s="94">
        <v>132.5</v>
      </c>
      <c r="AA19" s="67">
        <v>141.69999999999999</v>
      </c>
      <c r="AB19" s="67">
        <v>158.4</v>
      </c>
      <c r="AC19" s="67">
        <v>169.1</v>
      </c>
      <c r="AD19" s="94">
        <v>160.30000000000001</v>
      </c>
      <c r="AE19" s="67">
        <v>89.8</v>
      </c>
      <c r="AF19" s="67">
        <v>144.80000000000001</v>
      </c>
      <c r="AG19" s="67">
        <v>180.7</v>
      </c>
      <c r="AH19" s="94">
        <v>158.30000000000001</v>
      </c>
      <c r="AI19" s="67">
        <v>177</v>
      </c>
      <c r="AJ19" s="95"/>
      <c r="AK19" s="14"/>
    </row>
    <row r="20" spans="1:38" x14ac:dyDescent="0.2">
      <c r="M20" s="116" t="s">
        <v>7</v>
      </c>
      <c r="N20" s="162"/>
      <c r="O20" s="7"/>
      <c r="P20" s="8"/>
      <c r="Q20" s="8"/>
      <c r="R20" s="8"/>
      <c r="S20" s="8">
        <f t="shared" ref="S20:AI20" si="4">IF(S15&gt;S19,1,0)</f>
        <v>0</v>
      </c>
      <c r="T20" s="8">
        <f t="shared" si="4"/>
        <v>1</v>
      </c>
      <c r="U20" s="8">
        <f t="shared" si="4"/>
        <v>1</v>
      </c>
      <c r="V20" s="8">
        <f t="shared" si="4"/>
        <v>0</v>
      </c>
      <c r="W20" s="8">
        <f t="shared" si="4"/>
        <v>1</v>
      </c>
      <c r="X20" s="8">
        <f t="shared" si="4"/>
        <v>1</v>
      </c>
      <c r="Y20" s="8">
        <f t="shared" si="4"/>
        <v>1</v>
      </c>
      <c r="Z20" s="8">
        <f t="shared" si="4"/>
        <v>1</v>
      </c>
      <c r="AA20" s="8">
        <f t="shared" si="4"/>
        <v>1</v>
      </c>
      <c r="AB20" s="8">
        <f t="shared" si="4"/>
        <v>0</v>
      </c>
      <c r="AC20" s="8">
        <f t="shared" si="4"/>
        <v>1</v>
      </c>
      <c r="AD20" s="8">
        <f t="shared" si="4"/>
        <v>0</v>
      </c>
      <c r="AE20" s="8">
        <f t="shared" si="4"/>
        <v>1</v>
      </c>
      <c r="AF20" s="8">
        <f t="shared" si="4"/>
        <v>1</v>
      </c>
      <c r="AG20" s="8">
        <f t="shared" si="4"/>
        <v>0</v>
      </c>
      <c r="AH20" s="8">
        <f t="shared" si="4"/>
        <v>1</v>
      </c>
      <c r="AI20" s="9">
        <f t="shared" si="4"/>
        <v>1</v>
      </c>
      <c r="AJ20" s="47" t="s">
        <v>8</v>
      </c>
      <c r="AK20" s="44">
        <f>AVERAGE(O20:AI20)</f>
        <v>0.70588235294117652</v>
      </c>
    </row>
    <row r="21" spans="1:38" x14ac:dyDescent="0.2">
      <c r="M21" s="111" t="s">
        <v>9</v>
      </c>
      <c r="N21" s="112"/>
      <c r="O21" s="10"/>
      <c r="P21" s="6"/>
      <c r="Q21" s="6"/>
      <c r="R21" s="6"/>
      <c r="S21" s="6"/>
      <c r="T21" s="6"/>
      <c r="U21" s="6"/>
      <c r="V21" s="6">
        <f t="shared" ref="V21:AI21" si="5">AVERAGE(S20:V20)</f>
        <v>0.5</v>
      </c>
      <c r="W21" s="6">
        <f t="shared" si="5"/>
        <v>0.75</v>
      </c>
      <c r="X21" s="6">
        <f t="shared" si="5"/>
        <v>0.75</v>
      </c>
      <c r="Y21" s="6">
        <f t="shared" si="5"/>
        <v>0.75</v>
      </c>
      <c r="Z21" s="6">
        <f t="shared" si="5"/>
        <v>1</v>
      </c>
      <c r="AA21" s="6">
        <f t="shared" si="5"/>
        <v>1</v>
      </c>
      <c r="AB21" s="6">
        <f t="shared" si="5"/>
        <v>0.75</v>
      </c>
      <c r="AC21" s="6">
        <f t="shared" si="5"/>
        <v>0.75</v>
      </c>
      <c r="AD21" s="6">
        <f t="shared" si="5"/>
        <v>0.5</v>
      </c>
      <c r="AE21" s="6">
        <f t="shared" si="5"/>
        <v>0.5</v>
      </c>
      <c r="AF21" s="6">
        <f t="shared" si="5"/>
        <v>0.75</v>
      </c>
      <c r="AG21" s="6">
        <f t="shared" si="5"/>
        <v>0.5</v>
      </c>
      <c r="AH21" s="6">
        <f>AVERAGE(AE20:AH20)</f>
        <v>0.75</v>
      </c>
      <c r="AI21" s="11">
        <f t="shared" si="5"/>
        <v>0.75</v>
      </c>
      <c r="AJ21" s="43" t="s">
        <v>10</v>
      </c>
      <c r="AK21" s="44">
        <f>AVERAGE(R21:AI21)</f>
        <v>0.7142857142857143</v>
      </c>
    </row>
    <row r="22" spans="1:38" x14ac:dyDescent="0.2">
      <c r="M22" s="148" t="s">
        <v>11</v>
      </c>
      <c r="N22" s="149"/>
      <c r="O22" s="48"/>
      <c r="P22" s="19"/>
      <c r="Q22" s="19"/>
      <c r="R22" s="19"/>
      <c r="S22" s="19">
        <f t="shared" ref="S22:AI22" si="6">S15/S19-1</f>
        <v>-5.2823315118397107E-2</v>
      </c>
      <c r="T22" s="19">
        <f t="shared" si="6"/>
        <v>3.5137701804368593E-2</v>
      </c>
      <c r="U22" s="19">
        <f t="shared" si="6"/>
        <v>2.941176470588247E-2</v>
      </c>
      <c r="V22" s="19">
        <f t="shared" si="6"/>
        <v>-7.2340425531914887E-2</v>
      </c>
      <c r="W22" s="19">
        <f t="shared" si="6"/>
        <v>4.3324491600353676E-2</v>
      </c>
      <c r="X22" s="19">
        <f t="shared" si="6"/>
        <v>6.5088757396449815E-2</v>
      </c>
      <c r="Y22" s="19">
        <f t="shared" si="6"/>
        <v>4.5701006971340163E-2</v>
      </c>
      <c r="Z22" s="19">
        <f t="shared" si="6"/>
        <v>2.6415094339622636E-2</v>
      </c>
      <c r="AA22" s="19">
        <f t="shared" si="6"/>
        <v>7.2688779110797519E-2</v>
      </c>
      <c r="AB22" s="19">
        <f t="shared" si="6"/>
        <v>-2.525252525252597E-3</v>
      </c>
      <c r="AC22" s="19">
        <f t="shared" si="6"/>
        <v>5.3222945002957545E-3</v>
      </c>
      <c r="AD22" s="19">
        <f t="shared" si="6"/>
        <v>-0.1515907673112914</v>
      </c>
      <c r="AE22" s="19">
        <f t="shared" si="6"/>
        <v>1.3363028953229383E-2</v>
      </c>
      <c r="AF22" s="19">
        <f t="shared" si="6"/>
        <v>9.8066298342541325E-2</v>
      </c>
      <c r="AG22" s="19">
        <f t="shared" si="6"/>
        <v>-0.14775871610403979</v>
      </c>
      <c r="AH22" s="19">
        <f t="shared" si="6"/>
        <v>6.759317751105498E-2</v>
      </c>
      <c r="AI22" s="42">
        <f t="shared" si="6"/>
        <v>7.909604519774005E-2</v>
      </c>
      <c r="AJ22" s="43" t="s">
        <v>13</v>
      </c>
      <c r="AK22" s="45">
        <f>MEDIAN(O22:AI22)</f>
        <v>2.941176470588247E-2</v>
      </c>
    </row>
    <row r="23" spans="1:38" x14ac:dyDescent="0.2">
      <c r="M23" s="111" t="s">
        <v>12</v>
      </c>
      <c r="N23" s="112"/>
      <c r="O23" s="12"/>
      <c r="P23" s="13"/>
      <c r="Q23" s="13"/>
      <c r="R23" s="34"/>
      <c r="S23" s="34"/>
      <c r="T23" s="34"/>
      <c r="U23" s="34"/>
      <c r="V23" s="34">
        <f t="shared" ref="V23:AI23" si="7">AVERAGE(S22:V22)</f>
        <v>-1.5153568535015233E-2</v>
      </c>
      <c r="W23" s="34">
        <f t="shared" si="7"/>
        <v>8.8833831446724631E-3</v>
      </c>
      <c r="X23" s="34">
        <f t="shared" si="7"/>
        <v>1.6371147042692769E-2</v>
      </c>
      <c r="Y23" s="34">
        <f t="shared" si="7"/>
        <v>2.0443457609057192E-2</v>
      </c>
      <c r="Z23" s="34">
        <f t="shared" si="7"/>
        <v>4.5132337576941572E-2</v>
      </c>
      <c r="AA23" s="34">
        <f t="shared" si="7"/>
        <v>5.2473409454552533E-2</v>
      </c>
      <c r="AB23" s="34">
        <f t="shared" si="7"/>
        <v>3.556990697412693E-2</v>
      </c>
      <c r="AC23" s="34">
        <f t="shared" si="7"/>
        <v>2.5475228856365828E-2</v>
      </c>
      <c r="AD23" s="34">
        <f t="shared" si="7"/>
        <v>-1.902623655636268E-2</v>
      </c>
      <c r="AE23" s="34">
        <f t="shared" si="7"/>
        <v>-3.3857674095754714E-2</v>
      </c>
      <c r="AF23" s="34">
        <f t="shared" si="7"/>
        <v>-8.7097863788062335E-3</v>
      </c>
      <c r="AG23" s="34">
        <f t="shared" si="7"/>
        <v>-4.6980039029890119E-2</v>
      </c>
      <c r="AH23" s="34">
        <f t="shared" si="7"/>
        <v>7.8159471756964749E-3</v>
      </c>
      <c r="AI23" s="35">
        <f t="shared" si="7"/>
        <v>2.4249201236824142E-2</v>
      </c>
      <c r="AJ23" s="20" t="s">
        <v>14</v>
      </c>
      <c r="AK23" s="35">
        <f>MEDIAN(O23:AI23)</f>
        <v>1.2627265093682616E-2</v>
      </c>
    </row>
    <row r="24" spans="1:38" x14ac:dyDescent="0.2">
      <c r="M24" s="116" t="s">
        <v>25</v>
      </c>
      <c r="N24" s="117"/>
      <c r="O24" s="80">
        <f>AVERAGE(T22:U22,W22:AA22,AC22,AE22:AF22,AH22:AI22)</f>
        <v>4.8434036702806361E-2</v>
      </c>
      <c r="P24" s="116" t="s">
        <v>29</v>
      </c>
      <c r="Q24" s="117"/>
      <c r="R24" s="49">
        <f>MEDIAN(T22:U22,W22:AA22,AC22,AE22:AF22,AH22:AI22)</f>
        <v>4.451274928584692E-2</v>
      </c>
      <c r="AF24" s="3"/>
      <c r="AG24" s="141" t="s">
        <v>23</v>
      </c>
      <c r="AH24" s="142"/>
      <c r="AI24" s="142"/>
      <c r="AJ24" s="143"/>
      <c r="AK24" s="46">
        <f>AVERAGE(AI17:AJ17)</f>
        <v>1.9970291426091406E-2</v>
      </c>
    </row>
    <row r="25" spans="1:38" x14ac:dyDescent="0.2">
      <c r="M25" s="118" t="s">
        <v>26</v>
      </c>
      <c r="N25" s="119"/>
      <c r="O25" s="35">
        <f>AVERAGE(S22,V22,AD22:AE22,AG22)</f>
        <v>-8.2230039022482757E-2</v>
      </c>
      <c r="P25" s="118" t="s">
        <v>30</v>
      </c>
      <c r="Q25" s="119"/>
      <c r="R25" s="35">
        <f>MEDIAN(S22,V22,AD22:AE22,AG22)</f>
        <v>-7.2340425531914887E-2</v>
      </c>
      <c r="AG25" s="144" t="s">
        <v>27</v>
      </c>
      <c r="AH25" s="145"/>
      <c r="AI25" s="145"/>
      <c r="AJ25" s="145"/>
      <c r="AK25" s="49">
        <f>AVERAGE(AJ18,AB18,X18,P18)</f>
        <v>0.25781621092055945</v>
      </c>
    </row>
    <row r="26" spans="1:38" x14ac:dyDescent="0.2">
      <c r="AG26" s="146" t="s">
        <v>28</v>
      </c>
      <c r="AH26" s="147"/>
      <c r="AI26" s="147"/>
      <c r="AJ26" s="147"/>
      <c r="AK26" s="50">
        <f>_xlfn.STDEV.S(L18,P18,T18,X18,AJ18,H18)</f>
        <v>5.0781291792901164E-3</v>
      </c>
    </row>
    <row r="29" spans="1:38" ht="18" customHeight="1" x14ac:dyDescent="0.2"/>
  </sheetData>
  <mergeCells count="28">
    <mergeCell ref="B11:E11"/>
    <mergeCell ref="M23:N23"/>
    <mergeCell ref="AG24:AJ24"/>
    <mergeCell ref="AG25:AJ25"/>
    <mergeCell ref="AG26:AJ26"/>
    <mergeCell ref="P24:Q24"/>
    <mergeCell ref="P25:Q25"/>
    <mergeCell ref="M22:N22"/>
    <mergeCell ref="F11:I11"/>
    <mergeCell ref="J11:M11"/>
    <mergeCell ref="N11:Q11"/>
    <mergeCell ref="R11:U11"/>
    <mergeCell ref="Z11:AC11"/>
    <mergeCell ref="AD11:AG11"/>
    <mergeCell ref="AH11:AK11"/>
    <mergeCell ref="M20:N20"/>
    <mergeCell ref="AG10:AI10"/>
    <mergeCell ref="A1:C3"/>
    <mergeCell ref="K1:L1"/>
    <mergeCell ref="P1:Q1"/>
    <mergeCell ref="P2:Q2"/>
    <mergeCell ref="P3:Q3"/>
    <mergeCell ref="P4:Q4"/>
    <mergeCell ref="M21:N21"/>
    <mergeCell ref="V11:Y11"/>
    <mergeCell ref="M24:N24"/>
    <mergeCell ref="M25:N25"/>
    <mergeCell ref="H10:I10"/>
  </mergeCells>
  <conditionalFormatting sqref="O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R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4"/>
  <sheetViews>
    <sheetView zoomScale="85" zoomScaleNormal="85" workbookViewId="0">
      <selection activeCell="J44" sqref="J44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7.85546875" bestFit="1" customWidth="1"/>
    <col min="6" max="6" width="12" bestFit="1" customWidth="1"/>
    <col min="7" max="7" width="10.5703125" bestFit="1" customWidth="1"/>
    <col min="8" max="8" width="19.5703125" bestFit="1" customWidth="1"/>
    <col min="9" max="9" width="13.42578125" bestFit="1" customWidth="1"/>
    <col min="10" max="10" width="7.5703125" bestFit="1" customWidth="1"/>
    <col min="11" max="11" width="21.7109375" bestFit="1" customWidth="1"/>
    <col min="12" max="12" width="16.28515625" bestFit="1" customWidth="1"/>
    <col min="13" max="13" width="14.42578125" bestFit="1" customWidth="1"/>
    <col min="14" max="14" width="23.42578125" bestFit="1" customWidth="1"/>
    <col min="15" max="15" width="17.7109375" bestFit="1" customWidth="1"/>
    <col min="16" max="16" width="11.28515625" bestFit="1" customWidth="1"/>
    <col min="17" max="17" width="13.85546875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5" t="s">
        <v>76</v>
      </c>
      <c r="B4" s="165"/>
      <c r="T4" s="77" t="s">
        <v>166</v>
      </c>
    </row>
    <row r="5" spans="1:21" x14ac:dyDescent="0.2">
      <c r="A5" s="18" t="s">
        <v>56</v>
      </c>
      <c r="B5" s="18" t="s">
        <v>57</v>
      </c>
      <c r="C5" s="18" t="s">
        <v>68</v>
      </c>
      <c r="D5" s="18" t="s">
        <v>58</v>
      </c>
      <c r="E5" s="18" t="s">
        <v>59</v>
      </c>
      <c r="F5" s="18" t="s">
        <v>69</v>
      </c>
      <c r="G5" s="18" t="s">
        <v>60</v>
      </c>
      <c r="H5" s="18" t="s">
        <v>61</v>
      </c>
      <c r="I5" s="18" t="s">
        <v>70</v>
      </c>
      <c r="J5" s="18" t="s">
        <v>62</v>
      </c>
      <c r="K5" s="18" t="s">
        <v>63</v>
      </c>
      <c r="L5" s="18" t="s">
        <v>73</v>
      </c>
      <c r="M5" s="18" t="s">
        <v>64</v>
      </c>
      <c r="N5" s="18" t="s">
        <v>65</v>
      </c>
      <c r="O5" s="18" t="s">
        <v>74</v>
      </c>
      <c r="P5" s="18" t="s">
        <v>66</v>
      </c>
      <c r="Q5" s="18" t="s">
        <v>67</v>
      </c>
      <c r="R5" s="18" t="s">
        <v>0</v>
      </c>
      <c r="S5" s="18" t="s">
        <v>72</v>
      </c>
      <c r="T5" s="38" t="s">
        <v>0</v>
      </c>
      <c r="U5" s="38" t="s">
        <v>72</v>
      </c>
    </row>
    <row r="6" spans="1:21" x14ac:dyDescent="0.2">
      <c r="A6" t="s">
        <v>168</v>
      </c>
      <c r="B6" t="s">
        <v>172</v>
      </c>
      <c r="C6" s="6" t="s">
        <v>169</v>
      </c>
      <c r="D6" s="6">
        <v>20180118</v>
      </c>
      <c r="E6" s="65">
        <v>129.686178727</v>
      </c>
      <c r="F6" s="65">
        <v>126.85078412567979</v>
      </c>
      <c r="G6" s="109">
        <v>111.8268407845358</v>
      </c>
      <c r="H6" s="65">
        <v>116.686499721</v>
      </c>
      <c r="I6" s="65">
        <v>139.25366298157681</v>
      </c>
      <c r="J6" s="65">
        <v>124.8607932679585</v>
      </c>
      <c r="K6" s="65"/>
      <c r="L6" s="65"/>
      <c r="M6" s="65"/>
      <c r="N6" s="65"/>
      <c r="O6" s="65"/>
      <c r="P6" s="65"/>
      <c r="Q6" s="65"/>
      <c r="R6" s="6">
        <v>108.8</v>
      </c>
      <c r="S6" s="65">
        <v>112</v>
      </c>
      <c r="T6" s="108"/>
      <c r="U6" s="107"/>
    </row>
    <row r="7" spans="1:21" x14ac:dyDescent="0.2">
      <c r="A7" t="s">
        <v>168</v>
      </c>
      <c r="B7" t="s">
        <v>172</v>
      </c>
      <c r="C7" s="6" t="s">
        <v>42</v>
      </c>
      <c r="D7" s="6">
        <v>20180412</v>
      </c>
      <c r="E7" s="65">
        <v>108.247637</v>
      </c>
      <c r="F7" s="65">
        <v>109.162684</v>
      </c>
      <c r="G7" s="109">
        <v>82.824004000000002</v>
      </c>
      <c r="H7" s="65">
        <v>116.243785</v>
      </c>
      <c r="I7" s="65">
        <v>140.660008</v>
      </c>
      <c r="J7" s="65">
        <v>111.42762399999999</v>
      </c>
      <c r="K7" s="65">
        <v>93.48517677833236</v>
      </c>
      <c r="L7" s="65">
        <v>96.382696348858531</v>
      </c>
      <c r="M7" s="65">
        <v>82.952253528052722</v>
      </c>
      <c r="N7" s="65">
        <v>111.57506610558585</v>
      </c>
      <c r="O7" s="65">
        <v>113.13110591628914</v>
      </c>
      <c r="P7" s="65">
        <v>99.950461320691943</v>
      </c>
      <c r="Q7" s="65">
        <v>99.579459999635091</v>
      </c>
      <c r="R7" s="6">
        <v>117.5</v>
      </c>
      <c r="S7" s="65">
        <v>109</v>
      </c>
      <c r="T7" s="10"/>
      <c r="U7" s="65"/>
    </row>
    <row r="8" spans="1:21" x14ac:dyDescent="0.2">
      <c r="A8" t="s">
        <v>168</v>
      </c>
      <c r="B8" t="s">
        <v>172</v>
      </c>
      <c r="C8" s="6" t="s">
        <v>43</v>
      </c>
      <c r="D8" s="6">
        <v>20180712</v>
      </c>
      <c r="E8" s="65">
        <v>125.351412</v>
      </c>
      <c r="F8" s="65">
        <v>126.126678</v>
      </c>
      <c r="G8" s="109">
        <v>112.430753</v>
      </c>
      <c r="H8" s="65">
        <v>131.28567799999999</v>
      </c>
      <c r="I8" s="65">
        <v>159.32320000000001</v>
      </c>
      <c r="J8" s="65">
        <v>130.90354400000001</v>
      </c>
      <c r="K8" s="65">
        <v>126.2226528603114</v>
      </c>
      <c r="L8" s="65">
        <v>125.93871273813679</v>
      </c>
      <c r="M8" s="65">
        <v>147.96377239863941</v>
      </c>
      <c r="N8" s="65">
        <v>123.10455050994769</v>
      </c>
      <c r="O8" s="65">
        <v>123.46244712285244</v>
      </c>
      <c r="P8" s="65">
        <v>128.05160680802098</v>
      </c>
      <c r="Q8" s="65">
        <v>129.12395707298478</v>
      </c>
      <c r="R8" s="6">
        <v>113.1</v>
      </c>
      <c r="S8" s="65">
        <v>118</v>
      </c>
      <c r="T8" s="10"/>
      <c r="U8" s="65"/>
    </row>
    <row r="9" spans="1:21" x14ac:dyDescent="0.2">
      <c r="A9" t="s">
        <v>168</v>
      </c>
      <c r="B9" t="s">
        <v>172</v>
      </c>
      <c r="C9" s="6" t="s">
        <v>44</v>
      </c>
      <c r="D9" s="6">
        <v>20181011</v>
      </c>
      <c r="E9" s="65">
        <v>114.78058</v>
      </c>
      <c r="F9" s="65">
        <v>113.99629</v>
      </c>
      <c r="G9" s="109">
        <v>115.06312800000001</v>
      </c>
      <c r="H9" s="65">
        <v>130.41049000000001</v>
      </c>
      <c r="I9" s="65">
        <v>153.34949800000001</v>
      </c>
      <c r="J9" s="65">
        <v>125.519997</v>
      </c>
      <c r="K9" s="65">
        <v>108.04910949068528</v>
      </c>
      <c r="L9" s="65">
        <v>106.65120522717645</v>
      </c>
      <c r="M9" s="65">
        <v>120.76276945330075</v>
      </c>
      <c r="N9" s="65">
        <v>117.21337814167363</v>
      </c>
      <c r="O9" s="65">
        <v>113.57567990098116</v>
      </c>
      <c r="P9" s="65">
        <v>113.14712492428777</v>
      </c>
      <c r="Q9" s="65">
        <v>113.23321118968416</v>
      </c>
      <c r="R9" s="6">
        <v>118.3</v>
      </c>
      <c r="S9" s="65">
        <v>126</v>
      </c>
      <c r="T9" s="10"/>
      <c r="U9" s="65"/>
    </row>
    <row r="10" spans="1:21" x14ac:dyDescent="0.2">
      <c r="A10" t="s">
        <v>168</v>
      </c>
      <c r="B10" t="s">
        <v>172</v>
      </c>
      <c r="C10" s="6" t="s">
        <v>45</v>
      </c>
      <c r="D10" s="6">
        <v>20190117</v>
      </c>
      <c r="E10" s="65">
        <v>146.42693600000001</v>
      </c>
      <c r="F10" s="65">
        <v>145.11882</v>
      </c>
      <c r="G10" s="109">
        <v>138.84378899999999</v>
      </c>
      <c r="H10" s="65">
        <v>144.86138099999999</v>
      </c>
      <c r="I10" s="65">
        <v>168.890728</v>
      </c>
      <c r="J10" s="65">
        <v>148.82833099999999</v>
      </c>
      <c r="K10" s="65">
        <v>160.73968206119886</v>
      </c>
      <c r="L10" s="65">
        <v>160.39970528865459</v>
      </c>
      <c r="M10" s="65">
        <v>152.04103797699642</v>
      </c>
      <c r="N10" s="65">
        <v>139.96216106541735</v>
      </c>
      <c r="O10" s="65">
        <v>138.76949064417542</v>
      </c>
      <c r="P10" s="65">
        <v>149.39746776762587</v>
      </c>
      <c r="Q10" s="65">
        <v>150.21825746734476</v>
      </c>
      <c r="R10" s="6">
        <v>129.1</v>
      </c>
      <c r="S10" s="65">
        <v>135</v>
      </c>
      <c r="T10" s="10"/>
      <c r="U10" s="65"/>
    </row>
    <row r="11" spans="1:21" x14ac:dyDescent="0.2">
      <c r="A11" t="s">
        <v>168</v>
      </c>
      <c r="B11" t="s">
        <v>172</v>
      </c>
      <c r="C11" s="6" t="s">
        <v>46</v>
      </c>
      <c r="D11" s="6">
        <v>20190411</v>
      </c>
      <c r="E11" s="65">
        <v>147.17559900000001</v>
      </c>
      <c r="F11" s="65">
        <v>147.76370800000001</v>
      </c>
      <c r="G11" s="109">
        <v>137.10490300000001</v>
      </c>
      <c r="H11" s="65">
        <v>143.381068</v>
      </c>
      <c r="I11" s="65">
        <v>166.73372599999999</v>
      </c>
      <c r="J11" s="65">
        <v>148.43180100000001</v>
      </c>
      <c r="K11" s="65">
        <v>135.69023847497567</v>
      </c>
      <c r="L11" s="65">
        <v>137.46046570665337</v>
      </c>
      <c r="M11" s="65">
        <v>133.30925379024339</v>
      </c>
      <c r="N11" s="65">
        <v>133.62045871977432</v>
      </c>
      <c r="O11" s="65">
        <v>133.27583625549889</v>
      </c>
      <c r="P11" s="65">
        <v>134.64031344274096</v>
      </c>
      <c r="Q11" s="65">
        <v>134.66609439831444</v>
      </c>
      <c r="R11" s="6">
        <v>132.5</v>
      </c>
      <c r="S11" s="65">
        <v>136</v>
      </c>
      <c r="T11" s="10"/>
      <c r="U11" s="65"/>
    </row>
    <row r="12" spans="1:21" x14ac:dyDescent="0.2">
      <c r="A12" t="s">
        <v>168</v>
      </c>
      <c r="B12" t="s">
        <v>172</v>
      </c>
      <c r="C12" s="6" t="s">
        <v>47</v>
      </c>
      <c r="D12" s="6">
        <v>20190711</v>
      </c>
      <c r="E12" s="65">
        <v>150.68586400000001</v>
      </c>
      <c r="F12" s="65">
        <v>147.399002</v>
      </c>
      <c r="G12" s="109">
        <v>139.00636700000001</v>
      </c>
      <c r="H12" s="65">
        <v>159.47913700000001</v>
      </c>
      <c r="I12" s="65">
        <v>184.37006099999999</v>
      </c>
      <c r="J12" s="65">
        <v>156.188086</v>
      </c>
      <c r="K12" s="65">
        <v>139.24371732300543</v>
      </c>
      <c r="L12" s="65">
        <v>135.66432883506144</v>
      </c>
      <c r="M12" s="65">
        <v>137.8861404540726</v>
      </c>
      <c r="N12" s="65">
        <v>151.26936167053799</v>
      </c>
      <c r="O12" s="65">
        <v>150.38546128333988</v>
      </c>
      <c r="P12" s="65">
        <v>143.10666281008068</v>
      </c>
      <c r="Q12" s="65">
        <v>142.92594539601632</v>
      </c>
      <c r="R12" s="6">
        <v>141.69999999999999</v>
      </c>
      <c r="S12" s="65">
        <v>152</v>
      </c>
      <c r="T12" s="10"/>
      <c r="U12" s="65"/>
    </row>
    <row r="13" spans="1:21" x14ac:dyDescent="0.2">
      <c r="A13" t="s">
        <v>168</v>
      </c>
      <c r="B13" t="s">
        <v>172</v>
      </c>
      <c r="C13" s="6" t="s">
        <v>48</v>
      </c>
      <c r="D13" s="6">
        <v>20191010</v>
      </c>
      <c r="E13" s="65">
        <v>173.595303</v>
      </c>
      <c r="F13" s="65">
        <v>176.16254599999999</v>
      </c>
      <c r="G13" s="109">
        <v>152.54567700000001</v>
      </c>
      <c r="H13" s="65">
        <v>169.66466600000001</v>
      </c>
      <c r="I13" s="65">
        <v>193.874392</v>
      </c>
      <c r="J13" s="65">
        <v>173.16851700000001</v>
      </c>
      <c r="K13" s="65">
        <v>175.10923291384518</v>
      </c>
      <c r="L13" s="65">
        <v>181.66138595700937</v>
      </c>
      <c r="M13" s="65">
        <v>166.80489825332964</v>
      </c>
      <c r="N13" s="65">
        <v>161.70785544193157</v>
      </c>
      <c r="O13" s="65">
        <v>159.83564481220191</v>
      </c>
      <c r="P13" s="65">
        <v>168.52511134556065</v>
      </c>
      <c r="Q13" s="65">
        <v>168.9406881206464</v>
      </c>
      <c r="R13" s="6">
        <v>158.4</v>
      </c>
      <c r="S13" s="65">
        <v>158</v>
      </c>
      <c r="T13" s="10"/>
      <c r="U13" s="65"/>
    </row>
    <row r="14" spans="1:21" x14ac:dyDescent="0.2">
      <c r="A14" t="s">
        <v>168</v>
      </c>
      <c r="B14" t="s">
        <v>172</v>
      </c>
      <c r="C14" s="6" t="s">
        <v>49</v>
      </c>
      <c r="D14" s="6">
        <v>20200116</v>
      </c>
      <c r="E14" s="65">
        <v>167.865149</v>
      </c>
      <c r="F14" s="65">
        <v>167.684315</v>
      </c>
      <c r="G14" s="109">
        <v>163.96372199999999</v>
      </c>
      <c r="H14" s="65">
        <v>166.36932999999999</v>
      </c>
      <c r="I14" s="65">
        <v>186.74957599999999</v>
      </c>
      <c r="J14" s="65">
        <v>170.52641800000001</v>
      </c>
      <c r="K14" s="65">
        <v>152.78462656331203</v>
      </c>
      <c r="L14" s="65">
        <v>150.39588364032841</v>
      </c>
      <c r="M14" s="65">
        <v>169.82630111504238</v>
      </c>
      <c r="N14" s="65">
        <v>154.93122262710844</v>
      </c>
      <c r="O14" s="65">
        <v>152.19355534071769</v>
      </c>
      <c r="P14" s="65">
        <v>155.5893329270701</v>
      </c>
      <c r="Q14" s="65">
        <v>155.95348703559651</v>
      </c>
      <c r="R14" s="6">
        <v>169.1</v>
      </c>
      <c r="S14" s="65">
        <v>170</v>
      </c>
      <c r="T14" s="10"/>
      <c r="U14" s="65"/>
    </row>
    <row r="15" spans="1:21" x14ac:dyDescent="0.2">
      <c r="A15" t="s">
        <v>168</v>
      </c>
      <c r="B15" t="s">
        <v>172</v>
      </c>
      <c r="C15" s="6" t="s">
        <v>50</v>
      </c>
      <c r="D15" s="6">
        <v>20200409</v>
      </c>
      <c r="E15" s="65">
        <v>160.76604</v>
      </c>
      <c r="F15" s="65">
        <v>161.82502199999999</v>
      </c>
      <c r="G15" s="109">
        <v>145.52909299999999</v>
      </c>
      <c r="H15" s="65">
        <v>159.57532499999999</v>
      </c>
      <c r="I15" s="65">
        <v>185.06792200000001</v>
      </c>
      <c r="J15" s="65">
        <v>162.55268000000001</v>
      </c>
      <c r="K15" s="65">
        <v>162.81060698310881</v>
      </c>
      <c r="L15" s="65">
        <v>164.05979140028688</v>
      </c>
      <c r="M15" s="65">
        <v>150.88670535302924</v>
      </c>
      <c r="N15" s="65">
        <v>163.05772975103042</v>
      </c>
      <c r="O15" s="65">
        <v>168.4691736060488</v>
      </c>
      <c r="P15" s="65">
        <v>162.05087706703603</v>
      </c>
      <c r="Q15" s="65">
        <v>161.88914736009005</v>
      </c>
      <c r="R15" s="6">
        <v>160.30000000000001</v>
      </c>
      <c r="S15" s="65">
        <v>136</v>
      </c>
      <c r="T15" s="10"/>
      <c r="U15" s="65"/>
    </row>
    <row r="16" spans="1:21" x14ac:dyDescent="0.2">
      <c r="A16" t="s">
        <v>168</v>
      </c>
      <c r="B16" t="s">
        <v>172</v>
      </c>
      <c r="C16" s="6" t="s">
        <v>51</v>
      </c>
      <c r="D16" s="6">
        <v>20200709</v>
      </c>
      <c r="E16" s="65">
        <v>135.96958799999999</v>
      </c>
      <c r="F16" s="65">
        <v>134.47153299999999</v>
      </c>
      <c r="G16" s="109">
        <v>113.351232</v>
      </c>
      <c r="H16" s="65">
        <v>116.238382</v>
      </c>
      <c r="I16" s="65">
        <v>140.27633700000001</v>
      </c>
      <c r="J16" s="65">
        <v>128.06141500000001</v>
      </c>
      <c r="K16" s="65">
        <v>115.02344629500109</v>
      </c>
      <c r="L16" s="65">
        <v>113.01174726860226</v>
      </c>
      <c r="M16" s="65">
        <v>105.92911172750867</v>
      </c>
      <c r="N16" s="65">
        <v>99.065566383775206</v>
      </c>
      <c r="O16" s="65">
        <v>103.08421700439258</v>
      </c>
      <c r="P16" s="65">
        <v>107.14281942321715</v>
      </c>
      <c r="Q16" s="65">
        <v>107.20948468374949</v>
      </c>
      <c r="R16" s="6">
        <v>89.8</v>
      </c>
      <c r="S16" s="65">
        <v>91</v>
      </c>
      <c r="T16" s="10"/>
      <c r="U16" s="65"/>
    </row>
    <row r="17" spans="1:21" x14ac:dyDescent="0.2">
      <c r="A17" t="s">
        <v>168</v>
      </c>
      <c r="B17" t="s">
        <v>172</v>
      </c>
      <c r="C17" s="6" t="s">
        <v>52</v>
      </c>
      <c r="D17" s="6">
        <v>20201015</v>
      </c>
      <c r="E17" s="65">
        <v>156.18994000000001</v>
      </c>
      <c r="F17" s="65">
        <v>158.58218299999999</v>
      </c>
      <c r="G17" s="109">
        <v>159.01703000000001</v>
      </c>
      <c r="H17" s="65">
        <v>145.257732</v>
      </c>
      <c r="I17" s="65">
        <v>179.79777200000001</v>
      </c>
      <c r="J17" s="65">
        <v>159.76893200000001</v>
      </c>
      <c r="K17" s="65">
        <v>104.53282053042628</v>
      </c>
      <c r="L17" s="65">
        <v>107.31623512464901</v>
      </c>
      <c r="M17" s="65">
        <v>127.66115969520295</v>
      </c>
      <c r="N17" s="65">
        <v>113.71849284688082</v>
      </c>
      <c r="O17" s="65">
        <v>116.63832690470096</v>
      </c>
      <c r="P17" s="65">
        <v>113.53125226673467</v>
      </c>
      <c r="Q17" s="65">
        <v>113.89971456143246</v>
      </c>
      <c r="R17" s="6">
        <v>144.80000000000001</v>
      </c>
      <c r="S17" s="65">
        <v>159</v>
      </c>
      <c r="T17" s="10"/>
      <c r="U17" s="65"/>
    </row>
    <row r="18" spans="1:21" x14ac:dyDescent="0.2">
      <c r="A18" t="s">
        <v>168</v>
      </c>
      <c r="B18" t="s">
        <v>172</v>
      </c>
      <c r="C18" s="6" t="s">
        <v>53</v>
      </c>
      <c r="D18" s="6">
        <v>20210121</v>
      </c>
      <c r="E18" s="65">
        <v>151.41329999999999</v>
      </c>
      <c r="F18" s="65">
        <v>150.527895</v>
      </c>
      <c r="G18" s="109">
        <v>150.78834699999999</v>
      </c>
      <c r="H18" s="65">
        <v>147.24175700000001</v>
      </c>
      <c r="I18" s="65">
        <v>176.129244</v>
      </c>
      <c r="J18" s="65">
        <v>155.22010900000001</v>
      </c>
      <c r="K18" s="65">
        <v>154.13742203883297</v>
      </c>
      <c r="L18" s="65">
        <v>150.92449134087153</v>
      </c>
      <c r="M18" s="65">
        <v>150.77219825448881</v>
      </c>
      <c r="N18" s="65">
        <v>161.17172587411733</v>
      </c>
      <c r="O18" s="65">
        <v>155.75582213554904</v>
      </c>
      <c r="P18" s="65">
        <v>154.47306946384296</v>
      </c>
      <c r="Q18" s="65">
        <v>154.53912151795043</v>
      </c>
      <c r="R18" s="6">
        <v>180.7</v>
      </c>
      <c r="S18" s="65">
        <v>154</v>
      </c>
    </row>
    <row r="19" spans="1:21" x14ac:dyDescent="0.2">
      <c r="A19" t="s">
        <v>168</v>
      </c>
      <c r="B19" t="s">
        <v>172</v>
      </c>
      <c r="C19" s="6" t="s">
        <v>54</v>
      </c>
      <c r="D19" s="6">
        <v>20210415</v>
      </c>
      <c r="E19" s="65">
        <v>156.52687299999999</v>
      </c>
      <c r="F19" s="65">
        <v>153.11328399999999</v>
      </c>
      <c r="G19" s="109">
        <v>147.77795800000001</v>
      </c>
      <c r="H19" s="65">
        <v>148.83701199999999</v>
      </c>
      <c r="I19" s="65">
        <v>171.63662500000001</v>
      </c>
      <c r="J19" s="65">
        <v>155.57835</v>
      </c>
      <c r="K19" s="65">
        <v>159.20093176755279</v>
      </c>
      <c r="L19" s="65">
        <v>156.64502407344497</v>
      </c>
      <c r="M19" s="65">
        <v>150.92549248517199</v>
      </c>
      <c r="N19" s="65">
        <v>155.6684755398565</v>
      </c>
      <c r="O19" s="65">
        <v>150.07184298139612</v>
      </c>
      <c r="P19" s="65">
        <v>154.35542504354251</v>
      </c>
      <c r="Q19" s="65">
        <v>154.47786531516081</v>
      </c>
      <c r="R19" s="6">
        <v>158.30000000000001</v>
      </c>
      <c r="S19" s="66">
        <v>169</v>
      </c>
    </row>
    <row r="20" spans="1:21" x14ac:dyDescent="0.2">
      <c r="A20" t="s">
        <v>168</v>
      </c>
      <c r="B20" t="s">
        <v>172</v>
      </c>
      <c r="C20" s="6" t="s">
        <v>55</v>
      </c>
      <c r="D20" s="6">
        <v>20210715</v>
      </c>
      <c r="E20" s="65">
        <v>174.600483</v>
      </c>
      <c r="F20" s="65">
        <v>169.486671</v>
      </c>
      <c r="G20" s="109">
        <v>165.66270299999999</v>
      </c>
      <c r="H20" s="65">
        <v>177.36521500000001</v>
      </c>
      <c r="I20" s="65">
        <v>188.476889</v>
      </c>
      <c r="J20" s="65">
        <v>175.118392</v>
      </c>
      <c r="K20" s="65">
        <v>188.51383830430191</v>
      </c>
      <c r="L20" s="65">
        <v>187.07225559214052</v>
      </c>
      <c r="M20" s="65">
        <v>189.45313080452769</v>
      </c>
      <c r="N20" s="65">
        <v>201.39292594102872</v>
      </c>
      <c r="O20" s="65">
        <v>185.58156944067153</v>
      </c>
      <c r="P20" s="65">
        <v>190.22574958533755</v>
      </c>
      <c r="Q20" s="65">
        <v>190.37324494466802</v>
      </c>
      <c r="R20" s="6">
        <v>177</v>
      </c>
      <c r="S20" s="66">
        <v>191</v>
      </c>
    </row>
    <row r="21" spans="1:21" x14ac:dyDescent="0.2">
      <c r="A21" t="s">
        <v>168</v>
      </c>
      <c r="B21" t="s">
        <v>170</v>
      </c>
      <c r="C21" s="13" t="s">
        <v>71</v>
      </c>
      <c r="D21" s="13">
        <v>20211014</v>
      </c>
      <c r="E21" s="67">
        <v>187.03452799999999</v>
      </c>
      <c r="F21" s="67">
        <v>181.45813000000001</v>
      </c>
      <c r="G21" s="110">
        <v>159.91256000000001</v>
      </c>
      <c r="H21" s="67">
        <v>164.722613</v>
      </c>
      <c r="I21" s="67">
        <v>168.16204400000001</v>
      </c>
      <c r="J21" s="67">
        <f>AVERAGE(E21:I21)</f>
        <v>172.25797500000002</v>
      </c>
      <c r="K21" s="65">
        <f>(E21/E20)*$S20</f>
        <v>204.60192454335879</v>
      </c>
      <c r="L21" s="65">
        <f t="shared" ref="L21:P21" si="0">(F21/F20)*$S20</f>
        <v>204.49102354485447</v>
      </c>
      <c r="M21" s="65">
        <f t="shared" si="0"/>
        <v>184.37040086204559</v>
      </c>
      <c r="N21" s="65">
        <f t="shared" si="0"/>
        <v>177.38550979683362</v>
      </c>
      <c r="O21" s="65">
        <f t="shared" si="0"/>
        <v>170.41320330791328</v>
      </c>
      <c r="P21" s="65">
        <f t="shared" si="0"/>
        <v>187.8801698053509</v>
      </c>
      <c r="Q21" s="65">
        <f>AVERAGE(K21:P21)</f>
        <v>188.19037197672608</v>
      </c>
      <c r="R21" s="6">
        <v>203.1</v>
      </c>
      <c r="S21" s="11"/>
    </row>
    <row r="22" spans="1:21" x14ac:dyDescent="0.2">
      <c r="A22" s="163" t="s">
        <v>75</v>
      </c>
      <c r="B22" s="164"/>
      <c r="C22" s="164"/>
      <c r="D22" s="164"/>
      <c r="E22" s="72">
        <f t="shared" ref="E22:Q22" si="1">CORREL(E$6:E$20,$S$6:$S$20)</f>
        <v>0.80656719419848699</v>
      </c>
      <c r="F22" s="72">
        <f t="shared" si="1"/>
        <v>0.78362318177621815</v>
      </c>
      <c r="G22" s="71">
        <f t="shared" si="1"/>
        <v>0.87767409008990782</v>
      </c>
      <c r="H22" s="71">
        <f t="shared" si="1"/>
        <v>0.88777847037923474</v>
      </c>
      <c r="I22" s="72">
        <f t="shared" si="1"/>
        <v>0.85781167100296685</v>
      </c>
      <c r="J22" s="71">
        <f>CORREL(J$6:J$20,$S$6:$S$20)</f>
        <v>0.87329043534732964</v>
      </c>
      <c r="K22" s="72">
        <f t="shared" si="1"/>
        <v>0.68131399967573736</v>
      </c>
      <c r="L22" s="72">
        <f t="shared" si="1"/>
        <v>0.67235864209744911</v>
      </c>
      <c r="M22" s="72">
        <f t="shared" si="1"/>
        <v>0.79219082240960126</v>
      </c>
      <c r="N22" s="72">
        <f t="shared" si="1"/>
        <v>0.81462575562703998</v>
      </c>
      <c r="O22" s="72">
        <f t="shared" si="1"/>
        <v>0.77796825421930982</v>
      </c>
      <c r="P22" s="72">
        <f t="shared" si="1"/>
        <v>0.7738909814207402</v>
      </c>
      <c r="Q22" s="72">
        <f t="shared" si="1"/>
        <v>0.77308813049346903</v>
      </c>
      <c r="R22" s="71">
        <f t="shared" ref="R22" si="2">CORREL(R$6:R$20,$S$6:$S$20)</f>
        <v>0.89710588828898263</v>
      </c>
      <c r="S22" s="5"/>
    </row>
    <row r="24" spans="1:21" x14ac:dyDescent="0.2">
      <c r="A24" s="166" t="s">
        <v>77</v>
      </c>
      <c r="B24" s="167"/>
    </row>
    <row r="25" spans="1:21" x14ac:dyDescent="0.2">
      <c r="A25" s="18" t="s">
        <v>56</v>
      </c>
      <c r="B25" s="18" t="s">
        <v>57</v>
      </c>
      <c r="C25" s="18" t="s">
        <v>68</v>
      </c>
      <c r="D25" s="18" t="s">
        <v>58</v>
      </c>
      <c r="E25" s="18" t="s">
        <v>59</v>
      </c>
      <c r="F25" s="18" t="s">
        <v>69</v>
      </c>
      <c r="G25" s="18" t="s">
        <v>60</v>
      </c>
      <c r="H25" s="18" t="s">
        <v>61</v>
      </c>
      <c r="I25" s="18" t="s">
        <v>70</v>
      </c>
      <c r="J25" s="18" t="s">
        <v>62</v>
      </c>
      <c r="K25" s="18" t="s">
        <v>63</v>
      </c>
      <c r="L25" s="18" t="s">
        <v>73</v>
      </c>
      <c r="M25" s="18" t="s">
        <v>64</v>
      </c>
      <c r="N25" s="18" t="s">
        <v>65</v>
      </c>
      <c r="O25" s="18" t="s">
        <v>74</v>
      </c>
      <c r="P25" s="18" t="s">
        <v>66</v>
      </c>
      <c r="Q25" s="18" t="s">
        <v>67</v>
      </c>
      <c r="R25" s="18" t="s">
        <v>0</v>
      </c>
    </row>
    <row r="26" spans="1:21" x14ac:dyDescent="0.2">
      <c r="A26" s="10" t="str">
        <f>A6</f>
        <v>ABT</v>
      </c>
      <c r="B26" s="10" t="str">
        <f t="shared" ref="B26:D27" si="3">B6</f>
        <v>STRUCTURAL HEART</v>
      </c>
      <c r="C26" s="10" t="str">
        <f t="shared" si="3"/>
        <v>2017Q4</v>
      </c>
      <c r="D26" s="10">
        <f t="shared" si="3"/>
        <v>20180118</v>
      </c>
      <c r="E26" s="19">
        <f t="shared" ref="E26:J27" si="4">$S6/E6-1</f>
        <v>-0.13637674346339446</v>
      </c>
      <c r="F26" s="19">
        <f t="shared" si="4"/>
        <v>-0.11707286027468389</v>
      </c>
      <c r="G26" s="19">
        <f t="shared" si="4"/>
        <v>1.5484584402936097E-3</v>
      </c>
      <c r="H26" s="19">
        <f t="shared" si="4"/>
        <v>-4.0163169965724665E-2</v>
      </c>
      <c r="I26" s="19">
        <f t="shared" si="4"/>
        <v>-0.19571235971855516</v>
      </c>
      <c r="J26" s="19">
        <f t="shared" si="4"/>
        <v>-0.10300105366428747</v>
      </c>
      <c r="K26" s="19"/>
      <c r="L26" s="19"/>
      <c r="M26" s="19"/>
      <c r="N26" s="19"/>
      <c r="O26" s="19"/>
      <c r="P26" s="19"/>
      <c r="Q26" s="19"/>
      <c r="R26" s="42">
        <f>$S6/R6-1</f>
        <v>2.941176470588247E-2</v>
      </c>
    </row>
    <row r="27" spans="1:21" x14ac:dyDescent="0.2">
      <c r="A27" s="10" t="str">
        <f>A7</f>
        <v>ABT</v>
      </c>
      <c r="B27" s="10" t="str">
        <f t="shared" si="3"/>
        <v>STRUCTURAL HEART</v>
      </c>
      <c r="C27" s="10" t="str">
        <f t="shared" si="3"/>
        <v>2018Q1</v>
      </c>
      <c r="D27" s="10">
        <f t="shared" si="3"/>
        <v>20180412</v>
      </c>
      <c r="E27" s="19">
        <f t="shared" ref="E27:E37" si="5">$S7/E7-1</f>
        <v>6.9503872865142036E-3</v>
      </c>
      <c r="F27" s="19">
        <f t="shared" si="4"/>
        <v>-1.4902894839046166E-3</v>
      </c>
      <c r="G27" s="19">
        <f t="shared" si="4"/>
        <v>0.31604359528428505</v>
      </c>
      <c r="H27" s="19">
        <f t="shared" si="4"/>
        <v>-6.2315460564192793E-2</v>
      </c>
      <c r="I27" s="19">
        <f t="shared" si="4"/>
        <v>-0.22508180150252799</v>
      </c>
      <c r="J27" s="19">
        <f t="shared" si="4"/>
        <v>-2.1786554472345121E-2</v>
      </c>
      <c r="K27" s="19">
        <f t="shared" ref="K27:Q27" si="6">$S7/K7-1</f>
        <v>0.16596024906125662</v>
      </c>
      <c r="L27" s="19">
        <f t="shared" si="6"/>
        <v>0.13090839050064496</v>
      </c>
      <c r="M27" s="19">
        <f t="shared" si="6"/>
        <v>0.31400890710146268</v>
      </c>
      <c r="N27" s="19">
        <f t="shared" si="6"/>
        <v>-2.3079225453014773E-2</v>
      </c>
      <c r="O27" s="19">
        <f t="shared" si="6"/>
        <v>-3.6516092394128452E-2</v>
      </c>
      <c r="P27" s="19">
        <f t="shared" si="6"/>
        <v>9.0540239231838404E-2</v>
      </c>
      <c r="Q27" s="19">
        <f t="shared" si="6"/>
        <v>9.4603244488365767E-2</v>
      </c>
      <c r="R27" s="42">
        <f>$S7/R7-1</f>
        <v>-7.2340425531914887E-2</v>
      </c>
    </row>
    <row r="28" spans="1:21" x14ac:dyDescent="0.2">
      <c r="A28" s="10" t="str">
        <f t="shared" ref="A28:D28" si="7">A8</f>
        <v>ABT</v>
      </c>
      <c r="B28" s="10" t="str">
        <f t="shared" si="7"/>
        <v>STRUCTURAL HEART</v>
      </c>
      <c r="C28" s="10" t="str">
        <f t="shared" si="7"/>
        <v>2018Q2</v>
      </c>
      <c r="D28" s="10">
        <f t="shared" si="7"/>
        <v>20180712</v>
      </c>
      <c r="E28" s="19">
        <f t="shared" si="5"/>
        <v>-5.8646423544076232E-2</v>
      </c>
      <c r="F28" s="19">
        <f t="shared" ref="F28:J28" si="8">$S8/F8-1</f>
        <v>-6.4432665070271677E-2</v>
      </c>
      <c r="G28" s="19">
        <f t="shared" si="8"/>
        <v>4.9534907944626116E-2</v>
      </c>
      <c r="H28" s="19">
        <f t="shared" si="8"/>
        <v>-0.10119670479212506</v>
      </c>
      <c r="I28" s="19">
        <f t="shared" si="8"/>
        <v>-0.25936712292999398</v>
      </c>
      <c r="J28" s="19">
        <f t="shared" si="8"/>
        <v>-9.8572915642375691E-2</v>
      </c>
      <c r="K28" s="19">
        <f t="shared" ref="K28:Q28" si="9">$S8/K8-1</f>
        <v>-6.5144034560985498E-2</v>
      </c>
      <c r="L28" s="19">
        <f t="shared" si="9"/>
        <v>-6.3036317948109266E-2</v>
      </c>
      <c r="M28" s="19">
        <f t="shared" si="9"/>
        <v>-0.20250749161701509</v>
      </c>
      <c r="N28" s="19">
        <f t="shared" si="9"/>
        <v>-4.1465165087745448E-2</v>
      </c>
      <c r="O28" s="19">
        <f t="shared" si="9"/>
        <v>-4.4243794369448919E-2</v>
      </c>
      <c r="P28" s="19">
        <f t="shared" si="9"/>
        <v>-7.8496530098920658E-2</v>
      </c>
      <c r="Q28" s="19">
        <f t="shared" si="9"/>
        <v>-8.6149443721719177E-2</v>
      </c>
      <c r="R28" s="42">
        <f t="shared" ref="R28:R35" si="10">$S8/R8-1</f>
        <v>4.3324491600353676E-2</v>
      </c>
    </row>
    <row r="29" spans="1:21" x14ac:dyDescent="0.2">
      <c r="A29" s="10" t="str">
        <f t="shared" ref="A29:D29" si="11">A9</f>
        <v>ABT</v>
      </c>
      <c r="B29" s="10" t="str">
        <f t="shared" si="11"/>
        <v>STRUCTURAL HEART</v>
      </c>
      <c r="C29" s="10" t="str">
        <f t="shared" si="11"/>
        <v>2018Q3</v>
      </c>
      <c r="D29" s="10">
        <f t="shared" si="11"/>
        <v>20181011</v>
      </c>
      <c r="E29" s="19">
        <f t="shared" si="5"/>
        <v>9.7746674568119474E-2</v>
      </c>
      <c r="F29" s="19">
        <f t="shared" ref="F29:J29" si="12">$S9/F9-1</f>
        <v>0.10529912859444801</v>
      </c>
      <c r="G29" s="19">
        <f t="shared" si="12"/>
        <v>9.5051057537737016E-2</v>
      </c>
      <c r="H29" s="19">
        <f t="shared" si="12"/>
        <v>-3.3820055426522888E-2</v>
      </c>
      <c r="I29" s="19">
        <f t="shared" si="12"/>
        <v>-0.17834748960182456</v>
      </c>
      <c r="J29" s="19">
        <f t="shared" si="12"/>
        <v>3.8241157701748296E-3</v>
      </c>
      <c r="K29" s="19">
        <f t="shared" ref="K29:Q29" si="13">$S9/K9-1</f>
        <v>0.16613640402896834</v>
      </c>
      <c r="L29" s="19">
        <f t="shared" si="13"/>
        <v>0.1814212481856996</v>
      </c>
      <c r="M29" s="19">
        <f t="shared" si="13"/>
        <v>4.3367923495034599E-2</v>
      </c>
      <c r="N29" s="19">
        <f t="shared" si="13"/>
        <v>7.4962619435011479E-2</v>
      </c>
      <c r="O29" s="19">
        <f t="shared" si="13"/>
        <v>0.10939243427686951</v>
      </c>
      <c r="P29" s="19">
        <f t="shared" si="13"/>
        <v>0.11359435853374733</v>
      </c>
      <c r="Q29" s="19">
        <f t="shared" si="13"/>
        <v>0.11274774137535837</v>
      </c>
      <c r="R29" s="42">
        <f t="shared" si="10"/>
        <v>6.5088757396449815E-2</v>
      </c>
    </row>
    <row r="30" spans="1:21" x14ac:dyDescent="0.2">
      <c r="A30" s="10" t="str">
        <f t="shared" ref="A30:D30" si="14">A10</f>
        <v>ABT</v>
      </c>
      <c r="B30" s="10" t="str">
        <f t="shared" si="14"/>
        <v>STRUCTURAL HEART</v>
      </c>
      <c r="C30" s="10" t="str">
        <f t="shared" si="14"/>
        <v>2018Q4</v>
      </c>
      <c r="D30" s="10">
        <f t="shared" si="14"/>
        <v>20190117</v>
      </c>
      <c r="E30" s="19">
        <f t="shared" si="5"/>
        <v>-7.80384833020068E-2</v>
      </c>
      <c r="F30" s="19">
        <f t="shared" ref="F30:J30" si="15">$S10/F10-1</f>
        <v>-6.9727827169487777E-2</v>
      </c>
      <c r="G30" s="19">
        <f t="shared" si="15"/>
        <v>-2.7684270414141343E-2</v>
      </c>
      <c r="H30" s="19">
        <f t="shared" si="15"/>
        <v>-6.8074602988908328E-2</v>
      </c>
      <c r="I30" s="19">
        <f t="shared" si="15"/>
        <v>-0.20066659905687656</v>
      </c>
      <c r="J30" s="19">
        <f t="shared" si="15"/>
        <v>-9.2914641366232842E-2</v>
      </c>
      <c r="K30" s="19">
        <f t="shared" ref="K30:Q30" si="16">$S10/K10-1</f>
        <v>-0.16013271726765588</v>
      </c>
      <c r="L30" s="19">
        <f t="shared" si="16"/>
        <v>-0.15835256831018107</v>
      </c>
      <c r="M30" s="19">
        <f t="shared" si="16"/>
        <v>-0.11208183135118233</v>
      </c>
      <c r="N30" s="19">
        <f t="shared" si="16"/>
        <v>-3.5453589939198449E-2</v>
      </c>
      <c r="O30" s="19">
        <f t="shared" si="16"/>
        <v>-2.7163684370946739E-2</v>
      </c>
      <c r="P30" s="19">
        <f t="shared" si="16"/>
        <v>-9.6370226234488876E-2</v>
      </c>
      <c r="Q30" s="19">
        <f t="shared" si="16"/>
        <v>-0.10130764211968701</v>
      </c>
      <c r="R30" s="42">
        <f t="shared" si="10"/>
        <v>4.5701006971340163E-2</v>
      </c>
    </row>
    <row r="31" spans="1:21" x14ac:dyDescent="0.2">
      <c r="A31" s="10" t="str">
        <f t="shared" ref="A31:D31" si="17">A11</f>
        <v>ABT</v>
      </c>
      <c r="B31" s="10" t="str">
        <f t="shared" si="17"/>
        <v>STRUCTURAL HEART</v>
      </c>
      <c r="C31" s="10" t="str">
        <f t="shared" si="17"/>
        <v>2019Q1</v>
      </c>
      <c r="D31" s="10">
        <f t="shared" si="17"/>
        <v>20190411</v>
      </c>
      <c r="E31" s="19">
        <f t="shared" si="5"/>
        <v>-7.593377622332631E-2</v>
      </c>
      <c r="F31" s="19">
        <f t="shared" ref="F31:J31" si="18">$S11/F11-1</f>
        <v>-7.9611618842158505E-2</v>
      </c>
      <c r="G31" s="19">
        <f t="shared" si="18"/>
        <v>-8.0588146435580654E-3</v>
      </c>
      <c r="H31" s="19">
        <f t="shared" si="18"/>
        <v>-5.1478679179597142E-2</v>
      </c>
      <c r="I31" s="19">
        <f t="shared" si="18"/>
        <v>-0.18432819044660465</v>
      </c>
      <c r="J31" s="19">
        <f t="shared" si="18"/>
        <v>-8.3754296021780417E-2</v>
      </c>
      <c r="K31" s="19">
        <f t="shared" ref="K31:Q31" si="19">$S11/K11-1</f>
        <v>2.2828578422864343E-3</v>
      </c>
      <c r="L31" s="19">
        <f t="shared" si="19"/>
        <v>-1.0624623590102411E-2</v>
      </c>
      <c r="M31" s="19">
        <f t="shared" si="19"/>
        <v>2.0184241778071765E-2</v>
      </c>
      <c r="N31" s="19">
        <f t="shared" si="19"/>
        <v>1.7808210681389713E-2</v>
      </c>
      <c r="O31" s="19">
        <f t="shared" si="19"/>
        <v>2.0440042404076264E-2</v>
      </c>
      <c r="P31" s="19">
        <f t="shared" si="19"/>
        <v>1.0098658585173892E-2</v>
      </c>
      <c r="Q31" s="19">
        <f t="shared" si="19"/>
        <v>9.9052817091445089E-3</v>
      </c>
      <c r="R31" s="42">
        <f t="shared" si="10"/>
        <v>2.6415094339622636E-2</v>
      </c>
    </row>
    <row r="32" spans="1:21" x14ac:dyDescent="0.2">
      <c r="A32" s="10" t="str">
        <f t="shared" ref="A32:D32" si="20">A12</f>
        <v>ABT</v>
      </c>
      <c r="B32" s="10" t="str">
        <f t="shared" si="20"/>
        <v>STRUCTURAL HEART</v>
      </c>
      <c r="C32" s="10" t="str">
        <f t="shared" si="20"/>
        <v>2019Q2</v>
      </c>
      <c r="D32" s="10">
        <f t="shared" si="20"/>
        <v>20190711</v>
      </c>
      <c r="E32" s="19">
        <f t="shared" si="5"/>
        <v>8.7210303947289347E-3</v>
      </c>
      <c r="F32" s="19">
        <f t="shared" ref="F32:J32" si="21">$S12/F12-1</f>
        <v>3.1214580408081671E-2</v>
      </c>
      <c r="G32" s="19">
        <f>$S12/G12-1</f>
        <v>9.3475092403501048E-2</v>
      </c>
      <c r="H32" s="19">
        <f t="shared" si="21"/>
        <v>-4.6897275347056899E-2</v>
      </c>
      <c r="I32" s="19">
        <f t="shared" si="21"/>
        <v>-0.17557113570624672</v>
      </c>
      <c r="J32" s="19">
        <f t="shared" si="21"/>
        <v>-2.681437558560007E-2</v>
      </c>
      <c r="K32" s="19">
        <f t="shared" ref="K32:Q32" si="22">$S12/K12-1</f>
        <v>9.161119023706954E-2</v>
      </c>
      <c r="L32" s="19">
        <f t="shared" si="22"/>
        <v>0.12041242753501713</v>
      </c>
      <c r="M32" s="19">
        <f t="shared" si="22"/>
        <v>0.1023587976242506</v>
      </c>
      <c r="N32" s="19">
        <f t="shared" si="22"/>
        <v>4.8300483415362194E-3</v>
      </c>
      <c r="O32" s="19">
        <f t="shared" si="22"/>
        <v>1.0736002688572333E-2</v>
      </c>
      <c r="P32" s="19">
        <f t="shared" si="22"/>
        <v>6.2144815728963021E-2</v>
      </c>
      <c r="Q32" s="19">
        <f t="shared" si="22"/>
        <v>6.3487805372505868E-2</v>
      </c>
      <c r="R32" s="42">
        <f t="shared" si="10"/>
        <v>7.2688779110797519E-2</v>
      </c>
    </row>
    <row r="33" spans="1:18" x14ac:dyDescent="0.2">
      <c r="A33" s="10" t="str">
        <f t="shared" ref="A33:D33" si="23">A13</f>
        <v>ABT</v>
      </c>
      <c r="B33" s="10" t="str">
        <f t="shared" si="23"/>
        <v>STRUCTURAL HEART</v>
      </c>
      <c r="C33" s="10" t="str">
        <f t="shared" si="23"/>
        <v>2019Q3</v>
      </c>
      <c r="D33" s="10">
        <f t="shared" si="23"/>
        <v>20191010</v>
      </c>
      <c r="E33" s="19">
        <f t="shared" si="5"/>
        <v>-8.9837125374296556E-2</v>
      </c>
      <c r="F33" s="19">
        <f t="shared" ref="F33:J33" si="24">$S13/F13-1</f>
        <v>-0.10310106439992073</v>
      </c>
      <c r="G33" s="19">
        <f>$S13/G13-1</f>
        <v>3.5755342971797166E-2</v>
      </c>
      <c r="H33" s="19">
        <f t="shared" si="24"/>
        <v>-6.8751297927878596E-2</v>
      </c>
      <c r="I33" s="19">
        <f t="shared" si="24"/>
        <v>-0.18503935269594551</v>
      </c>
      <c r="J33" s="19">
        <f t="shared" si="24"/>
        <v>-8.7593964900675392E-2</v>
      </c>
      <c r="K33" s="19">
        <f t="shared" ref="K33:Q33" si="25">$S13/K13-1</f>
        <v>-9.7706058265146001E-2</v>
      </c>
      <c r="L33" s="19">
        <f t="shared" si="25"/>
        <v>-0.1302499473531975</v>
      </c>
      <c r="M33" s="19">
        <f t="shared" si="25"/>
        <v>-5.2785609688496549E-2</v>
      </c>
      <c r="N33" s="19">
        <f t="shared" si="25"/>
        <v>-2.2929346455052291E-2</v>
      </c>
      <c r="O33" s="19">
        <f t="shared" si="25"/>
        <v>-1.1484577262842022E-2</v>
      </c>
      <c r="P33" s="19">
        <f t="shared" si="25"/>
        <v>-6.2454261335445183E-2</v>
      </c>
      <c r="Q33" s="19">
        <f t="shared" si="25"/>
        <v>-6.4760527747071084E-2</v>
      </c>
      <c r="R33" s="42">
        <f t="shared" si="10"/>
        <v>-2.525252525252597E-3</v>
      </c>
    </row>
    <row r="34" spans="1:18" x14ac:dyDescent="0.2">
      <c r="A34" s="10" t="str">
        <f t="shared" ref="A34:D34" si="26">A14</f>
        <v>ABT</v>
      </c>
      <c r="B34" s="10" t="str">
        <f t="shared" si="26"/>
        <v>STRUCTURAL HEART</v>
      </c>
      <c r="C34" s="10" t="str">
        <f t="shared" si="26"/>
        <v>2019Q4</v>
      </c>
      <c r="D34" s="10">
        <f t="shared" si="26"/>
        <v>20200116</v>
      </c>
      <c r="E34" s="19">
        <f t="shared" si="5"/>
        <v>1.2717654693172875E-2</v>
      </c>
      <c r="F34" s="19">
        <f t="shared" ref="F34:J34" si="27">$S14/F14-1</f>
        <v>1.3809788947761747E-2</v>
      </c>
      <c r="G34" s="19">
        <f t="shared" si="27"/>
        <v>3.6814716855476215E-2</v>
      </c>
      <c r="H34" s="19">
        <f t="shared" si="27"/>
        <v>2.1822952583868682E-2</v>
      </c>
      <c r="I34" s="19">
        <f t="shared" si="27"/>
        <v>-8.9690034958901266E-2</v>
      </c>
      <c r="J34" s="19">
        <f t="shared" si="27"/>
        <v>-3.0870172854976508E-3</v>
      </c>
      <c r="K34" s="19">
        <f t="shared" ref="K34:Q34" si="28">$S14/K14-1</f>
        <v>0.11267739316399172</v>
      </c>
      <c r="L34" s="19">
        <f t="shared" si="28"/>
        <v>0.13035008595417952</v>
      </c>
      <c r="M34" s="19">
        <f t="shared" si="28"/>
        <v>1.0228032043160251E-3</v>
      </c>
      <c r="N34" s="19">
        <f t="shared" si="28"/>
        <v>9.7261075704278221E-2</v>
      </c>
      <c r="O34" s="19">
        <f t="shared" si="28"/>
        <v>0.11699867723977397</v>
      </c>
      <c r="P34" s="19">
        <f t="shared" si="28"/>
        <v>9.261989110580382E-2</v>
      </c>
      <c r="Q34" s="19">
        <f t="shared" si="28"/>
        <v>9.0068604629516047E-2</v>
      </c>
      <c r="R34" s="42">
        <f t="shared" si="10"/>
        <v>5.3222945002957545E-3</v>
      </c>
    </row>
    <row r="35" spans="1:18" x14ac:dyDescent="0.2">
      <c r="A35" s="10" t="str">
        <f t="shared" ref="A35:D35" si="29">A15</f>
        <v>ABT</v>
      </c>
      <c r="B35" s="10" t="str">
        <f t="shared" si="29"/>
        <v>STRUCTURAL HEART</v>
      </c>
      <c r="C35" s="10" t="str">
        <f t="shared" si="29"/>
        <v>2020Q1</v>
      </c>
      <c r="D35" s="10">
        <f t="shared" si="29"/>
        <v>20200409</v>
      </c>
      <c r="E35" s="19">
        <f t="shared" si="5"/>
        <v>-0.15405019617327143</v>
      </c>
      <c r="F35" s="19">
        <f t="shared" ref="F35:J35" si="30">$S15/F15-1</f>
        <v>-0.1595860867548653</v>
      </c>
      <c r="G35" s="19">
        <f t="shared" ref="G35:G40" si="31">$S15/G15-1</f>
        <v>-6.5478955469062017E-2</v>
      </c>
      <c r="H35" s="19">
        <f t="shared" si="30"/>
        <v>-0.14773790998075664</v>
      </c>
      <c r="I35" s="19">
        <f t="shared" si="30"/>
        <v>-0.26513466769243788</v>
      </c>
      <c r="J35" s="19">
        <f t="shared" si="30"/>
        <v>-0.16334815273423975</v>
      </c>
      <c r="K35" s="19">
        <f t="shared" ref="K35:Q35" si="32">$S15/K15-1</f>
        <v>-0.16467358902414964</v>
      </c>
      <c r="L35" s="19">
        <f t="shared" si="32"/>
        <v>-0.17103393318247151</v>
      </c>
      <c r="M35" s="19">
        <f t="shared" si="32"/>
        <v>-9.8661477949292142E-2</v>
      </c>
      <c r="N35" s="19">
        <f t="shared" si="32"/>
        <v>-0.16593957117116942</v>
      </c>
      <c r="O35" s="19">
        <f t="shared" si="32"/>
        <v>-0.19273065161449221</v>
      </c>
      <c r="P35" s="19">
        <f t="shared" si="32"/>
        <v>-0.16075739630992236</v>
      </c>
      <c r="Q35" s="19">
        <f t="shared" si="32"/>
        <v>-0.15991898025446272</v>
      </c>
      <c r="R35" s="42">
        <f t="shared" si="10"/>
        <v>-0.1515907673112914</v>
      </c>
    </row>
    <row r="36" spans="1:18" x14ac:dyDescent="0.2">
      <c r="A36" s="10" t="str">
        <f t="shared" ref="A36:D36" si="33">A16</f>
        <v>ABT</v>
      </c>
      <c r="B36" s="10" t="str">
        <f t="shared" si="33"/>
        <v>STRUCTURAL HEART</v>
      </c>
      <c r="C36" s="10" t="str">
        <f t="shared" si="33"/>
        <v>2020Q2</v>
      </c>
      <c r="D36" s="10">
        <f t="shared" si="33"/>
        <v>20200709</v>
      </c>
      <c r="E36" s="19">
        <f t="shared" si="5"/>
        <v>-0.33073269296072294</v>
      </c>
      <c r="F36" s="19">
        <f t="shared" ref="F36:J36" si="34">$S16/F16-1</f>
        <v>-0.32327684551644098</v>
      </c>
      <c r="G36" s="19">
        <f t="shared" si="31"/>
        <v>-0.19718561153353853</v>
      </c>
      <c r="H36" s="19">
        <f t="shared" si="34"/>
        <v>-0.21712606082214736</v>
      </c>
      <c r="I36" s="19">
        <f t="shared" si="34"/>
        <v>-0.35128046578518801</v>
      </c>
      <c r="J36" s="19">
        <f t="shared" si="34"/>
        <v>-0.28940344755678371</v>
      </c>
      <c r="K36" s="19">
        <f t="shared" ref="K36:Q36" si="35">$S16/K16-1</f>
        <v>-0.20885695107228885</v>
      </c>
      <c r="L36" s="19">
        <f t="shared" si="35"/>
        <v>-0.19477397527785789</v>
      </c>
      <c r="M36" s="19">
        <f t="shared" si="35"/>
        <v>-0.14093492793475149</v>
      </c>
      <c r="N36" s="19">
        <f t="shared" si="35"/>
        <v>-8.1416446482823202E-2</v>
      </c>
      <c r="O36" s="19">
        <f t="shared" si="35"/>
        <v>-0.11722664589747678</v>
      </c>
      <c r="P36" s="19">
        <f t="shared" si="35"/>
        <v>-0.15066636765878405</v>
      </c>
      <c r="Q36" s="19">
        <f t="shared" si="35"/>
        <v>-0.15119450234804166</v>
      </c>
      <c r="R36" s="42">
        <f t="shared" ref="R36" si="36">$S16/R16-1</f>
        <v>1.3363028953229383E-2</v>
      </c>
    </row>
    <row r="37" spans="1:18" x14ac:dyDescent="0.2">
      <c r="A37" s="10" t="str">
        <f t="shared" ref="A37:D37" si="37">A17</f>
        <v>ABT</v>
      </c>
      <c r="B37" s="10" t="str">
        <f t="shared" si="37"/>
        <v>STRUCTURAL HEART</v>
      </c>
      <c r="C37" s="10" t="str">
        <f t="shared" si="37"/>
        <v>2020Q3</v>
      </c>
      <c r="D37" s="10">
        <f t="shared" si="37"/>
        <v>20201015</v>
      </c>
      <c r="E37" s="19">
        <f t="shared" si="5"/>
        <v>1.7991299567692964E-2</v>
      </c>
      <c r="F37" s="19">
        <f t="shared" ref="F37:J37" si="38">$S17/F17-1</f>
        <v>2.6347032945057691E-3</v>
      </c>
      <c r="G37" s="19">
        <f t="shared" si="31"/>
        <v>-1.0709544757570022E-4</v>
      </c>
      <c r="H37" s="19">
        <f t="shared" si="38"/>
        <v>9.4606103308841449E-2</v>
      </c>
      <c r="I37" s="19">
        <f t="shared" si="38"/>
        <v>-0.11567313525998535</v>
      </c>
      <c r="J37" s="19">
        <f t="shared" si="38"/>
        <v>-4.8127754900433306E-3</v>
      </c>
      <c r="K37" s="19">
        <f t="shared" ref="K37:Q37" si="39">$S17/K17-1</f>
        <v>0.52105338010773372</v>
      </c>
      <c r="L37" s="19">
        <f t="shared" si="39"/>
        <v>0.48160247902211362</v>
      </c>
      <c r="M37" s="19">
        <f t="shared" si="39"/>
        <v>0.24548453405577697</v>
      </c>
      <c r="N37" s="19">
        <f t="shared" si="39"/>
        <v>0.3981894766587315</v>
      </c>
      <c r="O37" s="19">
        <f t="shared" si="39"/>
        <v>0.36318827798267828</v>
      </c>
      <c r="P37" s="19">
        <f t="shared" si="39"/>
        <v>0.40049543033700807</v>
      </c>
      <c r="Q37" s="19">
        <f t="shared" si="39"/>
        <v>0.39596486797376862</v>
      </c>
      <c r="R37" s="42">
        <f>$S17/R17-1</f>
        <v>9.8066298342541325E-2</v>
      </c>
    </row>
    <row r="38" spans="1:18" x14ac:dyDescent="0.2">
      <c r="A38" s="10" t="str">
        <f t="shared" ref="A38:D38" si="40">A18</f>
        <v>ABT</v>
      </c>
      <c r="B38" s="10" t="str">
        <f t="shared" si="40"/>
        <v>STRUCTURAL HEART</v>
      </c>
      <c r="C38" s="10" t="str">
        <f t="shared" si="40"/>
        <v>2020Q4</v>
      </c>
      <c r="D38" s="10">
        <f t="shared" si="40"/>
        <v>20210121</v>
      </c>
      <c r="E38" s="19">
        <f t="shared" ref="E38:J38" si="41">$S18/E18-1</f>
        <v>1.7083704007508027E-2</v>
      </c>
      <c r="F38" s="19">
        <f t="shared" si="41"/>
        <v>2.3066189824816119E-2</v>
      </c>
      <c r="G38" s="19">
        <f t="shared" si="31"/>
        <v>2.1299079563489087E-2</v>
      </c>
      <c r="H38" s="19">
        <f t="shared" si="41"/>
        <v>4.5898956503215294E-2</v>
      </c>
      <c r="I38" s="19">
        <f t="shared" si="41"/>
        <v>-0.1256420767921993</v>
      </c>
      <c r="J38" s="19">
        <f t="shared" si="41"/>
        <v>-7.8605085891287896E-3</v>
      </c>
      <c r="K38" s="19">
        <f t="shared" ref="K38:Q38" si="42">$S18/K18-1</f>
        <v>-8.9155532131801607E-4</v>
      </c>
      <c r="L38" s="19">
        <f t="shared" si="42"/>
        <v>2.0377797081205795E-2</v>
      </c>
      <c r="M38" s="19">
        <f t="shared" si="42"/>
        <v>2.1408467760501537E-2</v>
      </c>
      <c r="N38" s="19">
        <f t="shared" si="42"/>
        <v>-4.4497419353310086E-2</v>
      </c>
      <c r="O38" s="19">
        <f t="shared" si="42"/>
        <v>-1.1272914947737966E-2</v>
      </c>
      <c r="P38" s="19">
        <f t="shared" si="42"/>
        <v>-3.0624720896977875E-3</v>
      </c>
      <c r="Q38" s="19">
        <f t="shared" si="42"/>
        <v>-3.4885763077656673E-3</v>
      </c>
      <c r="R38" s="42">
        <f>$S18/R18-1</f>
        <v>-0.14775871610403979</v>
      </c>
    </row>
    <row r="39" spans="1:18" x14ac:dyDescent="0.2">
      <c r="A39" s="10" t="str">
        <f t="shared" ref="A39:D39" si="43">A19</f>
        <v>ABT</v>
      </c>
      <c r="B39" s="10" t="str">
        <f t="shared" si="43"/>
        <v>STRUCTURAL HEART</v>
      </c>
      <c r="C39" s="10" t="str">
        <f t="shared" si="43"/>
        <v>2021Q1</v>
      </c>
      <c r="D39" s="10">
        <f t="shared" si="43"/>
        <v>20210415</v>
      </c>
      <c r="E39" s="19">
        <f t="shared" ref="E39:J39" si="44">$S19/E19-1</f>
        <v>7.9686808794806829E-2</v>
      </c>
      <c r="F39" s="19">
        <f t="shared" si="44"/>
        <v>0.10375792083461555</v>
      </c>
      <c r="G39" s="19">
        <f t="shared" si="31"/>
        <v>0.14360762787099812</v>
      </c>
      <c r="H39" s="19">
        <f t="shared" si="44"/>
        <v>0.13547025520775713</v>
      </c>
      <c r="I39" s="19">
        <f t="shared" si="44"/>
        <v>-1.536166887457735E-2</v>
      </c>
      <c r="J39" s="19">
        <f t="shared" si="44"/>
        <v>8.6269394166990532E-2</v>
      </c>
      <c r="K39" s="19">
        <f t="shared" ref="K39:Q39" si="45">$S19/K19-1</f>
        <v>6.1551575883705967E-2</v>
      </c>
      <c r="L39" s="19">
        <f t="shared" si="45"/>
        <v>7.8872444239034722E-2</v>
      </c>
      <c r="M39" s="19">
        <f t="shared" si="45"/>
        <v>0.11975781703414867</v>
      </c>
      <c r="N39" s="19">
        <f t="shared" si="45"/>
        <v>8.5640489597588187E-2</v>
      </c>
      <c r="O39" s="19">
        <f t="shared" si="45"/>
        <v>0.12612730438014497</v>
      </c>
      <c r="P39" s="19">
        <f t="shared" si="45"/>
        <v>9.4875673804962535E-2</v>
      </c>
      <c r="Q39" s="19">
        <f t="shared" si="45"/>
        <v>9.4007867439206194E-2</v>
      </c>
      <c r="R39" s="42">
        <f>$S19/R19-1</f>
        <v>6.759317751105498E-2</v>
      </c>
    </row>
    <row r="40" spans="1:18" x14ac:dyDescent="0.2">
      <c r="A40" s="10" t="str">
        <f t="shared" ref="A40:D40" si="46">A20</f>
        <v>ABT</v>
      </c>
      <c r="B40" s="10" t="str">
        <f t="shared" si="46"/>
        <v>STRUCTURAL HEART</v>
      </c>
      <c r="C40" s="10" t="str">
        <f t="shared" si="46"/>
        <v>2021Q2</v>
      </c>
      <c r="D40" s="10">
        <f t="shared" si="46"/>
        <v>20210715</v>
      </c>
      <c r="E40" s="19">
        <f>$S20/E20-1</f>
        <v>9.3925954374364462E-2</v>
      </c>
      <c r="F40" s="19">
        <f t="shared" ref="F40:J40" si="47">$S20/F20-1</f>
        <v>0.1269322765800267</v>
      </c>
      <c r="G40" s="19">
        <f t="shared" si="31"/>
        <v>0.15294508987940403</v>
      </c>
      <c r="H40" s="19">
        <f t="shared" si="47"/>
        <v>7.6874064624227412E-2</v>
      </c>
      <c r="I40" s="19">
        <f t="shared" si="47"/>
        <v>1.3386845535210412E-2</v>
      </c>
      <c r="J40" s="19">
        <f t="shared" si="47"/>
        <v>9.0690691129690082E-2</v>
      </c>
      <c r="K40" s="19">
        <f t="shared" ref="K40:Q40" si="48">$S20/K20-1</f>
        <v>1.3188218531123841E-2</v>
      </c>
      <c r="L40" s="19">
        <f t="shared" si="48"/>
        <v>2.0995868122865025E-2</v>
      </c>
      <c r="M40" s="19">
        <f t="shared" si="48"/>
        <v>8.164917565117058E-3</v>
      </c>
      <c r="N40" s="19">
        <f t="shared" si="48"/>
        <v>-5.1605218467663305E-2</v>
      </c>
      <c r="O40" s="19">
        <f t="shared" si="48"/>
        <v>2.9197029509229866E-2</v>
      </c>
      <c r="P40" s="19">
        <f t="shared" si="48"/>
        <v>4.0701661912239118E-3</v>
      </c>
      <c r="Q40" s="19">
        <f t="shared" si="48"/>
        <v>3.29224337965206E-3</v>
      </c>
      <c r="R40" s="42">
        <f>$S20/R20-1</f>
        <v>7.909604519774005E-2</v>
      </c>
    </row>
    <row r="41" spans="1:18" x14ac:dyDescent="0.2">
      <c r="A41" s="172" t="s">
        <v>78</v>
      </c>
      <c r="B41" s="172"/>
      <c r="C41" s="168"/>
      <c r="D41" s="169"/>
      <c r="E41" s="81" cm="1">
        <f t="array" ref="E41">SUM(ABS(E26:E40))/COUNT(E26:E40)</f>
        <v>8.3895930315200165E-2</v>
      </c>
      <c r="F41" s="81" cm="1">
        <f t="array" ref="F41">SUM(ABS(F26:F40))/COUNT(F26:F40)</f>
        <v>8.8334256399732608E-2</v>
      </c>
      <c r="G41" s="81" cm="1">
        <f t="array" ref="G41">SUM(ABS(G26:G40))/COUNT(G26:G40)</f>
        <v>8.2972647750632206E-2</v>
      </c>
      <c r="H41" s="83" cm="1">
        <f t="array" ref="H41">SUM(ABS(H26:H40))/COUNT(H26:H40)</f>
        <v>8.0815569948188032E-2</v>
      </c>
      <c r="I41" s="81" cm="1">
        <f t="array" ref="I41">SUM(ABS(I26:I40))/COUNT(I26:I40)</f>
        <v>0.17201886310380499</v>
      </c>
      <c r="J41" s="83" cm="1">
        <f t="array" ref="J41">SUM(ABS(J26:J40))/COUNT(J26:J40)</f>
        <v>7.7582260291723049E-2</v>
      </c>
      <c r="K41" s="81" cm="1">
        <f t="array" ref="K41">SUM(ABS(K26:K40))/COUNT(K26:K40)</f>
        <v>0.13084758388340573</v>
      </c>
      <c r="L41" s="81" cm="1">
        <f t="array" ref="L41">SUM(ABS(L26:L40))/COUNT(L26:L40)</f>
        <v>0.13521515045019142</v>
      </c>
      <c r="M41" s="81" cm="1">
        <f t="array" ref="M41">SUM(ABS(M26:M40))/COUNT(M26:M40)</f>
        <v>0.10590926772567268</v>
      </c>
      <c r="N41" s="81" cm="1">
        <f t="array" ref="N41">SUM(ABS(N26:N40))/COUNT(N26:N40)</f>
        <v>8.1791278773465148E-2</v>
      </c>
      <c r="O41" s="81" cm="1">
        <f t="array" ref="O41">SUM(ABS(O26:O40))/COUNT(O26:O40)</f>
        <v>8.690843780988701E-2</v>
      </c>
      <c r="P41" s="81" cm="1">
        <f t="array" ref="P41">SUM(ABS(P26:P40))/COUNT(P26:P40)</f>
        <v>0.10144617766042716</v>
      </c>
      <c r="Q41" s="81" cm="1">
        <f t="array" ref="Q41">SUM(ABS(Q26:Q40))/COUNT(Q26:Q40)</f>
        <v>0.10220695206187605</v>
      </c>
      <c r="R41" s="83" cm="1">
        <f t="array" ref="R41">SUM(ABS(R26:R40))/COUNT(R26:R40)</f>
        <v>6.135239334012043E-2</v>
      </c>
    </row>
    <row r="42" spans="1:18" x14ac:dyDescent="0.2">
      <c r="A42" s="173" t="s">
        <v>79</v>
      </c>
      <c r="B42" s="173"/>
      <c r="C42" s="170"/>
      <c r="D42" s="171"/>
      <c r="E42" s="82" cm="1">
        <f t="array" ref="E42">SQRT(SUM(POWER(E26:E40,2))/COUNT(E26:E40))</f>
        <v>0.11567436368754622</v>
      </c>
      <c r="F42" s="82" cm="1">
        <f t="array" ref="F42">SQRT(SUM(POWER(F26:F40,2))/COUNT(F26:F40))</f>
        <v>0.11813403618633508</v>
      </c>
      <c r="G42" s="82" cm="1">
        <f t="array" ref="G42">SQRT(SUM(POWER(G26:G40,2))/COUNT(G26:G40))</f>
        <v>0.11866360273297624</v>
      </c>
      <c r="H42" s="84" cm="1">
        <f t="array" ref="H42">SQRT(SUM(POWER(H26:H40,2))/COUNT(H26:H40))</f>
        <v>9.516878545796216E-2</v>
      </c>
      <c r="I42" s="82" cm="1">
        <f t="array" ref="I42">SQRT(SUM(POWER(I26:I40,2))/COUNT(I26:I40))</f>
        <v>0.19298930580721607</v>
      </c>
      <c r="J42" s="84" cm="1">
        <f t="array" ref="J42">SQRT(SUM(POWER(J26:J40,2))/COUNT(J26:J40))</f>
        <v>0.10678745402110926</v>
      </c>
      <c r="K42" s="82" cm="1">
        <f t="array" ref="K42">SQRT(SUM(POWER(K26:K40,2))/COUNT(K26:K40))</f>
        <v>0.18163334222052308</v>
      </c>
      <c r="L42" s="82" cm="1">
        <f t="array" ref="L42">SQRT(SUM(POWER(L26:L40,2))/COUNT(L26:L40))</f>
        <v>0.1760428960287598</v>
      </c>
      <c r="M42" s="82" cm="1">
        <f t="array" ref="M42">SQRT(SUM(POWER(M26:M40,2))/COUNT(M26:M40))</f>
        <v>0.13950228009052448</v>
      </c>
      <c r="N42" s="82" cm="1">
        <f t="array" ref="N42">SQRT(SUM(POWER(N26:N40,2))/COUNT(N26:N40))</f>
        <v>0.12653377475342148</v>
      </c>
      <c r="O42" s="82" cm="1">
        <f t="array" ref="O42">SQRT(SUM(POWER(O26:O40,2))/COUNT(O26:O40))</f>
        <v>0.12818226692193999</v>
      </c>
      <c r="P42" s="82" cm="1">
        <f t="array" ref="P42">SQRT(SUM(POWER(P26:P40,2))/COUNT(P26:P40))</f>
        <v>0.13911975878158658</v>
      </c>
      <c r="Q42" s="82" cm="1">
        <f t="array" ref="Q42">SQRT(SUM(POWER(Q26:Q40,2))/COUNT(Q26:Q40))</f>
        <v>0.13883814065720582</v>
      </c>
      <c r="R42" s="84" cm="1">
        <f t="array" ref="R42">SQRT(SUM(POWER(R26:R40,2))/COUNT(R26:R40))</f>
        <v>7.560839411073407E-2</v>
      </c>
    </row>
    <row r="44" spans="1:18" x14ac:dyDescent="0.2">
      <c r="B44" t="s">
        <v>159</v>
      </c>
    </row>
  </sheetData>
  <mergeCells count="7">
    <mergeCell ref="A22:D22"/>
    <mergeCell ref="A4:B4"/>
    <mergeCell ref="A24:B24"/>
    <mergeCell ref="C41:D41"/>
    <mergeCell ref="C42:D42"/>
    <mergeCell ref="A41:B41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D12" sqref="D12"/>
    </sheetView>
  </sheetViews>
  <sheetFormatPr defaultRowHeight="12.75" x14ac:dyDescent="0.2"/>
  <cols>
    <col min="1" max="1" width="9.140625" style="74"/>
    <col min="3" max="3" width="12.85546875" bestFit="1" customWidth="1"/>
    <col min="4" max="4" width="8.85546875" customWidth="1"/>
    <col min="5" max="5" width="6.42578125" customWidth="1"/>
    <col min="6" max="6" width="8.42578125" bestFit="1" customWidth="1"/>
    <col min="7" max="7" width="14.42578125" bestFit="1" customWidth="1"/>
    <col min="8" max="8" width="8.140625" bestFit="1" customWidth="1"/>
    <col min="9" max="9" width="7.42578125" bestFit="1" customWidth="1"/>
    <col min="10" max="10" width="11.85546875" bestFit="1" customWidth="1"/>
    <col min="11" max="11" width="12.42578125" bestFit="1" customWidth="1"/>
    <col min="12" max="12" width="6.42578125" bestFit="1" customWidth="1"/>
    <col min="13" max="13" width="7.42578125" bestFit="1" customWidth="1"/>
  </cols>
  <sheetData>
    <row r="1" spans="1:17" x14ac:dyDescent="0.2">
      <c r="A1" s="74" t="s">
        <v>104</v>
      </c>
      <c r="B1" t="s">
        <v>84</v>
      </c>
    </row>
    <row r="2" spans="1:17" x14ac:dyDescent="0.2">
      <c r="A2" s="74" t="s">
        <v>99</v>
      </c>
      <c r="B2" t="s">
        <v>82</v>
      </c>
    </row>
    <row r="3" spans="1:17" x14ac:dyDescent="0.2">
      <c r="A3" s="74" t="s">
        <v>100</v>
      </c>
      <c r="B3" t="s">
        <v>148</v>
      </c>
    </row>
    <row r="4" spans="1:17" x14ac:dyDescent="0.2">
      <c r="A4" s="74" t="s">
        <v>101</v>
      </c>
      <c r="B4" t="s">
        <v>167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74" t="s">
        <v>102</v>
      </c>
      <c r="B7" s="174" t="s">
        <v>83</v>
      </c>
      <c r="C7" s="174"/>
      <c r="D7" s="174" t="s">
        <v>113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6"/>
      <c r="P7" s="6"/>
      <c r="Q7" s="6"/>
    </row>
    <row r="8" spans="1:17" ht="15" x14ac:dyDescent="0.2">
      <c r="A8" s="74" t="s">
        <v>173</v>
      </c>
      <c r="C8" s="78" t="s">
        <v>85</v>
      </c>
      <c r="D8" s="78" t="s">
        <v>86</v>
      </c>
      <c r="E8" s="78" t="s">
        <v>87</v>
      </c>
      <c r="F8" s="78" t="s">
        <v>88</v>
      </c>
      <c r="G8" s="78" t="s">
        <v>89</v>
      </c>
      <c r="H8" s="78" t="s">
        <v>90</v>
      </c>
      <c r="I8" s="78" t="s">
        <v>91</v>
      </c>
      <c r="J8" s="78" t="s">
        <v>92</v>
      </c>
      <c r="K8" s="78" t="s">
        <v>93</v>
      </c>
      <c r="L8" s="78" t="s">
        <v>94</v>
      </c>
      <c r="M8" s="78" t="s">
        <v>95</v>
      </c>
      <c r="O8" s="6"/>
      <c r="P8" s="6"/>
      <c r="Q8" s="6"/>
    </row>
    <row r="9" spans="1:17" ht="15" x14ac:dyDescent="0.2">
      <c r="B9" s="78" t="s">
        <v>96</v>
      </c>
      <c r="C9" s="2">
        <v>6.2577631686642848E-2</v>
      </c>
      <c r="D9" s="2">
        <v>4.9163928263960183E-2</v>
      </c>
      <c r="E9" s="2">
        <v>6.3109856483321541E-2</v>
      </c>
      <c r="F9" s="2">
        <v>7.4555898899684683E-2</v>
      </c>
      <c r="G9" s="2">
        <v>6.1863172723872477E-2</v>
      </c>
      <c r="H9" s="2">
        <v>6.3264512869175615E-2</v>
      </c>
      <c r="I9" s="2">
        <v>6.1786514541888132E-2</v>
      </c>
      <c r="J9" s="2">
        <v>6.1547130985379887E-2</v>
      </c>
      <c r="K9" s="2">
        <v>6.1288723165079502E-2</v>
      </c>
      <c r="L9" s="2">
        <v>7.6634933942515499E-2</v>
      </c>
      <c r="M9" s="2">
        <v>0.1188584038431692</v>
      </c>
      <c r="O9" s="6"/>
      <c r="P9" s="6"/>
      <c r="Q9" s="6"/>
    </row>
    <row r="10" spans="1:17" ht="15" x14ac:dyDescent="0.2">
      <c r="B10" s="78" t="s">
        <v>97</v>
      </c>
      <c r="C10" s="2">
        <v>8.1167469298454795E-2</v>
      </c>
      <c r="D10" s="2">
        <v>6.2891839644394307E-2</v>
      </c>
      <c r="E10" s="2">
        <v>7.2902894783076724E-2</v>
      </c>
      <c r="F10" s="2">
        <v>9.470262535362893E-2</v>
      </c>
      <c r="G10" s="2">
        <v>6.860456656846739E-2</v>
      </c>
      <c r="H10" s="2">
        <v>7.3221100723395535E-2</v>
      </c>
      <c r="I10" s="2">
        <v>7.2764973910900324E-2</v>
      </c>
      <c r="J10" s="2">
        <v>6.8378323809988775E-2</v>
      </c>
      <c r="K10" s="2">
        <v>6.7580200020982265E-2</v>
      </c>
      <c r="L10" s="2">
        <v>8.5308377629522245E-2</v>
      </c>
      <c r="M10" s="2">
        <v>0.1808739865203505</v>
      </c>
      <c r="O10" s="6"/>
      <c r="P10" s="6"/>
      <c r="Q10" s="6"/>
    </row>
    <row r="11" spans="1:17" ht="15" x14ac:dyDescent="0.2">
      <c r="B11" s="78" t="s">
        <v>98</v>
      </c>
      <c r="C11" s="2">
        <v>-4.4524451792551323E-2</v>
      </c>
      <c r="D11" s="2">
        <v>6.4118271665440929E-3</v>
      </c>
      <c r="E11" s="2">
        <v>-6.4586657042425777E-2</v>
      </c>
      <c r="F11" s="2">
        <v>-1.488842140101382E-2</v>
      </c>
      <c r="G11" s="2">
        <v>-3.3341742965856118E-2</v>
      </c>
      <c r="H11" s="2">
        <v>-6.5255956305692475E-2</v>
      </c>
      <c r="I11" s="2">
        <v>-6.4592457962042327E-2</v>
      </c>
      <c r="J11" s="2">
        <v>-3.4589289236895797E-2</v>
      </c>
      <c r="K11" s="2">
        <v>-3.8376320861007902E-2</v>
      </c>
      <c r="L11" s="2">
        <v>-6.0319280933157533E-2</v>
      </c>
      <c r="M11" s="2">
        <v>-4.1093966673701132E-2</v>
      </c>
      <c r="O11" s="6"/>
      <c r="P11" s="6"/>
      <c r="Q11" s="6"/>
    </row>
    <row r="12" spans="1:17" x14ac:dyDescent="0.2">
      <c r="C12" s="73"/>
      <c r="D12" s="2"/>
      <c r="E12" s="2"/>
      <c r="F12" s="73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74" t="s">
        <v>103</v>
      </c>
      <c r="B15" t="s">
        <v>106</v>
      </c>
      <c r="O15" s="6"/>
      <c r="P15" s="6"/>
      <c r="Q15" s="6"/>
    </row>
    <row r="16" spans="1:17" x14ac:dyDescent="0.2">
      <c r="B16" t="s">
        <v>140</v>
      </c>
      <c r="H16" s="75" t="s">
        <v>107</v>
      </c>
      <c r="O16" s="6"/>
      <c r="P16" s="6"/>
      <c r="Q16" s="6"/>
    </row>
    <row r="17" spans="1:17" x14ac:dyDescent="0.2">
      <c r="B17" t="s">
        <v>141</v>
      </c>
      <c r="H17" s="75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74" t="s">
        <v>105</v>
      </c>
      <c r="B20" s="175" t="s">
        <v>109</v>
      </c>
      <c r="C20" s="175"/>
      <c r="D20" s="175"/>
      <c r="E20" s="175"/>
      <c r="F20" s="70" t="e">
        <f>#REF!+#REF!*'2. Past Proj &amp; Candidate Model'!R20</f>
        <v>#REF!</v>
      </c>
      <c r="G20" s="76" t="s">
        <v>110</v>
      </c>
      <c r="H20" s="2" t="e">
        <f>'2. Past Proj &amp; Candidate Model'!S20/'3.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76" t="s">
        <v>160</v>
      </c>
      <c r="C24" s="176"/>
      <c r="D24" s="176"/>
      <c r="E24" s="3">
        <f>C9</f>
        <v>6.2577631686642848E-2</v>
      </c>
      <c r="F24" t="s">
        <v>111</v>
      </c>
      <c r="G24" s="176" t="s">
        <v>112</v>
      </c>
      <c r="H24" s="176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74" t="s">
        <v>108</v>
      </c>
      <c r="B27" t="s">
        <v>114</v>
      </c>
      <c r="O27" s="6"/>
      <c r="P27" s="6"/>
      <c r="Q27" s="6"/>
    </row>
    <row r="28" spans="1:17" x14ac:dyDescent="0.2">
      <c r="B28" t="s">
        <v>115</v>
      </c>
      <c r="O28" s="6"/>
      <c r="P28" s="6"/>
      <c r="Q28" s="6"/>
    </row>
    <row r="29" spans="1:17" x14ac:dyDescent="0.2">
      <c r="B29" t="s">
        <v>116</v>
      </c>
      <c r="O29" s="6"/>
      <c r="P29" s="6"/>
      <c r="Q29" s="6"/>
    </row>
    <row r="30" spans="1:17" x14ac:dyDescent="0.2">
      <c r="B30" t="s">
        <v>117</v>
      </c>
      <c r="O30" s="6"/>
      <c r="P30" s="6"/>
      <c r="Q30" s="6"/>
    </row>
    <row r="31" spans="1:17" x14ac:dyDescent="0.2">
      <c r="B31" t="s">
        <v>118</v>
      </c>
      <c r="O31" s="6"/>
      <c r="P31" s="6"/>
      <c r="Q31" s="6"/>
    </row>
    <row r="32" spans="1:17" x14ac:dyDescent="0.2">
      <c r="B32" t="s">
        <v>119</v>
      </c>
      <c r="O32" s="6"/>
      <c r="P32" s="6"/>
      <c r="Q32" s="6"/>
    </row>
    <row r="33" spans="2:17" x14ac:dyDescent="0.2">
      <c r="B33" t="s">
        <v>120</v>
      </c>
      <c r="O33" s="6"/>
      <c r="P33" s="6"/>
      <c r="Q33" s="6"/>
    </row>
    <row r="34" spans="2:17" x14ac:dyDescent="0.2">
      <c r="B34" t="s">
        <v>121</v>
      </c>
      <c r="O34" s="6"/>
      <c r="P34" s="6"/>
      <c r="Q34" s="6"/>
    </row>
    <row r="35" spans="2:17" x14ac:dyDescent="0.2">
      <c r="B35" t="s">
        <v>122</v>
      </c>
      <c r="O35" s="6"/>
      <c r="P35" s="6"/>
      <c r="Q35" s="6"/>
    </row>
    <row r="36" spans="2:17" x14ac:dyDescent="0.2">
      <c r="B36" t="s">
        <v>123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6"/>
  <sheetViews>
    <sheetView tabSelected="1" zoomScale="85" zoomScaleNormal="85" workbookViewId="0">
      <selection activeCell="G32" sqref="G32"/>
    </sheetView>
  </sheetViews>
  <sheetFormatPr defaultRowHeight="12.75" x14ac:dyDescent="0.2"/>
  <cols>
    <col min="1" max="1" width="9.140625" style="74"/>
    <col min="3" max="3" width="18.5703125" customWidth="1"/>
    <col min="4" max="13" width="14.7109375" customWidth="1"/>
  </cols>
  <sheetData>
    <row r="1" spans="1:25" x14ac:dyDescent="0.2">
      <c r="A1" s="74" t="s">
        <v>125</v>
      </c>
      <c r="B1" t="s">
        <v>84</v>
      </c>
    </row>
    <row r="2" spans="1:25" x14ac:dyDescent="0.2">
      <c r="A2" s="74" t="s">
        <v>99</v>
      </c>
      <c r="B2" s="85" t="s">
        <v>161</v>
      </c>
      <c r="C2" s="86" t="str">
        <f>E5</f>
        <v>LR</v>
      </c>
      <c r="D2" t="s">
        <v>162</v>
      </c>
    </row>
    <row r="4" spans="1:25" x14ac:dyDescent="0.2">
      <c r="A4" s="74" t="s">
        <v>100</v>
      </c>
      <c r="B4" t="s">
        <v>124</v>
      </c>
    </row>
    <row r="5" spans="1:25" ht="15" x14ac:dyDescent="0.2">
      <c r="A5" s="74" t="s">
        <v>174</v>
      </c>
      <c r="C5" s="78" t="s">
        <v>85</v>
      </c>
      <c r="D5" s="78" t="s">
        <v>86</v>
      </c>
      <c r="E5" s="78" t="s">
        <v>87</v>
      </c>
      <c r="F5" s="78" t="s">
        <v>88</v>
      </c>
      <c r="G5" s="78" t="s">
        <v>89</v>
      </c>
      <c r="H5" s="78" t="s">
        <v>90</v>
      </c>
      <c r="I5" s="78" t="s">
        <v>91</v>
      </c>
      <c r="J5" s="78" t="s">
        <v>92</v>
      </c>
      <c r="K5" s="78" t="s">
        <v>93</v>
      </c>
      <c r="L5" s="78" t="s">
        <v>94</v>
      </c>
      <c r="M5" s="78" t="s">
        <v>95</v>
      </c>
    </row>
    <row r="6" spans="1:25" ht="15" x14ac:dyDescent="0.2">
      <c r="B6" s="78" t="s">
        <v>96</v>
      </c>
      <c r="C6" s="2">
        <v>5.5624561499238077E-2</v>
      </c>
      <c r="D6" s="2">
        <v>6.0551206654238458E-2</v>
      </c>
      <c r="E6" s="2">
        <v>7.3040758207370424E-2</v>
      </c>
      <c r="F6" s="2">
        <v>6.7569793266155032E-2</v>
      </c>
      <c r="G6" s="2">
        <v>6.3346522715428955E-2</v>
      </c>
      <c r="H6" s="2">
        <v>7.3208366882636489E-2</v>
      </c>
      <c r="I6" s="2">
        <v>7.1864797320347992E-2</v>
      </c>
      <c r="J6" s="2">
        <v>6.3055630277640898E-2</v>
      </c>
      <c r="K6" s="2">
        <v>6.2837541943747396E-2</v>
      </c>
      <c r="L6" s="2">
        <v>8.3757321861461204E-2</v>
      </c>
      <c r="M6" s="2">
        <v>0.12156860881172731</v>
      </c>
    </row>
    <row r="7" spans="1:25" ht="15" x14ac:dyDescent="0.2">
      <c r="B7" s="78" t="s">
        <v>97</v>
      </c>
      <c r="C7" s="2">
        <v>7.6525423936917705E-2</v>
      </c>
      <c r="D7" s="2">
        <v>7.7917776259886787E-2</v>
      </c>
      <c r="E7" s="2">
        <v>8.5486345983579862E-2</v>
      </c>
      <c r="F7" s="2">
        <v>8.9371349213244231E-2</v>
      </c>
      <c r="G7" s="2">
        <v>6.9369971358179974E-2</v>
      </c>
      <c r="H7" s="2">
        <v>8.5781382080865123E-2</v>
      </c>
      <c r="I7" s="2">
        <v>8.5382443334623623E-2</v>
      </c>
      <c r="J7" s="2">
        <v>6.9160297146005814E-2</v>
      </c>
      <c r="K7" s="2">
        <v>6.8472162495272312E-2</v>
      </c>
      <c r="L7" s="2">
        <v>9.3110982603194364E-2</v>
      </c>
      <c r="M7" s="2">
        <v>0.17708874915974521</v>
      </c>
    </row>
    <row r="8" spans="1:25" ht="15" x14ac:dyDescent="0.2">
      <c r="B8" s="78" t="s">
        <v>98</v>
      </c>
      <c r="C8" s="2">
        <v>-2.5735294117647078E-2</v>
      </c>
      <c r="D8" s="2">
        <v>5.031446540880502E-3</v>
      </c>
      <c r="E8" s="2">
        <v>-7.7125278140916964E-2</v>
      </c>
      <c r="F8" s="2">
        <v>-1.168094819791787E-2</v>
      </c>
      <c r="G8" s="2">
        <v>-4.1843782191007588E-2</v>
      </c>
      <c r="H8" s="2">
        <v>-7.8198263496436105E-2</v>
      </c>
      <c r="I8" s="2">
        <v>-7.7134346012923127E-2</v>
      </c>
      <c r="J8" s="2">
        <v>-4.3622133097530817E-2</v>
      </c>
      <c r="K8" s="2">
        <v>-4.1906688062890218E-2</v>
      </c>
      <c r="L8" s="2">
        <v>-6.3333809587294287E-2</v>
      </c>
      <c r="M8" s="2">
        <v>-4.6394291672040337E-2</v>
      </c>
    </row>
    <row r="10" spans="1:25" ht="15" x14ac:dyDescent="0.2">
      <c r="A10" s="74" t="s">
        <v>101</v>
      </c>
      <c r="B10" s="79" t="s">
        <v>163</v>
      </c>
    </row>
    <row r="12" spans="1:25" x14ac:dyDescent="0.2">
      <c r="A12" s="74" t="s">
        <v>102</v>
      </c>
      <c r="B12" t="s">
        <v>139</v>
      </c>
    </row>
    <row r="13" spans="1:25" ht="15" x14ac:dyDescent="0.2">
      <c r="B13" s="78" t="s">
        <v>126</v>
      </c>
      <c r="C13" s="78" t="s">
        <v>127</v>
      </c>
      <c r="D13" s="78" t="s">
        <v>85</v>
      </c>
      <c r="E13" s="78" t="s">
        <v>86</v>
      </c>
      <c r="F13" s="78" t="s">
        <v>87</v>
      </c>
      <c r="G13" s="78" t="s">
        <v>88</v>
      </c>
      <c r="H13" s="78" t="s">
        <v>89</v>
      </c>
      <c r="I13" s="78" t="s">
        <v>90</v>
      </c>
      <c r="J13" s="78" t="s">
        <v>91</v>
      </c>
      <c r="K13" s="78" t="s">
        <v>92</v>
      </c>
      <c r="L13" s="78" t="s">
        <v>93</v>
      </c>
      <c r="M13" s="78" t="s">
        <v>94</v>
      </c>
      <c r="N13" s="78" t="s">
        <v>95</v>
      </c>
      <c r="O13" s="78" t="s">
        <v>128</v>
      </c>
      <c r="P13" s="78" t="s">
        <v>129</v>
      </c>
      <c r="Q13" s="78" t="s">
        <v>130</v>
      </c>
      <c r="R13" s="78" t="s">
        <v>131</v>
      </c>
      <c r="S13" s="78" t="s">
        <v>132</v>
      </c>
      <c r="T13" s="78" t="s">
        <v>133</v>
      </c>
      <c r="U13" s="78" t="s">
        <v>134</v>
      </c>
      <c r="V13" s="78" t="s">
        <v>135</v>
      </c>
      <c r="W13" s="78" t="s">
        <v>136</v>
      </c>
      <c r="X13" s="78" t="s">
        <v>137</v>
      </c>
      <c r="Y13" s="78" t="s">
        <v>138</v>
      </c>
    </row>
    <row r="14" spans="1:25" x14ac:dyDescent="0.2">
      <c r="B14" t="s">
        <v>169</v>
      </c>
      <c r="C14">
        <v>112</v>
      </c>
      <c r="D14">
        <v>108.8</v>
      </c>
      <c r="E14">
        <v>124.9</v>
      </c>
    </row>
    <row r="15" spans="1:25" x14ac:dyDescent="0.2">
      <c r="B15" t="s">
        <v>42</v>
      </c>
      <c r="C15">
        <v>109</v>
      </c>
      <c r="D15">
        <v>117.5</v>
      </c>
      <c r="E15">
        <v>111.4</v>
      </c>
    </row>
    <row r="16" spans="1:25" x14ac:dyDescent="0.2">
      <c r="B16" t="s">
        <v>43</v>
      </c>
      <c r="C16">
        <v>118</v>
      </c>
      <c r="D16">
        <v>113.1</v>
      </c>
      <c r="E16">
        <v>130.9</v>
      </c>
    </row>
    <row r="17" spans="2:25" x14ac:dyDescent="0.2">
      <c r="B17" t="s">
        <v>44</v>
      </c>
      <c r="C17">
        <v>126</v>
      </c>
      <c r="D17">
        <v>118.3</v>
      </c>
      <c r="E17">
        <v>125.5</v>
      </c>
    </row>
    <row r="18" spans="2:25" x14ac:dyDescent="0.2">
      <c r="B18" t="s">
        <v>45</v>
      </c>
      <c r="C18">
        <v>135</v>
      </c>
      <c r="D18">
        <v>129.1</v>
      </c>
      <c r="E18">
        <v>148.80000000000001</v>
      </c>
    </row>
    <row r="19" spans="2:25" x14ac:dyDescent="0.2">
      <c r="B19" t="s">
        <v>46</v>
      </c>
      <c r="C19">
        <v>136</v>
      </c>
      <c r="D19">
        <v>132.5</v>
      </c>
      <c r="E19">
        <v>148.4</v>
      </c>
      <c r="F19">
        <v>133.69069151116091</v>
      </c>
      <c r="G19">
        <v>136.91928812263191</v>
      </c>
      <c r="H19">
        <v>138.54109072503979</v>
      </c>
      <c r="I19">
        <v>133.69050448776539</v>
      </c>
      <c r="J19">
        <v>133.68931859785249</v>
      </c>
      <c r="K19">
        <v>138.18044938001299</v>
      </c>
      <c r="L19">
        <v>138.53138545958899</v>
      </c>
      <c r="M19">
        <v>134.3380808224143</v>
      </c>
      <c r="N19">
        <v>134.0189183903822</v>
      </c>
      <c r="O19" s="2">
        <v>-2.5735294117647078E-2</v>
      </c>
      <c r="P19" s="2">
        <v>9.1176470588235414E-2</v>
      </c>
      <c r="Q19" s="2">
        <v>-1.698020947675782E-2</v>
      </c>
      <c r="R19" s="2">
        <v>6.7594714899403829E-3</v>
      </c>
      <c r="S19" s="2">
        <v>1.8684490625292541E-2</v>
      </c>
      <c r="T19" s="2">
        <v>-1.6981584648783628E-2</v>
      </c>
      <c r="U19" s="2">
        <v>-1.6990304427555229E-2</v>
      </c>
      <c r="V19" s="2">
        <v>1.6032716029507291E-2</v>
      </c>
      <c r="W19" s="2">
        <v>1.8613128379330709E-2</v>
      </c>
      <c r="X19" s="2">
        <v>-1.221999395283579E-2</v>
      </c>
      <c r="Y19" s="2">
        <v>-1.456677654130756E-2</v>
      </c>
    </row>
    <row r="20" spans="2:25" x14ac:dyDescent="0.2">
      <c r="B20" t="s">
        <v>47</v>
      </c>
      <c r="C20">
        <v>152</v>
      </c>
      <c r="D20">
        <v>141.69999999999999</v>
      </c>
      <c r="E20">
        <v>156.19999999999999</v>
      </c>
      <c r="F20">
        <v>140.27695772258059</v>
      </c>
      <c r="G20">
        <v>146.4464802276209</v>
      </c>
      <c r="H20">
        <v>145.63974510696681</v>
      </c>
      <c r="I20">
        <v>140.11386394854171</v>
      </c>
      <c r="J20">
        <v>140.27557940603569</v>
      </c>
      <c r="K20">
        <v>145.36943576917531</v>
      </c>
      <c r="L20">
        <v>145.63018341444069</v>
      </c>
      <c r="M20">
        <v>142.37326094273129</v>
      </c>
      <c r="N20">
        <v>161.50977139436151</v>
      </c>
      <c r="O20" s="2">
        <v>-6.7763157894736969E-2</v>
      </c>
      <c r="P20" s="2">
        <v>2.7631578947368451E-2</v>
      </c>
      <c r="Q20" s="2">
        <v>-7.7125278140916964E-2</v>
      </c>
      <c r="R20" s="2">
        <v>-3.6536314291968019E-2</v>
      </c>
      <c r="S20" s="2">
        <v>-4.1843782191007588E-2</v>
      </c>
      <c r="T20" s="2">
        <v>-7.8198263496436105E-2</v>
      </c>
      <c r="U20" s="2">
        <v>-7.7134346012923127E-2</v>
      </c>
      <c r="V20" s="2">
        <v>-4.3622133097530817E-2</v>
      </c>
      <c r="W20" s="2">
        <v>-4.1906688062890218E-2</v>
      </c>
      <c r="X20" s="2">
        <v>-6.3333809587294287E-2</v>
      </c>
      <c r="Y20" s="2">
        <v>6.2564285489220106E-2</v>
      </c>
    </row>
    <row r="21" spans="2:25" x14ac:dyDescent="0.2">
      <c r="B21" t="s">
        <v>48</v>
      </c>
      <c r="C21">
        <v>158</v>
      </c>
      <c r="D21">
        <v>158.4</v>
      </c>
      <c r="E21">
        <v>173.2</v>
      </c>
      <c r="F21">
        <v>160.06598312348819</v>
      </c>
      <c r="G21">
        <v>169.87646408154421</v>
      </c>
      <c r="H21">
        <v>168.40835643611359</v>
      </c>
      <c r="I21">
        <v>159.85802287272941</v>
      </c>
      <c r="J21">
        <v>158.38785166908769</v>
      </c>
      <c r="K21">
        <v>168.101743737162</v>
      </c>
      <c r="L21">
        <v>166.05960774059341</v>
      </c>
      <c r="M21">
        <v>178.277240714897</v>
      </c>
      <c r="N21">
        <v>231.49370008188731</v>
      </c>
      <c r="O21" s="2">
        <v>2.5316455696202671E-3</v>
      </c>
      <c r="P21" s="2">
        <v>9.6202531645569467E-2</v>
      </c>
      <c r="Q21" s="2">
        <v>1.307584255372252E-2</v>
      </c>
      <c r="R21" s="2">
        <v>7.5167494186988426E-2</v>
      </c>
      <c r="S21" s="2">
        <v>6.5875673646288657E-2</v>
      </c>
      <c r="T21" s="2">
        <v>1.175963843499628E-2</v>
      </c>
      <c r="U21" s="2">
        <v>2.454757399289464E-3</v>
      </c>
      <c r="V21" s="2">
        <v>6.3935086944063357E-2</v>
      </c>
      <c r="W21" s="2">
        <v>5.1010175573375838E-2</v>
      </c>
      <c r="X21" s="2">
        <v>0.12833696654998089</v>
      </c>
      <c r="Y21" s="2">
        <v>0.46515000051827382</v>
      </c>
    </row>
    <row r="22" spans="2:25" x14ac:dyDescent="0.2">
      <c r="B22" t="s">
        <v>49</v>
      </c>
      <c r="C22">
        <v>170</v>
      </c>
      <c r="D22">
        <v>169.1</v>
      </c>
      <c r="E22">
        <v>170.5</v>
      </c>
      <c r="F22">
        <v>156.71315848419269</v>
      </c>
      <c r="G22">
        <v>173.43340837273561</v>
      </c>
      <c r="H22">
        <v>165.7772503640802</v>
      </c>
      <c r="I22">
        <v>156.62252092441901</v>
      </c>
      <c r="J22">
        <v>156.71230038411991</v>
      </c>
      <c r="K22">
        <v>165.65540428603569</v>
      </c>
      <c r="L22">
        <v>164.07618787794871</v>
      </c>
      <c r="M22">
        <v>157.712168446536</v>
      </c>
      <c r="N22">
        <v>157.461176113025</v>
      </c>
      <c r="O22" s="2">
        <v>-5.2941176470588944E-3</v>
      </c>
      <c r="P22" s="2">
        <v>2.9411764705882248E-3</v>
      </c>
      <c r="Q22" s="2">
        <v>-7.8157891269454938E-2</v>
      </c>
      <c r="R22" s="2">
        <v>2.0196519839621011E-2</v>
      </c>
      <c r="S22" s="2">
        <v>-2.4839703740704659E-2</v>
      </c>
      <c r="T22" s="2">
        <v>-7.869105338577087E-2</v>
      </c>
      <c r="U22" s="2">
        <v>-7.8162938916941704E-2</v>
      </c>
      <c r="V22" s="2">
        <v>-2.555644537626078E-2</v>
      </c>
      <c r="W22" s="2">
        <v>-3.4845953659125573E-2</v>
      </c>
      <c r="X22" s="2">
        <v>-7.2281362079199996E-2</v>
      </c>
      <c r="Y22" s="2">
        <v>-7.3757787570441269E-2</v>
      </c>
    </row>
    <row r="23" spans="2:25" x14ac:dyDescent="0.2">
      <c r="B23" t="s">
        <v>52</v>
      </c>
      <c r="C23">
        <v>159</v>
      </c>
      <c r="D23">
        <v>144.80000000000001</v>
      </c>
      <c r="E23">
        <v>159.80000000000001</v>
      </c>
      <c r="F23">
        <v>150.72436228491441</v>
      </c>
      <c r="G23">
        <v>147.6967302838016</v>
      </c>
      <c r="H23">
        <v>149.59813224298401</v>
      </c>
      <c r="I23">
        <v>150.68212979072311</v>
      </c>
      <c r="J23">
        <v>150.72395938412529</v>
      </c>
      <c r="K23">
        <v>149.58583227213339</v>
      </c>
      <c r="L23">
        <v>149.53205908331699</v>
      </c>
      <c r="M23">
        <v>149.8885443876357</v>
      </c>
      <c r="N23">
        <v>151.62330762414561</v>
      </c>
      <c r="O23" s="2">
        <v>-8.9308176100628911E-2</v>
      </c>
      <c r="P23" s="2">
        <v>5.031446540880502E-3</v>
      </c>
      <c r="Q23" s="2">
        <v>-5.2048035943934597E-2</v>
      </c>
      <c r="R23" s="2">
        <v>-7.1089746642757246E-2</v>
      </c>
      <c r="S23" s="2">
        <v>-5.9131243754817708E-2</v>
      </c>
      <c r="T23" s="2">
        <v>-5.2313649114948853E-2</v>
      </c>
      <c r="U23" s="2">
        <v>-5.2050569911161533E-2</v>
      </c>
      <c r="V23" s="2">
        <v>-5.9208602062053813E-2</v>
      </c>
      <c r="W23" s="2">
        <v>-5.9546798218132142E-2</v>
      </c>
      <c r="X23" s="2">
        <v>-5.7304752279020772E-2</v>
      </c>
      <c r="Y23" s="2">
        <v>-4.6394291672040337E-2</v>
      </c>
    </row>
    <row r="24" spans="2:25" x14ac:dyDescent="0.2">
      <c r="B24" t="s">
        <v>53</v>
      </c>
      <c r="C24">
        <v>154</v>
      </c>
      <c r="D24">
        <v>180.7</v>
      </c>
      <c r="E24">
        <v>155.19999999999999</v>
      </c>
      <c r="F24">
        <v>147.51636666544459</v>
      </c>
      <c r="G24">
        <v>185.9782291536734</v>
      </c>
      <c r="H24">
        <v>168.8346256424887</v>
      </c>
      <c r="I24">
        <v>147.4909567711729</v>
      </c>
      <c r="J24">
        <v>147.51610597191839</v>
      </c>
      <c r="K24">
        <v>168.7369919872572</v>
      </c>
      <c r="L24">
        <v>168.81123358619641</v>
      </c>
      <c r="M24">
        <v>146.3481673658153</v>
      </c>
      <c r="N24">
        <v>148.48777918199431</v>
      </c>
      <c r="O24" s="2">
        <v>0.17337662337662341</v>
      </c>
      <c r="P24" s="2">
        <v>7.7922077922076838E-3</v>
      </c>
      <c r="Q24" s="2">
        <v>-4.2101515159450709E-2</v>
      </c>
      <c r="R24" s="2">
        <v>0.20765083866021691</v>
      </c>
      <c r="S24" s="2">
        <v>9.6328737938238485E-2</v>
      </c>
      <c r="T24" s="2">
        <v>-4.2266514472903187E-2</v>
      </c>
      <c r="U24" s="2">
        <v>-4.210320797455569E-2</v>
      </c>
      <c r="V24" s="2">
        <v>9.5694753164007773E-2</v>
      </c>
      <c r="W24" s="2">
        <v>9.6176841468807561E-2</v>
      </c>
      <c r="X24" s="2">
        <v>-4.9687224897303477E-2</v>
      </c>
      <c r="Y24" s="2">
        <v>-3.579364167536192E-2</v>
      </c>
    </row>
    <row r="25" spans="2:25" x14ac:dyDescent="0.2">
      <c r="B25" t="s">
        <v>54</v>
      </c>
      <c r="C25">
        <v>169</v>
      </c>
      <c r="D25">
        <v>158.30000000000001</v>
      </c>
      <c r="E25">
        <v>155.6</v>
      </c>
      <c r="F25">
        <v>148.6427056877649</v>
      </c>
      <c r="G25">
        <v>155.11560253226739</v>
      </c>
      <c r="H25">
        <v>151.84141860564239</v>
      </c>
      <c r="I25">
        <v>148.61882185776631</v>
      </c>
      <c r="J25">
        <v>148.64244023463269</v>
      </c>
      <c r="K25">
        <v>151.8486943854646</v>
      </c>
      <c r="L25">
        <v>151.8404860464361</v>
      </c>
      <c r="M25">
        <v>147.9622526447682</v>
      </c>
      <c r="N25">
        <v>150.172091287737</v>
      </c>
      <c r="O25" s="2">
        <v>-6.3313609467455567E-2</v>
      </c>
      <c r="P25" s="2">
        <v>-7.928994082840235E-2</v>
      </c>
      <c r="Q25" s="2">
        <v>-0.1204573627942903</v>
      </c>
      <c r="R25" s="2">
        <v>-8.2156198033920602E-2</v>
      </c>
      <c r="S25" s="2">
        <v>-0.101530067422234</v>
      </c>
      <c r="T25" s="2">
        <v>-0.1205986872321522</v>
      </c>
      <c r="U25" s="2">
        <v>-0.1204589335228832</v>
      </c>
      <c r="V25" s="2">
        <v>-0.1014870154706239</v>
      </c>
      <c r="W25" s="2">
        <v>-0.10153558552404671</v>
      </c>
      <c r="X25" s="2">
        <v>-0.1244837121611351</v>
      </c>
      <c r="Y25" s="2">
        <v>-0.11140774385954461</v>
      </c>
    </row>
    <row r="26" spans="2:25" x14ac:dyDescent="0.2">
      <c r="B26" t="s">
        <v>55</v>
      </c>
      <c r="C26">
        <v>191</v>
      </c>
      <c r="D26">
        <v>177</v>
      </c>
      <c r="E26">
        <v>175.1</v>
      </c>
      <c r="F26">
        <v>170.9578511431435</v>
      </c>
      <c r="G26">
        <v>172.49389386205559</v>
      </c>
      <c r="H26">
        <v>174.44570864777231</v>
      </c>
      <c r="I26">
        <v>170.88641797602389</v>
      </c>
      <c r="J26">
        <v>170.95702188956909</v>
      </c>
      <c r="K26">
        <v>174.41350351385259</v>
      </c>
      <c r="L26">
        <v>174.4451486429289</v>
      </c>
      <c r="M26">
        <v>170.86255484362951</v>
      </c>
      <c r="N26">
        <v>164.02455364693969</v>
      </c>
      <c r="O26" s="2">
        <v>-7.3298429319371694E-2</v>
      </c>
      <c r="P26" s="2">
        <v>-8.3246073298429368E-2</v>
      </c>
      <c r="Q26" s="2">
        <v>-0.10493271652804451</v>
      </c>
      <c r="R26" s="2">
        <v>-9.6890608052064842E-2</v>
      </c>
      <c r="S26" s="2">
        <v>-8.6671682472396205E-2</v>
      </c>
      <c r="T26" s="2">
        <v>-0.1053067121674138</v>
      </c>
      <c r="U26" s="2">
        <v>-0.10493705816979509</v>
      </c>
      <c r="V26" s="2">
        <v>-8.6840295738991435E-2</v>
      </c>
      <c r="W26" s="2">
        <v>-8.6674614434927189E-2</v>
      </c>
      <c r="X26" s="2">
        <v>-0.1054316500333536</v>
      </c>
      <c r="Y26" s="2">
        <v>-0.14123270341916391</v>
      </c>
    </row>
    <row r="27" spans="2:25" x14ac:dyDescent="0.2">
      <c r="B27" t="s">
        <v>71</v>
      </c>
      <c r="C27">
        <v>203.1</v>
      </c>
      <c r="D27">
        <v>203.1</v>
      </c>
      <c r="E27">
        <v>172.3</v>
      </c>
      <c r="F27">
        <v>172.1296928868484</v>
      </c>
      <c r="G27">
        <v>200.72759942100291</v>
      </c>
      <c r="H27">
        <v>187.8241741702154</v>
      </c>
      <c r="I27">
        <v>172.07460668506531</v>
      </c>
      <c r="J27">
        <v>172.1290658057957</v>
      </c>
      <c r="K27">
        <v>187.84239184054539</v>
      </c>
      <c r="L27">
        <v>187.82117447964529</v>
      </c>
      <c r="M27">
        <v>174.51643203923419</v>
      </c>
      <c r="N27">
        <v>174.0058745174249</v>
      </c>
      <c r="O27" s="2">
        <v>0</v>
      </c>
      <c r="P27" s="2">
        <v>-0.1516494337764647</v>
      </c>
      <c r="Q27" s="2">
        <v>-0.1524879719997615</v>
      </c>
      <c r="R27" s="2">
        <v>-1.168094819791787E-2</v>
      </c>
      <c r="S27" s="2">
        <v>-7.521332264788072E-2</v>
      </c>
      <c r="T27" s="2">
        <v>-0.15275919899032339</v>
      </c>
      <c r="U27" s="2">
        <v>-0.15249105954802691</v>
      </c>
      <c r="V27" s="2">
        <v>-7.5123624615728968E-2</v>
      </c>
      <c r="W27" s="2">
        <v>-7.5228092173090566E-2</v>
      </c>
      <c r="X27" s="2">
        <v>-0.1407364252130269</v>
      </c>
      <c r="Y27" s="2">
        <v>-0.1432502485601925</v>
      </c>
    </row>
    <row r="28" spans="2:25" x14ac:dyDescent="0.2">
      <c r="C28" s="117" t="s">
        <v>149</v>
      </c>
      <c r="D28" s="117"/>
      <c r="E28" s="117"/>
      <c r="F28">
        <f>F$27/(1+Q28)</f>
        <v>183.08570552165833</v>
      </c>
      <c r="M28" s="117" t="s">
        <v>142</v>
      </c>
      <c r="N28" s="117"/>
      <c r="O28" s="117"/>
      <c r="P28" s="117"/>
      <c r="Q28" s="1">
        <f>AVERAGE(Q19:Q26)</f>
        <v>-5.9840895844890912E-2</v>
      </c>
    </row>
    <row r="29" spans="2:25" x14ac:dyDescent="0.2">
      <c r="C29" s="175" t="s">
        <v>150</v>
      </c>
      <c r="D29" s="175"/>
      <c r="E29" s="175"/>
      <c r="F29">
        <f t="shared" ref="F29:F33" si="0">F$27/(1+Q29)</f>
        <v>184.01457941856125</v>
      </c>
      <c r="M29" s="175" t="s">
        <v>144</v>
      </c>
      <c r="N29" s="175"/>
      <c r="O29" s="175"/>
      <c r="P29" s="175"/>
      <c r="Q29" s="1">
        <f>MEDIAN(Q19:Q26)</f>
        <v>-6.4586657042425777E-2</v>
      </c>
    </row>
    <row r="30" spans="2:25" x14ac:dyDescent="0.2">
      <c r="C30" s="176" t="s">
        <v>151</v>
      </c>
      <c r="D30" s="176"/>
      <c r="E30" s="176"/>
      <c r="F30">
        <f t="shared" si="0"/>
        <v>185.13696680234045</v>
      </c>
      <c r="M30" s="176" t="s">
        <v>143</v>
      </c>
      <c r="N30" s="176"/>
      <c r="O30" s="176"/>
      <c r="P30" s="176"/>
      <c r="Q30" s="1">
        <f>AVERAGE(Q22:Q26,Q19:Q20)</f>
        <v>-7.0257572758978551E-2</v>
      </c>
    </row>
    <row r="31" spans="2:25" x14ac:dyDescent="0.2">
      <c r="C31" s="178" t="s">
        <v>152</v>
      </c>
      <c r="D31" s="178"/>
      <c r="E31" s="178"/>
      <c r="F31">
        <f t="shared" si="0"/>
        <v>186.51469024972545</v>
      </c>
      <c r="G31" s="2">
        <f>F28/177-1</f>
        <v>3.4382517071515961E-2</v>
      </c>
      <c r="M31" s="178" t="s">
        <v>145</v>
      </c>
      <c r="N31" s="178"/>
      <c r="O31" s="178"/>
      <c r="P31" s="178"/>
      <c r="Q31" s="1">
        <f>MEDIAN(Q22:Q26,Q19:Q20)</f>
        <v>-7.7125278140916964E-2</v>
      </c>
    </row>
    <row r="32" spans="2:25" x14ac:dyDescent="0.2">
      <c r="C32" s="179" t="s">
        <v>153</v>
      </c>
      <c r="D32" s="179"/>
      <c r="E32" s="179"/>
      <c r="F32">
        <f t="shared" si="0"/>
        <v>169.90800259628193</v>
      </c>
      <c r="G32" s="2">
        <f>F27/177-1</f>
        <v>-2.7515859396336717E-2</v>
      </c>
      <c r="M32" s="179" t="s">
        <v>146</v>
      </c>
      <c r="N32" s="179"/>
      <c r="O32" s="179"/>
      <c r="P32" s="179"/>
      <c r="Q32" s="1">
        <f>AVERAGE(Q21)</f>
        <v>1.307584255372252E-2</v>
      </c>
    </row>
    <row r="33" spans="1:17" x14ac:dyDescent="0.2">
      <c r="C33" s="180" t="s">
        <v>154</v>
      </c>
      <c r="D33" s="180"/>
      <c r="E33" s="180"/>
      <c r="F33">
        <f t="shared" si="0"/>
        <v>169.90800259628193</v>
      </c>
      <c r="M33" s="180" t="s">
        <v>147</v>
      </c>
      <c r="N33" s="180"/>
      <c r="O33" s="180"/>
      <c r="P33" s="180"/>
      <c r="Q33" s="1">
        <f>Q21</f>
        <v>1.307584255372252E-2</v>
      </c>
    </row>
    <row r="36" spans="1:17" x14ac:dyDescent="0.2">
      <c r="A36" s="74" t="s">
        <v>103</v>
      </c>
      <c r="B36" t="s">
        <v>155</v>
      </c>
    </row>
    <row r="37" spans="1:17" x14ac:dyDescent="0.2">
      <c r="B37" t="s">
        <v>156</v>
      </c>
    </row>
    <row r="43" spans="1:17" x14ac:dyDescent="0.2">
      <c r="A43" s="74" t="s">
        <v>105</v>
      </c>
      <c r="B43" s="87" t="s">
        <v>157</v>
      </c>
      <c r="C43" s="88">
        <f>F31</f>
        <v>186.51469024972545</v>
      </c>
      <c r="D43" t="s">
        <v>175</v>
      </c>
    </row>
    <row r="45" spans="1:17" x14ac:dyDescent="0.2">
      <c r="B45" s="177" t="s">
        <v>165</v>
      </c>
      <c r="C45" s="177"/>
      <c r="D45" s="2">
        <f>C43/D27-1</f>
        <v>-8.1660806254429064E-2</v>
      </c>
    </row>
    <row r="46" spans="1:17" x14ac:dyDescent="0.2">
      <c r="B46" s="165" t="s">
        <v>164</v>
      </c>
      <c r="C46" s="165"/>
      <c r="D46" s="2">
        <f>'1. Data &amp; Confidence Interval'!R25</f>
        <v>-7.2340425531914887E-2</v>
      </c>
    </row>
  </sheetData>
  <mergeCells count="14">
    <mergeCell ref="B46:C46"/>
    <mergeCell ref="B45:C45"/>
    <mergeCell ref="M28:P28"/>
    <mergeCell ref="M29:P29"/>
    <mergeCell ref="M30:P30"/>
    <mergeCell ref="M31:P31"/>
    <mergeCell ref="M32:P32"/>
    <mergeCell ref="M33:P33"/>
    <mergeCell ref="C33:E33"/>
    <mergeCell ref="C28:E28"/>
    <mergeCell ref="C29:E29"/>
    <mergeCell ref="C30:E30"/>
    <mergeCell ref="C31:E31"/>
    <mergeCell ref="C32:E32"/>
  </mergeCells>
  <conditionalFormatting sqref="Q28:Q3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W2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2021-10-25T14:09:20Z</dcterms:modified>
</cp:coreProperties>
</file>