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T\"/>
    </mc:Choice>
  </mc:AlternateContent>
  <xr:revisionPtr revIDLastSave="0" documentId="13_ncr:1_{DD716293-B0FC-4786-9EA7-76FA9706C6BA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2" l="1"/>
  <c r="F35" i="4" s="1"/>
  <c r="G34" i="4"/>
  <c r="J44" i="2"/>
  <c r="J10" i="1"/>
  <c r="AJ10" i="1"/>
  <c r="J21" i="2"/>
  <c r="P21" i="2" s="1"/>
  <c r="J35" i="2"/>
  <c r="J38" i="2"/>
  <c r="J6" i="2"/>
  <c r="P33" i="4"/>
  <c r="E33" i="4" s="1"/>
  <c r="P32" i="4"/>
  <c r="E32" i="4" s="1"/>
  <c r="E35" i="4"/>
  <c r="E34" i="4"/>
  <c r="E31" i="4"/>
  <c r="E30" i="4"/>
  <c r="P35" i="4"/>
  <c r="P34" i="4"/>
  <c r="P31" i="4"/>
  <c r="P30" i="4"/>
  <c r="C2" i="4"/>
  <c r="L21" i="2"/>
  <c r="M21" i="2"/>
  <c r="N21" i="2"/>
  <c r="O21" i="2"/>
  <c r="Q21" i="2"/>
  <c r="K21" i="2"/>
  <c r="AK26" i="1"/>
  <c r="AK25" i="1"/>
  <c r="AK24" i="1"/>
  <c r="H18" i="1"/>
  <c r="G18" i="1"/>
  <c r="F18" i="1"/>
  <c r="O25" i="1"/>
  <c r="O24" i="1"/>
  <c r="L24" i="1"/>
  <c r="L25" i="1"/>
  <c r="AK23" i="1"/>
  <c r="AK22" i="1"/>
  <c r="AK21" i="1"/>
  <c r="AK20" i="1"/>
  <c r="O23" i="1"/>
  <c r="P23" i="1"/>
  <c r="Q23" i="1"/>
  <c r="R23" i="1"/>
  <c r="S23" i="1"/>
  <c r="L22" i="1"/>
  <c r="M22" i="1"/>
  <c r="N22" i="1"/>
  <c r="O22" i="1"/>
  <c r="P22" i="1"/>
  <c r="O21" i="1"/>
  <c r="P21" i="1"/>
  <c r="Q21" i="1"/>
  <c r="R21" i="1"/>
  <c r="S21" i="1"/>
  <c r="L20" i="1"/>
  <c r="M20" i="1"/>
  <c r="N20" i="1"/>
  <c r="O20" i="1"/>
  <c r="P20" i="1"/>
  <c r="J37" i="2"/>
  <c r="J36" i="2"/>
  <c r="G36" i="2"/>
  <c r="R22" i="2"/>
  <c r="Q22" i="1"/>
  <c r="R22" i="1"/>
  <c r="Q20" i="1"/>
  <c r="R20" i="1"/>
  <c r="H35" i="2"/>
  <c r="H36" i="2"/>
  <c r="G40" i="2"/>
  <c r="G39" i="2"/>
  <c r="G38" i="2"/>
  <c r="G37" i="2"/>
  <c r="G35" i="2"/>
  <c r="G33" i="2"/>
  <c r="G32" i="2"/>
  <c r="E37" i="2"/>
  <c r="E36" i="2"/>
  <c r="E35" i="2"/>
  <c r="E34" i="2"/>
  <c r="E33" i="2"/>
  <c r="E32" i="2"/>
  <c r="E31" i="2"/>
  <c r="E30" i="2"/>
  <c r="E29" i="2"/>
  <c r="E28" i="2"/>
  <c r="E27" i="2"/>
  <c r="AJ18" i="1"/>
  <c r="AK18" i="1"/>
  <c r="J17" i="1"/>
  <c r="I17" i="1"/>
  <c r="H17" i="1"/>
  <c r="G17" i="1"/>
  <c r="F17" i="1"/>
  <c r="R17" i="1"/>
  <c r="Q17" i="1"/>
  <c r="P17" i="1"/>
  <c r="O17" i="1"/>
  <c r="M18" i="1"/>
  <c r="L18" i="1"/>
  <c r="J18" i="1"/>
  <c r="I18" i="1"/>
  <c r="S20" i="1"/>
  <c r="S22" i="1"/>
  <c r="C45" i="4" l="1"/>
  <c r="J22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27" i="2"/>
  <c r="P27" i="2"/>
  <c r="O27" i="2"/>
  <c r="N27" i="2"/>
  <c r="M27" i="2"/>
  <c r="L27" i="2"/>
  <c r="K27" i="2"/>
  <c r="R27" i="2"/>
  <c r="A26" i="2"/>
  <c r="B26" i="2"/>
  <c r="C26" i="2"/>
  <c r="D26" i="2"/>
  <c r="E26" i="2"/>
  <c r="F26" i="2"/>
  <c r="G26" i="2"/>
  <c r="H26" i="2"/>
  <c r="I26" i="2"/>
  <c r="J26" i="2"/>
  <c r="R26" i="2"/>
  <c r="Q22" i="2"/>
  <c r="P22" i="2"/>
  <c r="O22" i="2"/>
  <c r="N22" i="2"/>
  <c r="M22" i="2"/>
  <c r="L22" i="2"/>
  <c r="K22" i="2"/>
  <c r="I22" i="2"/>
  <c r="H22" i="2"/>
  <c r="G22" i="2"/>
  <c r="F22" i="2"/>
  <c r="E22" i="2"/>
  <c r="AJ17" i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27" i="2"/>
  <c r="I27" i="2"/>
  <c r="H27" i="2"/>
  <c r="G27" i="2"/>
  <c r="F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7" i="2"/>
  <c r="C27" i="2"/>
  <c r="D27" i="2"/>
  <c r="A27" i="2"/>
  <c r="I24" i="3"/>
  <c r="E24" i="3"/>
  <c r="AE17" i="1"/>
  <c r="AD17" i="1"/>
  <c r="AC17" i="1"/>
  <c r="AB17" i="1"/>
  <c r="D47" i="4" l="1"/>
  <c r="U21" i="1"/>
  <c r="C7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0" i="3"/>
  <c r="M2" i="1" l="1"/>
  <c r="U23" i="1"/>
  <c r="T23" i="1"/>
  <c r="D48" i="4"/>
  <c r="B7" i="1"/>
  <c r="V21" i="1"/>
  <c r="R40" i="2"/>
  <c r="R39" i="2"/>
  <c r="R38" i="2"/>
  <c r="R37" i="2"/>
  <c r="R35" i="2"/>
  <c r="R34" i="2"/>
  <c r="R33" i="2"/>
  <c r="R32" i="2"/>
  <c r="R31" i="2"/>
  <c r="R30" i="2"/>
  <c r="R29" i="2"/>
  <c r="R28" i="2"/>
  <c r="N2" i="1" l="1"/>
  <c r="O2" i="1" s="1"/>
  <c r="P2" i="1" s="1"/>
  <c r="N3" i="1"/>
  <c r="M3" i="1"/>
  <c r="H20" i="3"/>
  <c r="O3" i="1" l="1"/>
  <c r="P3" i="1" s="1"/>
  <c r="R36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F28" i="2"/>
  <c r="G28" i="2"/>
  <c r="H28" i="2"/>
  <c r="I28" i="2"/>
  <c r="J28" i="2"/>
  <c r="F29" i="2"/>
  <c r="G29" i="2"/>
  <c r="H29" i="2"/>
  <c r="I29" i="2"/>
  <c r="J29" i="2"/>
  <c r="F30" i="2"/>
  <c r="G30" i="2"/>
  <c r="H30" i="2"/>
  <c r="I30" i="2"/>
  <c r="J30" i="2"/>
  <c r="F31" i="2"/>
  <c r="G31" i="2"/>
  <c r="H31" i="2"/>
  <c r="I31" i="2"/>
  <c r="J31" i="2"/>
  <c r="F32" i="2"/>
  <c r="H32" i="2"/>
  <c r="I32" i="2"/>
  <c r="J32" i="2"/>
  <c r="F33" i="2"/>
  <c r="H33" i="2"/>
  <c r="I33" i="2"/>
  <c r="J33" i="2"/>
  <c r="F34" i="2"/>
  <c r="G34" i="2"/>
  <c r="H34" i="2"/>
  <c r="I34" i="2"/>
  <c r="J34" i="2"/>
  <c r="F35" i="2"/>
  <c r="I35" i="2"/>
  <c r="F36" i="2"/>
  <c r="I36" i="2"/>
  <c r="F37" i="2"/>
  <c r="H37" i="2"/>
  <c r="I37" i="2"/>
  <c r="E38" i="2"/>
  <c r="F38" i="2"/>
  <c r="H38" i="2"/>
  <c r="I38" i="2"/>
  <c r="E39" i="2"/>
  <c r="F39" i="2"/>
  <c r="H39" i="2"/>
  <c r="I39" i="2"/>
  <c r="J39" i="2"/>
  <c r="F40" i="2"/>
  <c r="H40" i="2"/>
  <c r="I40" i="2"/>
  <c r="J40" i="2"/>
  <c r="G41" i="2" l="1" a="1"/>
  <c r="G41" i="2" s="1"/>
  <c r="E42" i="2" a="1"/>
  <c r="E42" i="2" s="1"/>
  <c r="E41" i="2" a="1"/>
  <c r="E41" i="2" s="1"/>
  <c r="Q42" i="2" a="1"/>
  <c r="Q42" i="2" s="1"/>
  <c r="Q41" i="2" a="1"/>
  <c r="Q41" i="2" s="1"/>
  <c r="H41" i="2" a="1"/>
  <c r="H41" i="2" s="1"/>
  <c r="H42" i="2" a="1"/>
  <c r="H42" i="2" s="1"/>
  <c r="R41" i="2" a="1"/>
  <c r="R41" i="2" s="1"/>
  <c r="R42" i="2" a="1"/>
  <c r="R42" i="2" s="1"/>
  <c r="G42" i="2" a="1"/>
  <c r="G42" i="2" s="1"/>
  <c r="P42" i="2" a="1"/>
  <c r="P42" i="2" s="1"/>
  <c r="P41" i="2" a="1"/>
  <c r="P41" i="2" s="1"/>
  <c r="O42" i="2" a="1"/>
  <c r="O42" i="2" s="1"/>
  <c r="O41" i="2" a="1"/>
  <c r="O41" i="2" s="1"/>
  <c r="N42" i="2" a="1"/>
  <c r="N42" i="2" s="1"/>
  <c r="N41" i="2" a="1"/>
  <c r="N41" i="2" s="1"/>
  <c r="F42" i="2" a="1"/>
  <c r="F42" i="2" s="1"/>
  <c r="F41" i="2" a="1"/>
  <c r="F41" i="2" s="1"/>
  <c r="M42" i="2" a="1"/>
  <c r="M42" i="2" s="1"/>
  <c r="M41" i="2" a="1"/>
  <c r="M41" i="2" s="1"/>
  <c r="J41" i="2" a="1"/>
  <c r="J41" i="2" s="1"/>
  <c r="J42" i="2" a="1"/>
  <c r="J42" i="2" s="1"/>
  <c r="L42" i="2" a="1"/>
  <c r="L42" i="2" s="1"/>
  <c r="L41" i="2" a="1"/>
  <c r="L41" i="2" s="1"/>
  <c r="I41" i="2" a="1"/>
  <c r="I41" i="2" s="1"/>
  <c r="I42" i="2" a="1"/>
  <c r="I42" i="2" s="1"/>
  <c r="K41" i="2" a="1"/>
  <c r="K41" i="2" s="1"/>
  <c r="K42" i="2" a="1"/>
  <c r="K42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<sst xmlns="http://schemas.openxmlformats.org/spreadsheetml/2006/main" count="306" uniqueCount="173">
  <si>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</si>
  <si>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</si>
  <si>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</si>
  <si>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</si>
  <si>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</si>
  <si>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</si>
  <si>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</si>
  <si>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</si>
  <si>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</si>
  <si>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</si>
  <si>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</si>
  <si>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</si>
  <si>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</si>
  <si>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</si>
  <si>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</si>
  <si>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</si>
  <si>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</si>
  <si>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</si>
  <si>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</si>
  <si>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</si>
  <si>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</si>
  <si>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</si>
  <si>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</si>
  <si>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</si>
  <si>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</si>
  <si>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</si>
  <si>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</si>
  <si>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</si>
  <si>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</si>
  <si>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</si>
  <si>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</si>
  <si>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</si>
  <si>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</si>
  <si>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</si>
  <si>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</si>
  <si>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</si>
  <si>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</si>
  <si>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</si>
  <si>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</si>
  <si>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</si>
  <si>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</si>
  <si>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</si>
  <si>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</si>
  <si>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</si>
  <si>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</si>
  <si>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</si>
  <si>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</si>
  <si>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</si>
  <si>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</si>
  <si>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</si>
  <si>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</si>
  <si>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</si>
  <si>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</si>
  <si>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</si>
  <si>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</si>
  <si>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</si>
  <si>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</si>
  <si>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</si>
  <si>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</si>
  <si>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</si>
  <si>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</si>
  <si>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</si>
  <si>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</si>
  <si>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</si>
  <si>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</si>
  <si>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</si>
  <si>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</si>
  <si>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</si>
  <si>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</si>
  <si>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</si>
  <si>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</si>
  <si>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</si>
  <si>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</si>
  <si>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</si>
  <si>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</si>
  <si>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</si>
  <si>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</si>
  <si>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</si>
  <si>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</si>
  <si>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</si>
  <si>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</si>
  <si>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</si>
  <si>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</si>
  <si>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</si>
  <si>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</si>
  <si>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</si>
  <si>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</si>
  <si>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</si>
  <si>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</si>
  <si>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</si>
  <si>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</si>
  <si>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</si>
  <si>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</si>
  <si>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</si>
  <si>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</si>
  <si>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</si>
  <si>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</si>
  <si>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</si>
  <si>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</si>
  <si>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</si>
  <si>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</si>
  <si>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</si>
  <si>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</si>
  <si>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</si>
  <si>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</si>
  <si>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</si>
  <si>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</si>
  <si>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</si>
  <si>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</si>
  <si>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</si>
  <si>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</si>
  <si>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</si>
  <si>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</si>
  <si>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</si>
  <si>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</si>
  <si>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</si>
  <si>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</si>
  <si>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</si>
  <si>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</si>
  <si>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</si>
  <si>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</si>
  <si>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</si>
  <si>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</si>
  <si>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</si>
  <si>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</si>
  <si>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</si>
  <si>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</si>
  <si>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</si>
  <si>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</si>
  <si>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</si>
  <si>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</si>
  <si>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</si>
  <si>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</si>
  <si>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</si>
  <si>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</si>
  <si>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</si>
  <si>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</si>
  <si>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</si>
  <si>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</si>
  <si>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</si>
  <si>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</si>
  <si>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</si>
  <si>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</si>
  <si>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</si>
  <si>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</si>
  <si>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</si>
  <si>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</si>
  <si>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</si>
  <si>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</si>
  <si>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</si>
  <si>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</si>
  <si>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</si>
  <si>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</si>
  <si>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</si>
  <si>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</si>
  <si>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</si>
  <si>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</si>
  <si>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</si>
  <si>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</si>
  <si>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</si>
  <si>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</si>
  <si>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</si>
  <si>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</si>
  <si>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</si>
  <si>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</si>
  <si>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</si>
  <si>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</si>
  <si>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</si>
  <si>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ABT</t>
  </si>
  <si>
    <t>2017Q4</t>
  </si>
  <si>
    <t>which is not inline with the confidence interval in step1. If this value is unsatisfactory, use confidence interval.</t>
  </si>
  <si>
    <t>ABT_NM</t>
  </si>
  <si>
    <t>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</si>
</sst>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2" fillId="0" borderId="3" xfId="0" applyNumberFormat="1" applyFont="1" applyBorder="1"/>
    <xf numFmtId="165" fontId="4" fillId="0" borderId="3" xfId="0" applyNumberFormat="1" applyFont="1" applyBorder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9" fontId="0" fillId="3" borderId="0" xfId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165" fontId="0" fillId="0" borderId="0" xfId="0" applyNumberFormat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C1" zoomScale="70" zoomScaleNormal="70" workbookViewId="0">
      <selection activeCell="AJ10" sqref="AJ10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50" t="s">
        <v>171</v>
      </c>
      <c r="B1" s="151"/>
      <c r="C1" s="152"/>
      <c r="K1" s="159" t="s">
        <v>35</v>
      </c>
      <c r="L1" s="160"/>
      <c r="M1" s="62" t="s">
        <v>31</v>
      </c>
      <c r="N1" s="62" t="s">
        <v>32</v>
      </c>
      <c r="O1" s="4" t="s">
        <v>39</v>
      </c>
      <c r="P1" s="161" t="s">
        <v>41</v>
      </c>
      <c r="Q1" s="162"/>
    </row>
    <row r="2" spans="1:37" x14ac:dyDescent="0.2">
      <c r="A2" s="153"/>
      <c r="B2" s="154"/>
      <c r="C2" s="155"/>
      <c r="K2" s="60" t="s">
        <v>37</v>
      </c>
      <c r="L2" s="61"/>
      <c r="M2" s="63">
        <f>$B$7*($AK$25-2*$AK$26)</f>
        <v>240.35014214499418</v>
      </c>
      <c r="N2" s="63">
        <f>$B$7*($AK$25+2*$AK$26)</f>
        <v>275.94355363831539</v>
      </c>
      <c r="O2" s="65">
        <f>AVERAGE(M2:N2)</f>
        <v>258.14684789165477</v>
      </c>
      <c r="P2" s="163">
        <f>$O$2/AF14-1</f>
        <v>0.12237759952893379</v>
      </c>
      <c r="Q2" s="164"/>
    </row>
    <row r="3" spans="1:37" x14ac:dyDescent="0.2">
      <c r="A3" s="156"/>
      <c r="B3" s="157"/>
      <c r="C3" s="158"/>
      <c r="K3" s="46" t="s">
        <v>38</v>
      </c>
      <c r="L3" s="19"/>
      <c r="M3" s="64">
        <f>$C$7*($AK$25-2*$AK$26)</f>
        <v>258.55697010136754</v>
      </c>
      <c r="N3" s="64">
        <f>$C$7*($AK$25+2*$AK$26)</f>
        <v>296.84662763663346</v>
      </c>
      <c r="O3" s="66">
        <f>AVERAGE(M3:N3)</f>
        <v>277.70179886900053</v>
      </c>
      <c r="P3" s="165">
        <f>$O$3/AF15-1</f>
        <v>0.2073991255173937</v>
      </c>
      <c r="Q3" s="166"/>
    </row>
    <row r="4" spans="1:37" x14ac:dyDescent="0.2">
      <c r="A4" s="51"/>
      <c r="B4" s="51"/>
      <c r="C4" s="51"/>
      <c r="N4" s="4" t="s">
        <v>40</v>
      </c>
      <c r="O4" s="66">
        <f>AVERAGE(O2:O3)</f>
        <v>267.92432338032768</v>
      </c>
      <c r="P4" s="165">
        <f>$O$4/AF15-1</f>
        <v>0.16488836252316386</v>
      </c>
      <c r="Q4" s="166"/>
    </row>
    <row r="5" spans="1:37" x14ac:dyDescent="0.2">
      <c r="A5" s="59" t="s">
        <v>34</v>
      </c>
      <c r="B5" s="49" t="s">
        <v>31</v>
      </c>
      <c r="C5" s="50" t="s">
        <v>32</v>
      </c>
      <c r="D5" s="95"/>
      <c r="E5" s="95"/>
    </row>
    <row r="6" spans="1:37" ht="15.75" x14ac:dyDescent="0.25">
      <c r="A6" s="53" t="s">
        <v>33</v>
      </c>
      <c r="B6" s="57">
        <v>38557.606224738753</v>
      </c>
      <c r="C6" s="58">
        <v>41478.39377526124</v>
      </c>
    </row>
    <row r="7" spans="1:37" ht="14.25" x14ac:dyDescent="0.2">
      <c r="A7" s="54" t="s">
        <v>36</v>
      </c>
      <c r="B7" s="55">
        <f>B6*$AK$24</f>
        <v>1002.7674939962243</v>
      </c>
      <c r="C7" s="56">
        <f>C6*$AK$24</f>
        <v>1078.728402862336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49" t="s">
        <v>15</v>
      </c>
      <c r="I10" s="149"/>
      <c r="J10" s="36">
        <f>AVERAGE(F13:AJ13)</f>
        <v>0.98642369176562761</v>
      </c>
      <c r="AG10" s="149" t="s">
        <v>16</v>
      </c>
      <c r="AH10" s="149"/>
      <c r="AI10" s="149"/>
      <c r="AJ10" s="84">
        <f>AVERAGE(AG13:AJ13)</f>
        <v>1.1039393215480171</v>
      </c>
    </row>
    <row r="11" spans="1:37" x14ac:dyDescent="0.2">
      <c r="A11" s="52" t="s">
        <v>6</v>
      </c>
      <c r="B11" s="118">
        <v>2013</v>
      </c>
      <c r="C11" s="119"/>
      <c r="D11" s="119"/>
      <c r="E11" s="120"/>
      <c r="F11" s="135">
        <v>2014</v>
      </c>
      <c r="G11" s="135"/>
      <c r="H11" s="135"/>
      <c r="I11" s="136"/>
      <c r="J11" s="137">
        <v>2015</v>
      </c>
      <c r="K11" s="138"/>
      <c r="L11" s="138"/>
      <c r="M11" s="139"/>
      <c r="N11" s="137">
        <v>2016</v>
      </c>
      <c r="O11" s="138"/>
      <c r="P11" s="138"/>
      <c r="Q11" s="139"/>
      <c r="R11" s="140">
        <v>2017</v>
      </c>
      <c r="S11" s="141"/>
      <c r="T11" s="141"/>
      <c r="U11" s="142"/>
      <c r="V11" s="167">
        <v>2018</v>
      </c>
      <c r="W11" s="168"/>
      <c r="X11" s="168"/>
      <c r="Y11" s="169"/>
      <c r="Z11" s="143">
        <v>2019</v>
      </c>
      <c r="AA11" s="144"/>
      <c r="AB11" s="144"/>
      <c r="AC11" s="145"/>
      <c r="AD11" s="146">
        <v>2020</v>
      </c>
      <c r="AE11" s="135"/>
      <c r="AF11" s="135"/>
      <c r="AG11" s="136"/>
      <c r="AH11" s="137">
        <v>2021</v>
      </c>
      <c r="AI11" s="138"/>
      <c r="AJ11" s="138"/>
      <c r="AK11" s="139"/>
    </row>
    <row r="12" spans="1:37" x14ac:dyDescent="0.2">
      <c r="A12" s="14" t="s">
        <v>19</v>
      </c>
      <c r="B12" s="85" t="s">
        <v>20</v>
      </c>
      <c r="C12" s="86" t="s">
        <v>3</v>
      </c>
      <c r="D12" s="86" t="s">
        <v>4</v>
      </c>
      <c r="E12" s="87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91"/>
      <c r="G13" s="91"/>
      <c r="H13" s="92"/>
      <c r="I13" s="93"/>
      <c r="J13" s="94">
        <f>J15/F15</f>
        <v>0.97962264150943401</v>
      </c>
      <c r="K13" s="94">
        <f t="shared" ref="K13:AI13" si="0">K15/G15</f>
        <v>1.0604982206405693</v>
      </c>
      <c r="L13" s="94">
        <f t="shared" si="0"/>
        <v>0.98932384341637014</v>
      </c>
      <c r="M13" s="94">
        <f t="shared" si="0"/>
        <v>0.89204152249134949</v>
      </c>
      <c r="N13" s="94">
        <f t="shared" si="0"/>
        <v>1.113251155624037</v>
      </c>
      <c r="O13" s="94">
        <f t="shared" si="0"/>
        <v>1.1610738255033557</v>
      </c>
      <c r="P13" s="94">
        <f t="shared" si="0"/>
        <v>1.0971223021582734</v>
      </c>
      <c r="Q13" s="94">
        <f t="shared" si="0"/>
        <v>1.1287820015515904</v>
      </c>
      <c r="R13" s="94">
        <f t="shared" si="0"/>
        <v>1.0519031141868511</v>
      </c>
      <c r="S13" s="94">
        <f t="shared" si="0"/>
        <v>0.85260115606936415</v>
      </c>
      <c r="T13" s="94">
        <f t="shared" si="0"/>
        <v>0.95737704918032784</v>
      </c>
      <c r="U13" s="94">
        <f t="shared" si="0"/>
        <v>0.99312714776632305</v>
      </c>
      <c r="V13" s="94">
        <f t="shared" si="0"/>
        <v>0.94078947368421051</v>
      </c>
      <c r="W13" s="94">
        <f t="shared" si="0"/>
        <v>0.96271186440677969</v>
      </c>
      <c r="X13" s="94">
        <f t="shared" si="0"/>
        <v>0.9726027397260274</v>
      </c>
      <c r="Y13" s="94">
        <f t="shared" si="0"/>
        <v>0.94117647058823528</v>
      </c>
      <c r="Z13" s="94">
        <f t="shared" si="0"/>
        <v>0.93006993006993011</v>
      </c>
      <c r="AA13" s="94">
        <f t="shared" si="0"/>
        <v>0.95070422535211263</v>
      </c>
      <c r="AB13" s="94">
        <f t="shared" si="0"/>
        <v>0.88380281690140849</v>
      </c>
      <c r="AC13" s="94">
        <f t="shared" si="0"/>
        <v>0.95588235294117652</v>
      </c>
      <c r="AD13" s="94">
        <f t="shared" si="0"/>
        <v>0.86466165413533835</v>
      </c>
      <c r="AE13" s="94">
        <f t="shared" si="0"/>
        <v>0.62222222222222223</v>
      </c>
      <c r="AF13" s="94">
        <f t="shared" si="0"/>
        <v>0.91633466135458164</v>
      </c>
      <c r="AG13" s="94">
        <f t="shared" si="0"/>
        <v>0.86538461538461542</v>
      </c>
      <c r="AH13" s="94">
        <f t="shared" si="0"/>
        <v>0.95217391304347831</v>
      </c>
      <c r="AI13" s="94">
        <f t="shared" si="0"/>
        <v>1.4642857142857142</v>
      </c>
      <c r="AJ13" s="94">
        <f>AJ14/AF14</f>
        <v>1.1339130434782609</v>
      </c>
      <c r="AK13" s="32"/>
    </row>
    <row r="14" spans="1:37" x14ac:dyDescent="0.2">
      <c r="A14" s="15" t="s">
        <v>0</v>
      </c>
      <c r="B14" s="7"/>
      <c r="C14" s="7"/>
      <c r="D14" s="7"/>
      <c r="E14" s="7"/>
      <c r="F14" s="7">
        <v>265</v>
      </c>
      <c r="G14" s="7">
        <v>281</v>
      </c>
      <c r="H14" s="7">
        <v>281</v>
      </c>
      <c r="I14" s="7">
        <v>289</v>
      </c>
      <c r="J14" s="9">
        <v>259.60000000000002</v>
      </c>
      <c r="K14" s="6">
        <v>271</v>
      </c>
      <c r="L14" s="6">
        <v>253.1</v>
      </c>
      <c r="M14" s="6">
        <v>257.8</v>
      </c>
      <c r="N14" s="9">
        <v>280.39999999999998</v>
      </c>
      <c r="O14" s="6">
        <v>331.2</v>
      </c>
      <c r="P14" s="6">
        <v>294.39999999999998</v>
      </c>
      <c r="Q14" s="6">
        <v>291.7</v>
      </c>
      <c r="R14" s="9">
        <v>303.2</v>
      </c>
      <c r="S14" s="6">
        <v>295</v>
      </c>
      <c r="T14" s="6">
        <v>292</v>
      </c>
      <c r="U14" s="6">
        <v>288.8</v>
      </c>
      <c r="V14" s="9">
        <v>271.2</v>
      </c>
      <c r="W14" s="6">
        <v>284</v>
      </c>
      <c r="X14" s="6">
        <v>284</v>
      </c>
      <c r="Y14" s="6">
        <v>272</v>
      </c>
      <c r="Z14" s="9">
        <v>266</v>
      </c>
      <c r="AA14" s="6">
        <v>270</v>
      </c>
      <c r="AB14" s="6">
        <v>251</v>
      </c>
      <c r="AC14" s="6">
        <v>260</v>
      </c>
      <c r="AD14" s="9">
        <v>230.1</v>
      </c>
      <c r="AE14" s="6">
        <v>168.1</v>
      </c>
      <c r="AF14" s="6">
        <v>230</v>
      </c>
      <c r="AG14" s="6">
        <v>225</v>
      </c>
      <c r="AH14" s="6">
        <v>219</v>
      </c>
      <c r="AI14" s="6">
        <v>246</v>
      </c>
      <c r="AJ14" s="6">
        <v>260.8</v>
      </c>
      <c r="AK14" s="6">
        <v>253.7</v>
      </c>
    </row>
    <row r="15" spans="1:37" x14ac:dyDescent="0.2">
      <c r="A15" s="15" t="s">
        <v>1</v>
      </c>
      <c r="B15" s="6"/>
      <c r="C15" s="6"/>
      <c r="D15" s="6"/>
      <c r="E15" s="6"/>
      <c r="F15" s="6">
        <v>265</v>
      </c>
      <c r="G15" s="6">
        <v>281</v>
      </c>
      <c r="H15" s="6">
        <v>281</v>
      </c>
      <c r="I15" s="6">
        <v>289</v>
      </c>
      <c r="J15" s="9">
        <v>259.60000000000002</v>
      </c>
      <c r="K15" s="6">
        <v>298</v>
      </c>
      <c r="L15" s="6">
        <v>278</v>
      </c>
      <c r="M15" s="6">
        <v>257.8</v>
      </c>
      <c r="N15" s="9">
        <v>289</v>
      </c>
      <c r="O15" s="6">
        <v>346</v>
      </c>
      <c r="P15" s="6">
        <v>305</v>
      </c>
      <c r="Q15" s="6">
        <v>291</v>
      </c>
      <c r="R15" s="9">
        <v>304</v>
      </c>
      <c r="S15" s="6">
        <v>295</v>
      </c>
      <c r="T15" s="6">
        <v>292</v>
      </c>
      <c r="U15" s="6">
        <v>289</v>
      </c>
      <c r="V15" s="9">
        <v>286</v>
      </c>
      <c r="W15" s="6">
        <v>284</v>
      </c>
      <c r="X15" s="6">
        <v>284</v>
      </c>
      <c r="Y15" s="6">
        <v>272</v>
      </c>
      <c r="Z15" s="9">
        <v>266</v>
      </c>
      <c r="AA15" s="6">
        <v>270</v>
      </c>
      <c r="AB15" s="6">
        <v>251</v>
      </c>
      <c r="AC15" s="6">
        <v>260</v>
      </c>
      <c r="AD15" s="9">
        <v>230</v>
      </c>
      <c r="AE15" s="6">
        <v>168</v>
      </c>
      <c r="AF15" s="6">
        <v>230</v>
      </c>
      <c r="AG15" s="6">
        <v>225</v>
      </c>
      <c r="AH15" s="9">
        <v>219</v>
      </c>
      <c r="AI15" s="6">
        <v>246</v>
      </c>
      <c r="AJ15" s="9"/>
      <c r="AK15" s="10"/>
    </row>
    <row r="16" spans="1:37" x14ac:dyDescent="0.2">
      <c r="A16" s="15" t="s">
        <v>158</v>
      </c>
      <c r="B16" s="9"/>
      <c r="C16" s="6"/>
      <c r="D16" s="6"/>
      <c r="E16" s="10"/>
      <c r="F16" s="9">
        <v>4755</v>
      </c>
      <c r="G16" s="6">
        <v>5057</v>
      </c>
      <c r="H16" s="6">
        <v>5079</v>
      </c>
      <c r="I16" s="10">
        <v>5356</v>
      </c>
      <c r="J16" s="9">
        <v>4897</v>
      </c>
      <c r="K16" s="6">
        <v>5170</v>
      </c>
      <c r="L16" s="6">
        <v>5150</v>
      </c>
      <c r="M16" s="10">
        <v>5188</v>
      </c>
      <c r="N16" s="9">
        <v>4885</v>
      </c>
      <c r="O16" s="6">
        <v>5333</v>
      </c>
      <c r="P16" s="6">
        <v>5302</v>
      </c>
      <c r="Q16" s="10">
        <v>5333</v>
      </c>
      <c r="R16" s="9">
        <v>6335</v>
      </c>
      <c r="S16" s="6">
        <v>6637</v>
      </c>
      <c r="T16" s="6">
        <v>6829</v>
      </c>
      <c r="U16" s="10">
        <v>7589</v>
      </c>
      <c r="V16" s="9">
        <v>7390</v>
      </c>
      <c r="W16" s="6">
        <v>7767</v>
      </c>
      <c r="X16" s="6">
        <v>7656</v>
      </c>
      <c r="Y16" s="10">
        <v>7765</v>
      </c>
      <c r="Z16" s="9">
        <v>7535</v>
      </c>
      <c r="AA16" s="6">
        <v>7979</v>
      </c>
      <c r="AB16" s="6">
        <v>8076</v>
      </c>
      <c r="AC16" s="10">
        <v>8314</v>
      </c>
      <c r="AD16" s="9">
        <v>7726</v>
      </c>
      <c r="AE16" s="6">
        <v>7328</v>
      </c>
      <c r="AF16" s="6">
        <v>8853</v>
      </c>
      <c r="AG16" s="10">
        <v>10701</v>
      </c>
      <c r="AH16" s="9">
        <v>10456</v>
      </c>
      <c r="AI16">
        <v>10223</v>
      </c>
      <c r="AJ16" s="88">
        <v>9554.4</v>
      </c>
      <c r="AK16" s="10"/>
    </row>
    <row r="17" spans="1:38" x14ac:dyDescent="0.2">
      <c r="A17" s="96" t="s">
        <v>18</v>
      </c>
      <c r="B17" s="97"/>
      <c r="C17" s="97"/>
      <c r="D17" s="97"/>
      <c r="E17" s="97"/>
      <c r="F17" s="98">
        <f t="shared" ref="F17:L17" si="1">F15/F16</f>
        <v>5.573080967402734E-2</v>
      </c>
      <c r="G17" s="98">
        <f t="shared" si="1"/>
        <v>5.5566541427723944E-2</v>
      </c>
      <c r="H17" s="98">
        <f t="shared" si="1"/>
        <v>5.5325851545579841E-2</v>
      </c>
      <c r="I17" s="98">
        <f t="shared" si="1"/>
        <v>5.3958177744585514E-2</v>
      </c>
      <c r="J17" s="98">
        <f t="shared" si="1"/>
        <v>5.301204819277109E-2</v>
      </c>
      <c r="K17" s="98">
        <f t="shared" si="1"/>
        <v>5.7640232108317216E-2</v>
      </c>
      <c r="L17" s="98">
        <f t="shared" si="1"/>
        <v>5.3980582524271847E-2</v>
      </c>
      <c r="M17" s="98">
        <f t="shared" ref="M17:AA17" si="2">M15/M16</f>
        <v>4.9691595990747885E-2</v>
      </c>
      <c r="N17" s="98">
        <f t="shared" si="2"/>
        <v>5.9160696008188331E-2</v>
      </c>
      <c r="O17" s="98">
        <f>O15/O16</f>
        <v>6.4879054940933809E-2</v>
      </c>
      <c r="P17" s="98">
        <f>P15/P16</f>
        <v>5.7525462089777442E-2</v>
      </c>
      <c r="Q17" s="98">
        <f>Q15/Q16</f>
        <v>5.4565910369398091E-2</v>
      </c>
      <c r="R17" s="98">
        <f>R15/R16</f>
        <v>4.7987371744277821E-2</v>
      </c>
      <c r="S17" s="98">
        <f t="shared" si="2"/>
        <v>4.4447792677414492E-2</v>
      </c>
      <c r="T17" s="98">
        <f t="shared" si="2"/>
        <v>4.2758822668033387E-2</v>
      </c>
      <c r="U17" s="98">
        <f t="shared" si="2"/>
        <v>3.8081433653972853E-2</v>
      </c>
      <c r="V17" s="98">
        <f t="shared" si="2"/>
        <v>3.8700947225981053E-2</v>
      </c>
      <c r="W17" s="98">
        <f t="shared" si="2"/>
        <v>3.6564954293807135E-2</v>
      </c>
      <c r="X17" s="98">
        <f t="shared" si="2"/>
        <v>3.7095088819226747E-2</v>
      </c>
      <c r="Y17" s="98">
        <f t="shared" si="2"/>
        <v>3.5028976175144881E-2</v>
      </c>
      <c r="Z17" s="98">
        <f t="shared" si="2"/>
        <v>3.5301924353019244E-2</v>
      </c>
      <c r="AA17" s="98">
        <f t="shared" si="2"/>
        <v>3.3838826920666754E-2</v>
      </c>
      <c r="AB17" s="98">
        <f t="shared" ref="AB17:AE17" si="3">AB15/AB16</f>
        <v>3.107974244675582E-2</v>
      </c>
      <c r="AC17" s="98">
        <f t="shared" si="3"/>
        <v>3.1272552321385615E-2</v>
      </c>
      <c r="AD17" s="98">
        <f t="shared" si="3"/>
        <v>2.9769609112089049E-2</v>
      </c>
      <c r="AE17" s="98">
        <f t="shared" si="3"/>
        <v>2.2925764192139739E-2</v>
      </c>
      <c r="AF17" s="98">
        <f>AF15/AF16</f>
        <v>2.5979893821303512E-2</v>
      </c>
      <c r="AG17" s="98">
        <f>AG15/AG16</f>
        <v>2.1026072329688814E-2</v>
      </c>
      <c r="AH17" s="98">
        <f>AH15/AH16</f>
        <v>2.0944912012241777E-2</v>
      </c>
      <c r="AI17" s="98">
        <f>AI15/AI16</f>
        <v>2.4063386481463368E-2</v>
      </c>
      <c r="AJ17" s="99">
        <f>AJ14/AJ16</f>
        <v>2.7296324206648247E-2</v>
      </c>
      <c r="AK17" s="100"/>
    </row>
    <row r="18" spans="1:38" x14ac:dyDescent="0.2">
      <c r="A18" s="96" t="s">
        <v>24</v>
      </c>
      <c r="B18" s="98"/>
      <c r="C18" s="98"/>
      <c r="D18" s="98"/>
      <c r="E18" s="101"/>
      <c r="F18" s="98">
        <f>F15/SUM(F15:I15)</f>
        <v>0.23745519713261648</v>
      </c>
      <c r="G18" s="98">
        <f>G15/SUM(F15:I15)</f>
        <v>0.25179211469534052</v>
      </c>
      <c r="H18" s="98">
        <f>H15/SUM(F15:I15)</f>
        <v>0.25179211469534052</v>
      </c>
      <c r="I18" s="101">
        <f>I15/SUM(F15:I15)</f>
        <v>0.25896057347670248</v>
      </c>
      <c r="J18" s="98">
        <f>J15/SUM(J15:M15)</f>
        <v>0.23742454728370221</v>
      </c>
      <c r="K18" s="98">
        <f>K15/SUM(J15:M15)</f>
        <v>0.27254435705139929</v>
      </c>
      <c r="L18" s="98">
        <f>L15/SUM(J15:M15)</f>
        <v>0.25425278946405705</v>
      </c>
      <c r="M18" s="101">
        <f>M15/SUM(J15:M15)</f>
        <v>0.23577830620084139</v>
      </c>
      <c r="N18" s="98">
        <f>N15/SUM(N15:Q15)</f>
        <v>0.23476848090982941</v>
      </c>
      <c r="O18" s="98">
        <f>O15/SUM(N15:Q15)</f>
        <v>0.28107229894394803</v>
      </c>
      <c r="P18" s="98">
        <f>P15/SUM(N15:Q15)</f>
        <v>0.24776604386677498</v>
      </c>
      <c r="Q18" s="101">
        <f>Q15/SUM(N15:Q15)</f>
        <v>0.23639317627944761</v>
      </c>
      <c r="R18" s="98">
        <f>R15/SUM(R15:U15)</f>
        <v>0.25762711864406779</v>
      </c>
      <c r="S18" s="98">
        <f>S15/SUM(R15:U15)</f>
        <v>0.25</v>
      </c>
      <c r="T18" s="98">
        <f>T15/SUM(R15:U15)</f>
        <v>0.24745762711864408</v>
      </c>
      <c r="U18" s="101">
        <f>U15/SUM(R15:U15)</f>
        <v>0.24491525423728813</v>
      </c>
      <c r="V18" s="98">
        <f>V15/SUM(V15:Y15)</f>
        <v>0.25399644760213141</v>
      </c>
      <c r="W18" s="98">
        <f>W15/SUM(V15:Y15)</f>
        <v>0.25222024866785081</v>
      </c>
      <c r="X18" s="98">
        <f>X15/SUM(V15:Y15)</f>
        <v>0.25222024866785081</v>
      </c>
      <c r="Y18" s="101">
        <f>Y15/SUM(V15:Y15)</f>
        <v>0.24156305506216696</v>
      </c>
      <c r="Z18" s="98">
        <f>Z15/SUM(Z15:AC15)</f>
        <v>0.25405921680993315</v>
      </c>
      <c r="AA18" s="98">
        <f>AA15/SUM(Z15:AC15)</f>
        <v>0.25787965616045844</v>
      </c>
      <c r="AB18" s="98">
        <f>AB15/SUM(Z15:AC15)</f>
        <v>0.23973256924546324</v>
      </c>
      <c r="AC18" s="101">
        <f>AC15/SUM(Z15:AC15)</f>
        <v>0.24832855778414517</v>
      </c>
      <c r="AD18" s="98"/>
      <c r="AE18" s="98"/>
      <c r="AF18" s="98"/>
      <c r="AG18" s="101"/>
      <c r="AH18" s="98">
        <f>AH15/SUM(AH15:AI15,AJ14:AK14)</f>
        <v>0.22358346094946402</v>
      </c>
      <c r="AI18" s="98">
        <f>AI15/SUM(AH15:AI15,AJ14:AK14)</f>
        <v>0.25114854517611024</v>
      </c>
      <c r="AJ18" s="98">
        <f>AJ14/SUM(AH15:AI15,AJ14:AK14)</f>
        <v>0.26625829504849413</v>
      </c>
      <c r="AK18" s="101">
        <f>AK14/SUM(AH15:AI15,AJ14:AK14)</f>
        <v>0.25900969882593161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>
        <v>289.2</v>
      </c>
      <c r="M19" s="6">
        <v>283.5</v>
      </c>
      <c r="N19" s="9">
        <v>273.2</v>
      </c>
      <c r="O19" s="12">
        <v>295.60000000000002</v>
      </c>
      <c r="P19" s="12">
        <v>289.2</v>
      </c>
      <c r="Q19" s="6">
        <v>303.7</v>
      </c>
      <c r="R19" s="89">
        <v>167.2</v>
      </c>
      <c r="S19" s="89">
        <v>325.39999999999998</v>
      </c>
      <c r="T19" s="89">
        <v>289.2</v>
      </c>
      <c r="U19" s="89">
        <v>290.89999999999998</v>
      </c>
      <c r="V19" s="89">
        <v>303.10000000000002</v>
      </c>
      <c r="W19" s="64">
        <v>292.8</v>
      </c>
      <c r="X19" s="64">
        <v>287.89999999999998</v>
      </c>
      <c r="Y19" s="64">
        <v>285.39999999999998</v>
      </c>
      <c r="Z19" s="89">
        <v>286.89999999999998</v>
      </c>
      <c r="AA19" s="64">
        <v>276.2</v>
      </c>
      <c r="AB19" s="64">
        <v>275.7</v>
      </c>
      <c r="AC19" s="64">
        <v>261.8</v>
      </c>
      <c r="AD19" s="89">
        <v>247.4</v>
      </c>
      <c r="AE19" s="64">
        <v>160.6</v>
      </c>
      <c r="AF19" s="64">
        <v>237.3</v>
      </c>
      <c r="AG19" s="64">
        <v>249.9</v>
      </c>
      <c r="AH19" s="89">
        <v>244.1</v>
      </c>
      <c r="AI19" s="64">
        <v>235.8</v>
      </c>
      <c r="AJ19" s="90"/>
      <c r="AK19" s="13"/>
    </row>
    <row r="20" spans="1:38" x14ac:dyDescent="0.2">
      <c r="J20" s="147" t="s">
        <v>7</v>
      </c>
      <c r="K20" s="148"/>
      <c r="L20" s="7">
        <f t="shared" ref="L20:P20" si="4">IF(L15&gt;L19,1,0)</f>
        <v>0</v>
      </c>
      <c r="M20" s="7">
        <f t="shared" si="4"/>
        <v>0</v>
      </c>
      <c r="N20" s="7">
        <f t="shared" si="4"/>
        <v>1</v>
      </c>
      <c r="O20" s="7">
        <f t="shared" si="4"/>
        <v>1</v>
      </c>
      <c r="P20" s="7">
        <f t="shared" si="4"/>
        <v>1</v>
      </c>
      <c r="Q20" s="7">
        <f t="shared" ref="Q20:AI20" si="5">IF(Q15&gt;Q19,1,0)</f>
        <v>0</v>
      </c>
      <c r="R20" s="7">
        <f t="shared" si="5"/>
        <v>1</v>
      </c>
      <c r="S20" s="7">
        <f t="shared" si="5"/>
        <v>0</v>
      </c>
      <c r="T20" s="7">
        <f t="shared" si="5"/>
        <v>1</v>
      </c>
      <c r="U20" s="7">
        <f t="shared" si="5"/>
        <v>0</v>
      </c>
      <c r="V20" s="7">
        <f t="shared" si="5"/>
        <v>0</v>
      </c>
      <c r="W20" s="7">
        <f t="shared" si="5"/>
        <v>0</v>
      </c>
      <c r="X20" s="7">
        <f t="shared" si="5"/>
        <v>0</v>
      </c>
      <c r="Y20" s="7">
        <f t="shared" si="5"/>
        <v>0</v>
      </c>
      <c r="Z20" s="7">
        <f t="shared" si="5"/>
        <v>0</v>
      </c>
      <c r="AA20" s="7">
        <f t="shared" si="5"/>
        <v>0</v>
      </c>
      <c r="AB20" s="7">
        <f t="shared" si="5"/>
        <v>0</v>
      </c>
      <c r="AC20" s="7">
        <f t="shared" si="5"/>
        <v>0</v>
      </c>
      <c r="AD20" s="7">
        <f t="shared" si="5"/>
        <v>0</v>
      </c>
      <c r="AE20" s="7">
        <f t="shared" si="5"/>
        <v>1</v>
      </c>
      <c r="AF20" s="7">
        <f t="shared" si="5"/>
        <v>0</v>
      </c>
      <c r="AG20" s="7">
        <f t="shared" si="5"/>
        <v>0</v>
      </c>
      <c r="AH20" s="7">
        <f t="shared" si="5"/>
        <v>0</v>
      </c>
      <c r="AI20" s="8">
        <f t="shared" si="5"/>
        <v>1</v>
      </c>
      <c r="AJ20" s="46" t="s">
        <v>8</v>
      </c>
      <c r="AK20" s="43">
        <f>AVERAGE(L20:AI20)</f>
        <v>0.29166666666666669</v>
      </c>
    </row>
    <row r="21" spans="1:38" x14ac:dyDescent="0.2">
      <c r="J21" s="121" t="s">
        <v>9</v>
      </c>
      <c r="K21" s="122"/>
      <c r="M21" s="6"/>
      <c r="N21" s="6"/>
      <c r="O21" s="6">
        <f t="shared" ref="O21" si="6">AVERAGE(L20:O20)</f>
        <v>0.5</v>
      </c>
      <c r="P21" s="6">
        <f t="shared" ref="P21" si="7">AVERAGE(M20:P20)</f>
        <v>0.75</v>
      </c>
      <c r="Q21" s="6">
        <f t="shared" ref="Q21" si="8">AVERAGE(N20:Q20)</f>
        <v>0.75</v>
      </c>
      <c r="R21" s="6">
        <f t="shared" ref="R21" si="9">AVERAGE(O20:R20)</f>
        <v>0.75</v>
      </c>
      <c r="S21" s="6">
        <f t="shared" ref="S21" si="10">AVERAGE(P20:S20)</f>
        <v>0.5</v>
      </c>
      <c r="T21" s="6">
        <f t="shared" ref="T21" si="11">AVERAGE(Q20:T20)</f>
        <v>0.5</v>
      </c>
      <c r="U21" s="6">
        <f t="shared" ref="U21" si="12">AVERAGE(R20:U20)</f>
        <v>0.5</v>
      </c>
      <c r="V21" s="6">
        <f t="shared" ref="V21:AI21" si="13">AVERAGE(S20:V20)</f>
        <v>0.25</v>
      </c>
      <c r="W21" s="6">
        <f t="shared" si="13"/>
        <v>0.25</v>
      </c>
      <c r="X21" s="6">
        <f t="shared" si="13"/>
        <v>0</v>
      </c>
      <c r="Y21" s="6">
        <f t="shared" si="13"/>
        <v>0</v>
      </c>
      <c r="Z21" s="6">
        <f t="shared" si="13"/>
        <v>0</v>
      </c>
      <c r="AA21" s="6">
        <f t="shared" si="13"/>
        <v>0</v>
      </c>
      <c r="AB21" s="6">
        <f t="shared" si="13"/>
        <v>0</v>
      </c>
      <c r="AC21" s="6">
        <f t="shared" si="13"/>
        <v>0</v>
      </c>
      <c r="AD21" s="6">
        <f t="shared" si="13"/>
        <v>0</v>
      </c>
      <c r="AE21" s="6">
        <f t="shared" si="13"/>
        <v>0.25</v>
      </c>
      <c r="AF21" s="6">
        <f t="shared" si="13"/>
        <v>0.25</v>
      </c>
      <c r="AG21" s="6">
        <f t="shared" si="13"/>
        <v>0.25</v>
      </c>
      <c r="AH21" s="6">
        <f>AVERAGE(AE20:AH20)</f>
        <v>0.25</v>
      </c>
      <c r="AI21" s="10">
        <f t="shared" si="13"/>
        <v>0.25</v>
      </c>
      <c r="AJ21" s="42" t="s">
        <v>10</v>
      </c>
      <c r="AK21" s="43">
        <f>AVERAGE(O21:AI21)</f>
        <v>0.2857142857142857</v>
      </c>
    </row>
    <row r="22" spans="1:38" x14ac:dyDescent="0.2">
      <c r="J22" s="130" t="s">
        <v>11</v>
      </c>
      <c r="K22" s="134"/>
      <c r="L22" s="18">
        <f t="shared" ref="L22:P22" si="14">L15/L19-1</f>
        <v>-3.8727524204702601E-2</v>
      </c>
      <c r="M22" s="18">
        <f t="shared" si="14"/>
        <v>-9.0652557319223948E-2</v>
      </c>
      <c r="N22" s="18">
        <f t="shared" si="14"/>
        <v>5.7833089311859487E-2</v>
      </c>
      <c r="O22" s="18">
        <f t="shared" si="14"/>
        <v>0.17050067658998636</v>
      </c>
      <c r="P22" s="18">
        <f t="shared" si="14"/>
        <v>5.4633471645919807E-2</v>
      </c>
      <c r="Q22" s="18">
        <f t="shared" ref="Q22:AI22" si="15">Q15/Q19-1</f>
        <v>-4.181758314125783E-2</v>
      </c>
      <c r="R22" s="18">
        <f t="shared" si="15"/>
        <v>0.81818181818181834</v>
      </c>
      <c r="S22" s="18">
        <f t="shared" si="15"/>
        <v>-9.3423478795328752E-2</v>
      </c>
      <c r="T22" s="18">
        <f t="shared" si="15"/>
        <v>9.6818810511756226E-3</v>
      </c>
      <c r="U22" s="18">
        <f t="shared" si="15"/>
        <v>-6.5314541079407595E-3</v>
      </c>
      <c r="V22" s="18">
        <f t="shared" si="15"/>
        <v>-5.6417024084460698E-2</v>
      </c>
      <c r="W22" s="18">
        <f t="shared" si="15"/>
        <v>-3.0054644808743203E-2</v>
      </c>
      <c r="X22" s="18">
        <f t="shared" si="15"/>
        <v>-1.3546370267453867E-2</v>
      </c>
      <c r="Y22" s="18">
        <f t="shared" si="15"/>
        <v>-4.6951646811492553E-2</v>
      </c>
      <c r="Z22" s="18">
        <f t="shared" si="15"/>
        <v>-7.2847682119205226E-2</v>
      </c>
      <c r="AA22" s="18">
        <f t="shared" si="15"/>
        <v>-2.2447501810282322E-2</v>
      </c>
      <c r="AB22" s="18">
        <f t="shared" si="15"/>
        <v>-8.9590134203844762E-2</v>
      </c>
      <c r="AC22" s="18">
        <f t="shared" si="15"/>
        <v>-6.8754774637127536E-3</v>
      </c>
      <c r="AD22" s="18">
        <f t="shared" si="15"/>
        <v>-7.0331447049312823E-2</v>
      </c>
      <c r="AE22" s="18">
        <f t="shared" si="15"/>
        <v>4.6077210460772067E-2</v>
      </c>
      <c r="AF22" s="18">
        <f t="shared" si="15"/>
        <v>-3.076274757690689E-2</v>
      </c>
      <c r="AG22" s="18">
        <f t="shared" si="15"/>
        <v>-9.9639855942377009E-2</v>
      </c>
      <c r="AH22" s="18">
        <f t="shared" si="15"/>
        <v>-0.10282671036460467</v>
      </c>
      <c r="AI22" s="41">
        <f t="shared" si="15"/>
        <v>4.3256997455470625E-2</v>
      </c>
      <c r="AJ22" s="42" t="s">
        <v>13</v>
      </c>
      <c r="AK22" s="44">
        <f>MEDIAN(L22:AI22)</f>
        <v>-3.0408696192825047E-2</v>
      </c>
    </row>
    <row r="23" spans="1:38" x14ac:dyDescent="0.2">
      <c r="J23" s="121" t="s">
        <v>12</v>
      </c>
      <c r="K23" s="122"/>
      <c r="M23" s="12"/>
      <c r="N23" s="12"/>
      <c r="O23" s="33">
        <f t="shared" ref="O23" si="16">AVERAGE(L22:O22)</f>
        <v>2.4738421094479823E-2</v>
      </c>
      <c r="P23" s="33">
        <f t="shared" ref="P23" si="17">AVERAGE(M22:P22)</f>
        <v>4.8078670057135425E-2</v>
      </c>
      <c r="Q23" s="33">
        <f t="shared" ref="Q23" si="18">AVERAGE(N22:Q22)</f>
        <v>6.0287413601626955E-2</v>
      </c>
      <c r="R23" s="33">
        <f t="shared" ref="R23" si="19">AVERAGE(O22:R22)</f>
        <v>0.2503745958191167</v>
      </c>
      <c r="S23" s="33">
        <f t="shared" ref="S23" si="20">AVERAGE(P22:S22)</f>
        <v>0.18439355697278789</v>
      </c>
      <c r="T23" s="33">
        <f t="shared" ref="T23" si="21">AVERAGE(Q22:T22)</f>
        <v>0.17315565932410185</v>
      </c>
      <c r="U23" s="33">
        <f t="shared" ref="U23" si="22">AVERAGE(R22:U22)</f>
        <v>0.18197719158243111</v>
      </c>
      <c r="V23" s="33">
        <f t="shared" ref="V23:AI23" si="23">AVERAGE(S22:V22)</f>
        <v>-3.6672518984138647E-2</v>
      </c>
      <c r="W23" s="33">
        <f t="shared" si="23"/>
        <v>-2.083031048749226E-2</v>
      </c>
      <c r="X23" s="33">
        <f t="shared" si="23"/>
        <v>-2.6637373317149632E-2</v>
      </c>
      <c r="Y23" s="33">
        <f t="shared" si="23"/>
        <v>-3.674242149303758E-2</v>
      </c>
      <c r="Z23" s="33">
        <f t="shared" si="23"/>
        <v>-4.0850086001723712E-2</v>
      </c>
      <c r="AA23" s="33">
        <f t="shared" si="23"/>
        <v>-3.8948300252108492E-2</v>
      </c>
      <c r="AB23" s="33">
        <f t="shared" si="23"/>
        <v>-5.7959241236206216E-2</v>
      </c>
      <c r="AC23" s="33">
        <f t="shared" si="23"/>
        <v>-4.7940198899261266E-2</v>
      </c>
      <c r="AD23" s="33">
        <f t="shared" si="23"/>
        <v>-4.7311140131788165E-2</v>
      </c>
      <c r="AE23" s="33">
        <f t="shared" si="23"/>
        <v>-3.0179962064024568E-2</v>
      </c>
      <c r="AF23" s="33">
        <f t="shared" si="23"/>
        <v>-1.54731154072901E-2</v>
      </c>
      <c r="AG23" s="33">
        <f t="shared" si="23"/>
        <v>-3.8664210026956164E-2</v>
      </c>
      <c r="AH23" s="33">
        <f t="shared" si="23"/>
        <v>-4.6788025855779125E-2</v>
      </c>
      <c r="AI23" s="34">
        <f t="shared" si="23"/>
        <v>-4.7493079107104486E-2</v>
      </c>
      <c r="AJ23" s="19" t="s">
        <v>14</v>
      </c>
      <c r="AK23" s="34">
        <f>MEDIAN(O23:AI23)</f>
        <v>-3.0179962064024568E-2</v>
      </c>
    </row>
    <row r="24" spans="1:38" x14ac:dyDescent="0.2">
      <c r="J24" s="147" t="s">
        <v>25</v>
      </c>
      <c r="K24" s="148"/>
      <c r="L24" s="114">
        <f>AVERAGE(N22:P22,R22,T22,AE22,AI22)</f>
        <v>0.17145216352814319</v>
      </c>
      <c r="M24" s="130" t="s">
        <v>29</v>
      </c>
      <c r="N24" s="131"/>
      <c r="O24" s="47">
        <f>MEDIAN(N22:P22,R22,T22,AE22,AI22)</f>
        <v>5.4633471645919807E-2</v>
      </c>
      <c r="AF24" s="3"/>
      <c r="AG24" s="123" t="s">
        <v>23</v>
      </c>
      <c r="AH24" s="124"/>
      <c r="AI24" s="124"/>
      <c r="AJ24" s="125"/>
      <c r="AK24" s="45">
        <f>AVERAGE(AI17:AJ17,AD17:AF17)</f>
        <v>2.6006995562728778E-2</v>
      </c>
    </row>
    <row r="25" spans="1:38" x14ac:dyDescent="0.2">
      <c r="J25" s="132" t="s">
        <v>26</v>
      </c>
      <c r="K25" s="170"/>
      <c r="L25" s="113">
        <f>AVERAGE(L22:M22,Q22,S22,U22:AD22,AF22:AH22)</f>
        <v>-5.3731990592402981E-2</v>
      </c>
      <c r="M25" s="132" t="s">
        <v>30</v>
      </c>
      <c r="N25" s="133"/>
      <c r="O25" s="34">
        <f>MEDIAN(U22:AD22,AG22:AH22)</f>
        <v>-5.1684335447976626E-2</v>
      </c>
      <c r="AG25" s="126" t="s">
        <v>27</v>
      </c>
      <c r="AH25" s="127"/>
      <c r="AI25" s="127"/>
      <c r="AJ25" s="127"/>
      <c r="AK25" s="47">
        <f>AVERAGE(AJ18,L18,H18)</f>
        <v>0.25743439973596388</v>
      </c>
    </row>
    <row r="26" spans="1:38" x14ac:dyDescent="0.2">
      <c r="AG26" s="128" t="s">
        <v>28</v>
      </c>
      <c r="AH26" s="129"/>
      <c r="AI26" s="129"/>
      <c r="AJ26" s="129"/>
      <c r="AK26" s="48">
        <f>_xlfn.STDEV.S(AJ18,AB18,T18,P18,H18,L18)</f>
        <v>8.8737946997749419E-3</v>
      </c>
    </row>
    <row r="29" spans="1:38" ht="18" customHeight="1" x14ac:dyDescent="0.2"/>
  </sheetData>
  <mergeCells count="28">
    <mergeCell ref="J21:K21"/>
    <mergeCell ref="V11:Y11"/>
    <mergeCell ref="J24:K24"/>
    <mergeCell ref="J25:K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J23:K23"/>
    <mergeCell ref="AG24:AJ24"/>
    <mergeCell ref="AG25:AJ25"/>
    <mergeCell ref="AG26:AJ26"/>
    <mergeCell ref="M24:N24"/>
    <mergeCell ref="M25:N25"/>
    <mergeCell ref="J22:K22"/>
    <mergeCell ref="F11:I11"/>
    <mergeCell ref="J11:M11"/>
    <mergeCell ref="N11:Q11"/>
    <mergeCell ref="R11:U11"/>
    <mergeCell ref="Z11:AC11"/>
    <mergeCell ref="AD11:AG11"/>
    <mergeCell ref="AH11:AK11"/>
    <mergeCell ref="J20:K20"/>
  </mergeCells>
  <conditionalFormatting sqref="L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O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J44" sqref="J44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3" t="s">
        <v>76</v>
      </c>
      <c r="B4" s="173"/>
      <c r="T4" s="73" t="s">
        <v>166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168</v>
      </c>
      <c r="B6" t="s">
        <v>172</v>
      </c>
      <c r="C6" t="s">
        <v>169</v>
      </c>
      <c r="D6">
        <v>20180118</v>
      </c>
      <c r="E6">
        <v>321.02777970800003</v>
      </c>
      <c r="F6">
        <v>318.58434187248179</v>
      </c>
      <c r="G6">
        <v>291.62335075836017</v>
      </c>
      <c r="H6">
        <v>280.562875668</v>
      </c>
      <c r="I6">
        <v>267.53898328611911</v>
      </c>
      <c r="J6">
        <f>AVERAGE(E6:I6)</f>
        <v>295.86746625859223</v>
      </c>
      <c r="R6">
        <v>290.89999999999998</v>
      </c>
      <c r="S6" s="115">
        <v>289</v>
      </c>
      <c r="T6" s="103"/>
      <c r="U6" s="102"/>
    </row>
    <row r="7" spans="1:21" x14ac:dyDescent="0.2">
      <c r="A7" t="s">
        <v>168</v>
      </c>
      <c r="B7" t="s">
        <v>172</v>
      </c>
      <c r="C7" t="s">
        <v>42</v>
      </c>
      <c r="D7">
        <v>20180412</v>
      </c>
      <c r="E7">
        <v>270.62959699999999</v>
      </c>
      <c r="F7">
        <v>268.61378200000001</v>
      </c>
      <c r="G7">
        <v>228.31314900000001</v>
      </c>
      <c r="H7">
        <v>258.950827</v>
      </c>
      <c r="I7">
        <v>250.81797299999999</v>
      </c>
      <c r="J7">
        <v>255.46506600000001</v>
      </c>
      <c r="K7">
        <v>243.62986157814726</v>
      </c>
      <c r="L7">
        <v>243.66980041056863</v>
      </c>
      <c r="M7">
        <v>226.25931664736021</v>
      </c>
      <c r="N7">
        <v>266.73803091310276</v>
      </c>
      <c r="O7">
        <v>270.93769030092915</v>
      </c>
      <c r="P7">
        <v>249.53539166578088</v>
      </c>
      <c r="Q7">
        <v>250.12834858598148</v>
      </c>
      <c r="R7">
        <v>303.10000000000002</v>
      </c>
      <c r="S7" s="115">
        <v>286</v>
      </c>
      <c r="T7" s="9"/>
      <c r="U7" s="63"/>
    </row>
    <row r="8" spans="1:21" x14ac:dyDescent="0.2">
      <c r="A8" t="s">
        <v>168</v>
      </c>
      <c r="B8" t="s">
        <v>172</v>
      </c>
      <c r="C8" t="s">
        <v>43</v>
      </c>
      <c r="D8">
        <v>20180712</v>
      </c>
      <c r="E8">
        <v>315.68591300000003</v>
      </c>
      <c r="F8">
        <v>314.31269900000001</v>
      </c>
      <c r="G8">
        <v>288.46511199999998</v>
      </c>
      <c r="H8">
        <v>295.469042</v>
      </c>
      <c r="I8">
        <v>279.76293399999997</v>
      </c>
      <c r="J8">
        <v>298.73914000000002</v>
      </c>
      <c r="K8">
        <v>333.61528864117554</v>
      </c>
      <c r="L8">
        <v>334.65681189061252</v>
      </c>
      <c r="M8">
        <v>361.35028750359004</v>
      </c>
      <c r="N8">
        <v>326.33279063441648</v>
      </c>
      <c r="O8">
        <v>319.00504643660446</v>
      </c>
      <c r="P8">
        <v>334.44648764618177</v>
      </c>
      <c r="Q8">
        <v>334.90111879209684</v>
      </c>
      <c r="R8">
        <v>292.8</v>
      </c>
      <c r="S8" s="115">
        <v>284</v>
      </c>
      <c r="T8" s="9"/>
      <c r="U8" s="63"/>
    </row>
    <row r="9" spans="1:21" x14ac:dyDescent="0.2">
      <c r="A9" t="s">
        <v>168</v>
      </c>
      <c r="B9" t="s">
        <v>172</v>
      </c>
      <c r="C9" t="s">
        <v>44</v>
      </c>
      <c r="D9">
        <v>20181011</v>
      </c>
      <c r="E9">
        <v>305.16776399999998</v>
      </c>
      <c r="F9">
        <v>304.22710000000001</v>
      </c>
      <c r="G9">
        <v>276.39446800000002</v>
      </c>
      <c r="H9">
        <v>283.60003799999998</v>
      </c>
      <c r="I9">
        <v>261.95124399999997</v>
      </c>
      <c r="J9">
        <v>286.268123</v>
      </c>
      <c r="K9">
        <v>274.53757487113461</v>
      </c>
      <c r="L9">
        <v>274.88706843499187</v>
      </c>
      <c r="M9">
        <v>272.11619584693489</v>
      </c>
      <c r="N9">
        <v>272.59170790556124</v>
      </c>
      <c r="O9">
        <v>265.9185483663822</v>
      </c>
      <c r="P9">
        <v>272.14427587894909</v>
      </c>
      <c r="Q9">
        <v>272.03256188399229</v>
      </c>
      <c r="R9">
        <v>287.89999999999998</v>
      </c>
      <c r="S9" s="115">
        <v>284</v>
      </c>
      <c r="T9" s="9"/>
      <c r="U9" s="63"/>
    </row>
    <row r="10" spans="1:21" x14ac:dyDescent="0.2">
      <c r="A10" t="s">
        <v>168</v>
      </c>
      <c r="B10" t="s">
        <v>172</v>
      </c>
      <c r="C10" t="s">
        <v>45</v>
      </c>
      <c r="D10">
        <v>20190117</v>
      </c>
      <c r="E10">
        <v>318.23141500000003</v>
      </c>
      <c r="F10">
        <v>318.283007</v>
      </c>
      <c r="G10">
        <v>299.74151799999999</v>
      </c>
      <c r="H10">
        <v>320.16330399999998</v>
      </c>
      <c r="I10">
        <v>299.46823599999999</v>
      </c>
      <c r="J10">
        <v>311.17749600000002</v>
      </c>
      <c r="K10">
        <v>296.15749932224168</v>
      </c>
      <c r="L10">
        <v>297.12137409192013</v>
      </c>
      <c r="M10">
        <v>307.98948954361845</v>
      </c>
      <c r="N10">
        <v>320.61483128574196</v>
      </c>
      <c r="O10">
        <v>324.67484301773351</v>
      </c>
      <c r="P10">
        <v>308.712014239881</v>
      </c>
      <c r="Q10">
        <v>309.21167525018944</v>
      </c>
      <c r="R10">
        <v>285.39999999999998</v>
      </c>
      <c r="S10" s="115">
        <v>272</v>
      </c>
      <c r="T10" s="9"/>
      <c r="U10" s="63"/>
    </row>
    <row r="11" spans="1:21" x14ac:dyDescent="0.2">
      <c r="A11" t="s">
        <v>168</v>
      </c>
      <c r="B11" t="s">
        <v>172</v>
      </c>
      <c r="C11" t="s">
        <v>46</v>
      </c>
      <c r="D11">
        <v>20190411</v>
      </c>
      <c r="E11">
        <v>267.96781399999998</v>
      </c>
      <c r="F11">
        <v>269.55236200000002</v>
      </c>
      <c r="G11">
        <v>262.59151900000001</v>
      </c>
      <c r="H11">
        <v>266.22444100000001</v>
      </c>
      <c r="I11">
        <v>253.895171</v>
      </c>
      <c r="J11">
        <v>264.04626100000002</v>
      </c>
      <c r="K11">
        <v>229.03849831419058</v>
      </c>
      <c r="L11">
        <v>230.35550391164932</v>
      </c>
      <c r="M11">
        <v>238.28828800419967</v>
      </c>
      <c r="N11">
        <v>226.17535191353474</v>
      </c>
      <c r="O11">
        <v>230.6070501313535</v>
      </c>
      <c r="P11">
        <v>230.8026252386837</v>
      </c>
      <c r="Q11">
        <v>230.87788625226861</v>
      </c>
      <c r="R11">
        <v>286.89999999999998</v>
      </c>
      <c r="S11" s="115">
        <v>266</v>
      </c>
      <c r="T11" s="9"/>
      <c r="U11" s="63"/>
    </row>
    <row r="12" spans="1:21" x14ac:dyDescent="0.2">
      <c r="A12" t="s">
        <v>168</v>
      </c>
      <c r="B12" t="s">
        <v>172</v>
      </c>
      <c r="C12" t="s">
        <v>47</v>
      </c>
      <c r="D12">
        <v>20190711</v>
      </c>
      <c r="E12">
        <v>272.99267099999997</v>
      </c>
      <c r="F12">
        <v>269.21838500000001</v>
      </c>
      <c r="G12">
        <v>242.045547</v>
      </c>
      <c r="H12">
        <v>280.31206100000003</v>
      </c>
      <c r="I12">
        <v>279.86642699999999</v>
      </c>
      <c r="J12">
        <v>268.88701800000001</v>
      </c>
      <c r="K12">
        <v>270.98795710592316</v>
      </c>
      <c r="L12">
        <v>265.67042439791345</v>
      </c>
      <c r="M12">
        <v>245.18733791246319</v>
      </c>
      <c r="N12">
        <v>280.07574340629384</v>
      </c>
      <c r="O12">
        <v>293.20947416522546</v>
      </c>
      <c r="P12">
        <v>270.87657487412787</v>
      </c>
      <c r="Q12">
        <v>271.00125197699117</v>
      </c>
      <c r="R12">
        <v>276.2</v>
      </c>
      <c r="S12" s="115">
        <v>270</v>
      </c>
      <c r="T12" s="9"/>
      <c r="U12" s="63"/>
    </row>
    <row r="13" spans="1:21" x14ac:dyDescent="0.2">
      <c r="A13" t="s">
        <v>168</v>
      </c>
      <c r="B13" t="s">
        <v>172</v>
      </c>
      <c r="C13" t="s">
        <v>48</v>
      </c>
      <c r="D13">
        <v>20191010</v>
      </c>
      <c r="E13">
        <v>264.23639900000001</v>
      </c>
      <c r="F13">
        <v>265.09425199999998</v>
      </c>
      <c r="G13">
        <v>243.802583</v>
      </c>
      <c r="H13">
        <v>258.27113000000003</v>
      </c>
      <c r="I13">
        <v>253.958575</v>
      </c>
      <c r="J13">
        <v>257.072588</v>
      </c>
      <c r="K13">
        <v>261.33971827397522</v>
      </c>
      <c r="L13">
        <v>265.8638935078672</v>
      </c>
      <c r="M13">
        <v>271.95996053585736</v>
      </c>
      <c r="N13">
        <v>248.76990612259098</v>
      </c>
      <c r="O13">
        <v>245.00550489394715</v>
      </c>
      <c r="P13">
        <v>258.13666749801951</v>
      </c>
      <c r="Q13">
        <v>258.51260847204293</v>
      </c>
      <c r="R13">
        <v>275.7</v>
      </c>
      <c r="S13" s="115">
        <v>251</v>
      </c>
      <c r="T13" s="9"/>
      <c r="U13" s="63"/>
    </row>
    <row r="14" spans="1:21" x14ac:dyDescent="0.2">
      <c r="A14" t="s">
        <v>168</v>
      </c>
      <c r="B14" t="s">
        <v>172</v>
      </c>
      <c r="C14" t="s">
        <v>49</v>
      </c>
      <c r="D14">
        <v>20200116</v>
      </c>
      <c r="E14">
        <v>283.21808299999998</v>
      </c>
      <c r="F14">
        <v>279.45698399999998</v>
      </c>
      <c r="G14">
        <v>274.16181799999998</v>
      </c>
      <c r="H14">
        <v>293.93636600000002</v>
      </c>
      <c r="I14">
        <v>283.05604199999999</v>
      </c>
      <c r="J14">
        <v>282.76585799999998</v>
      </c>
      <c r="K14">
        <v>269.03083413954636</v>
      </c>
      <c r="L14">
        <v>264.59910939147784</v>
      </c>
      <c r="M14">
        <v>282.25548503725241</v>
      </c>
      <c r="N14">
        <v>285.66114945174087</v>
      </c>
      <c r="O14">
        <v>279.75848636731399</v>
      </c>
      <c r="P14">
        <v>276.08634164448523</v>
      </c>
      <c r="Q14">
        <v>276.23190100530275</v>
      </c>
      <c r="R14">
        <v>261.8</v>
      </c>
      <c r="S14" s="115">
        <v>260</v>
      </c>
      <c r="T14" s="9"/>
      <c r="U14" s="63"/>
    </row>
    <row r="15" spans="1:21" x14ac:dyDescent="0.2">
      <c r="A15" t="s">
        <v>168</v>
      </c>
      <c r="B15" t="s">
        <v>172</v>
      </c>
      <c r="C15" t="s">
        <v>50</v>
      </c>
      <c r="D15">
        <v>20200409</v>
      </c>
      <c r="E15">
        <v>215.87578199999999</v>
      </c>
      <c r="F15">
        <v>216.90193099999999</v>
      </c>
      <c r="G15">
        <v>216.41759400000001</v>
      </c>
      <c r="H15">
        <v>238.13849200000001</v>
      </c>
      <c r="I15">
        <v>236.75153</v>
      </c>
      <c r="J15">
        <v>224.81706600000001</v>
      </c>
      <c r="K15">
        <v>198.17838863064406</v>
      </c>
      <c r="L15">
        <v>201.80029589097694</v>
      </c>
      <c r="M15">
        <v>205.23855163522447</v>
      </c>
      <c r="N15">
        <v>210.64425869645541</v>
      </c>
      <c r="O15">
        <v>217.46717492785405</v>
      </c>
      <c r="P15">
        <v>206.71674286787484</v>
      </c>
      <c r="Q15">
        <v>206.67423544150498</v>
      </c>
      <c r="R15">
        <v>247.4</v>
      </c>
      <c r="S15" s="115">
        <v>230</v>
      </c>
      <c r="T15" s="9"/>
      <c r="U15" s="63"/>
    </row>
    <row r="16" spans="1:21" x14ac:dyDescent="0.2">
      <c r="A16" t="s">
        <v>168</v>
      </c>
      <c r="B16" t="s">
        <v>172</v>
      </c>
      <c r="C16" t="s">
        <v>51</v>
      </c>
      <c r="D16">
        <v>20200709</v>
      </c>
      <c r="E16">
        <v>169.243133</v>
      </c>
      <c r="F16">
        <v>168.46238500000001</v>
      </c>
      <c r="G16">
        <v>162.47703200000001</v>
      </c>
      <c r="H16">
        <v>177.93548999999999</v>
      </c>
      <c r="I16">
        <v>178.494122</v>
      </c>
      <c r="J16">
        <v>171.32243199999999</v>
      </c>
      <c r="K16">
        <v>180.31629221845736</v>
      </c>
      <c r="L16">
        <v>178.63533243509946</v>
      </c>
      <c r="M16">
        <v>172.67411890735647</v>
      </c>
      <c r="N16">
        <v>171.85446315835406</v>
      </c>
      <c r="O16">
        <v>173.40393981825588</v>
      </c>
      <c r="P16">
        <v>175.27210038405178</v>
      </c>
      <c r="Q16">
        <v>175.35937448692917</v>
      </c>
      <c r="R16">
        <v>160.6</v>
      </c>
      <c r="S16" s="115">
        <v>168</v>
      </c>
      <c r="T16" s="9"/>
      <c r="U16" s="63"/>
    </row>
    <row r="17" spans="1:21" x14ac:dyDescent="0.2">
      <c r="A17" t="s">
        <v>168</v>
      </c>
      <c r="B17" t="s">
        <v>172</v>
      </c>
      <c r="C17" t="s">
        <v>52</v>
      </c>
      <c r="D17">
        <v>20201015</v>
      </c>
      <c r="E17">
        <v>231.026995</v>
      </c>
      <c r="F17">
        <v>230.45130800000001</v>
      </c>
      <c r="G17">
        <v>217.32697999999999</v>
      </c>
      <c r="H17">
        <v>229.88612699999999</v>
      </c>
      <c r="I17">
        <v>230.853137</v>
      </c>
      <c r="J17">
        <v>227.90890999999999</v>
      </c>
      <c r="K17">
        <v>229.33004413242574</v>
      </c>
      <c r="L17">
        <v>229.81877968782172</v>
      </c>
      <c r="M17">
        <v>224.714423882386</v>
      </c>
      <c r="N17">
        <v>217.04983832061831</v>
      </c>
      <c r="O17">
        <v>217.28069575310718</v>
      </c>
      <c r="P17">
        <v>223.48910433398473</v>
      </c>
      <c r="Q17">
        <v>223.61381435172393</v>
      </c>
      <c r="R17">
        <v>237.3</v>
      </c>
      <c r="S17" s="115">
        <v>230</v>
      </c>
      <c r="T17" s="9"/>
      <c r="U17" s="63"/>
    </row>
    <row r="18" spans="1:21" x14ac:dyDescent="0.2">
      <c r="A18" t="s">
        <v>168</v>
      </c>
      <c r="B18" t="s">
        <v>172</v>
      </c>
      <c r="C18" t="s">
        <v>53</v>
      </c>
      <c r="D18">
        <v>20210121</v>
      </c>
      <c r="E18">
        <v>229.894475</v>
      </c>
      <c r="F18">
        <v>228.116185</v>
      </c>
      <c r="G18">
        <v>219.03955400000001</v>
      </c>
      <c r="H18">
        <v>231.02090100000001</v>
      </c>
      <c r="I18">
        <v>229.21038799999999</v>
      </c>
      <c r="J18">
        <v>227.456301</v>
      </c>
      <c r="K18">
        <v>228.8725144436043</v>
      </c>
      <c r="L18">
        <v>227.66945002542576</v>
      </c>
      <c r="M18">
        <v>231.81243957837174</v>
      </c>
      <c r="N18">
        <v>231.13533610490558</v>
      </c>
      <c r="O18">
        <v>228.36332191578578</v>
      </c>
      <c r="P18">
        <v>229.54323826128606</v>
      </c>
      <c r="Q18">
        <v>229.56605005489652</v>
      </c>
      <c r="R18">
        <v>249.9</v>
      </c>
      <c r="S18" s="115">
        <v>225</v>
      </c>
    </row>
    <row r="19" spans="1:21" x14ac:dyDescent="0.2">
      <c r="A19" t="s">
        <v>168</v>
      </c>
      <c r="B19" t="s">
        <v>172</v>
      </c>
      <c r="C19" t="s">
        <v>54</v>
      </c>
      <c r="D19">
        <v>20210415</v>
      </c>
      <c r="E19">
        <v>222.69104200000001</v>
      </c>
      <c r="F19">
        <v>219.388237</v>
      </c>
      <c r="G19">
        <v>210.363921</v>
      </c>
      <c r="H19">
        <v>221.70795699999999</v>
      </c>
      <c r="I19">
        <v>207.786732</v>
      </c>
      <c r="J19">
        <v>216.38757799999999</v>
      </c>
      <c r="K19">
        <v>217.9499287662307</v>
      </c>
      <c r="L19">
        <v>216.39128028114271</v>
      </c>
      <c r="M19">
        <v>216.08828798564846</v>
      </c>
      <c r="N19">
        <v>215.92977132835264</v>
      </c>
      <c r="O19">
        <v>203.96987722912456</v>
      </c>
      <c r="P19">
        <v>214.05080815940991</v>
      </c>
      <c r="Q19">
        <v>214.06332562498483</v>
      </c>
      <c r="R19">
        <v>244.1</v>
      </c>
      <c r="S19" s="115">
        <v>219</v>
      </c>
    </row>
    <row r="20" spans="1:21" x14ac:dyDescent="0.2">
      <c r="A20" t="s">
        <v>168</v>
      </c>
      <c r="B20" t="s">
        <v>172</v>
      </c>
      <c r="C20" t="s">
        <v>55</v>
      </c>
      <c r="D20">
        <v>20210715</v>
      </c>
      <c r="E20">
        <v>245.38399000000001</v>
      </c>
      <c r="F20">
        <v>246.379107</v>
      </c>
      <c r="G20">
        <v>228.48391699999999</v>
      </c>
      <c r="H20">
        <v>240.29232999999999</v>
      </c>
      <c r="I20">
        <v>222.33930599999999</v>
      </c>
      <c r="J20">
        <v>236.57572999999999</v>
      </c>
      <c r="K20">
        <v>241.31681870705873</v>
      </c>
      <c r="L20">
        <v>245.9431060244128</v>
      </c>
      <c r="M20">
        <v>237.8638769668112</v>
      </c>
      <c r="N20">
        <v>237.35738212589277</v>
      </c>
      <c r="O20">
        <v>234.33790764850181</v>
      </c>
      <c r="P20">
        <v>239.43188120530655</v>
      </c>
      <c r="Q20">
        <v>239.37516211299729</v>
      </c>
      <c r="R20">
        <v>235.8</v>
      </c>
      <c r="S20" s="115">
        <v>246</v>
      </c>
    </row>
    <row r="21" spans="1:21" x14ac:dyDescent="0.2">
      <c r="A21" t="s">
        <v>168</v>
      </c>
      <c r="B21" t="s">
        <v>172</v>
      </c>
      <c r="C21" t="s">
        <v>71</v>
      </c>
      <c r="D21" s="12">
        <v>20211014</v>
      </c>
      <c r="E21" s="105">
        <v>249.37894399999999</v>
      </c>
      <c r="F21" s="105">
        <v>248.422729</v>
      </c>
      <c r="G21" s="105">
        <v>227.645983</v>
      </c>
      <c r="H21" s="105">
        <v>225.45275799999999</v>
      </c>
      <c r="I21" s="105">
        <v>202.349842</v>
      </c>
      <c r="J21" s="104">
        <f>AVERAGE(E21:I21)</f>
        <v>230.65005120000001</v>
      </c>
      <c r="K21" s="104">
        <f>(E21/E20)*$S19</f>
        <v>222.56541160651923</v>
      </c>
      <c r="L21" s="104">
        <f t="shared" ref="L21:Q21" si="0">(F21/F20)*$S19</f>
        <v>220.81652260798234</v>
      </c>
      <c r="M21" s="104">
        <f t="shared" si="0"/>
        <v>218.19684698857822</v>
      </c>
      <c r="N21" s="104">
        <f t="shared" si="0"/>
        <v>205.4753641200283</v>
      </c>
      <c r="O21" s="104">
        <f t="shared" si="0"/>
        <v>199.31075703726447</v>
      </c>
      <c r="P21" s="104">
        <f t="shared" si="0"/>
        <v>213.51455287826863</v>
      </c>
      <c r="Q21" s="104">
        <f t="shared" si="0"/>
        <v>201.98271054201484</v>
      </c>
      <c r="R21" s="6">
        <v>260.8</v>
      </c>
      <c r="S21" s="10"/>
    </row>
    <row r="22" spans="1:21" x14ac:dyDescent="0.2">
      <c r="A22" s="171" t="s">
        <v>75</v>
      </c>
      <c r="B22" s="172"/>
      <c r="C22" s="172"/>
      <c r="D22" s="172"/>
      <c r="E22" s="117">
        <f t="shared" ref="E22:Q22" si="1">CORREL(E$6:E$20,$S$6:$S$20)</f>
        <v>0.93246216732030707</v>
      </c>
      <c r="F22" s="116">
        <f t="shared" si="1"/>
        <v>0.93249626828215226</v>
      </c>
      <c r="G22" s="69">
        <f t="shared" si="1"/>
        <v>0.86398142182328852</v>
      </c>
      <c r="H22" s="69">
        <f t="shared" si="1"/>
        <v>0.87876194287577514</v>
      </c>
      <c r="I22" s="69">
        <f t="shared" si="1"/>
        <v>0.85076430710513662</v>
      </c>
      <c r="J22" s="68">
        <f>CORREL(J$6:J$20,$S$6:$S$20)</f>
        <v>0.91429593865549375</v>
      </c>
      <c r="K22" s="69">
        <f t="shared" si="1"/>
        <v>0.79295082727902066</v>
      </c>
      <c r="L22" s="69">
        <f t="shared" si="1"/>
        <v>0.79723904200104201</v>
      </c>
      <c r="M22" s="69">
        <f t="shared" si="1"/>
        <v>0.7142229234717502</v>
      </c>
      <c r="N22" s="69">
        <f t="shared" si="1"/>
        <v>0.83532443437271109</v>
      </c>
      <c r="O22" s="69">
        <f t="shared" si="1"/>
        <v>0.84259405970852252</v>
      </c>
      <c r="P22" s="69">
        <f t="shared" si="1"/>
        <v>0.81409268271321777</v>
      </c>
      <c r="Q22" s="69">
        <f t="shared" si="1"/>
        <v>0.81402479126258853</v>
      </c>
      <c r="R22" s="68">
        <f>CORREL(R$6:R$20,$S$6:$S$20)</f>
        <v>0.94870109824941695</v>
      </c>
      <c r="S22" s="5"/>
    </row>
    <row r="24" spans="1:21" x14ac:dyDescent="0.2">
      <c r="A24" s="174" t="s">
        <v>77</v>
      </c>
      <c r="B24" s="175"/>
    </row>
    <row r="25" spans="1:21" x14ac:dyDescent="0.2">
      <c r="A25" s="17" t="s">
        <v>56</v>
      </c>
      <c r="B25" s="17" t="s">
        <v>57</v>
      </c>
      <c r="C25" s="17" t="s">
        <v>68</v>
      </c>
      <c r="D25" s="17" t="s">
        <v>58</v>
      </c>
      <c r="E25" s="17" t="s">
        <v>59</v>
      </c>
      <c r="F25" s="17" t="s">
        <v>69</v>
      </c>
      <c r="G25" s="17" t="s">
        <v>60</v>
      </c>
      <c r="H25" s="17" t="s">
        <v>61</v>
      </c>
      <c r="I25" s="17" t="s">
        <v>70</v>
      </c>
      <c r="J25" s="17" t="s">
        <v>62</v>
      </c>
      <c r="K25" s="17" t="s">
        <v>63</v>
      </c>
      <c r="L25" s="17" t="s">
        <v>73</v>
      </c>
      <c r="M25" s="17" t="s">
        <v>64</v>
      </c>
      <c r="N25" s="17" t="s">
        <v>65</v>
      </c>
      <c r="O25" s="17" t="s">
        <v>74</v>
      </c>
      <c r="P25" s="17" t="s">
        <v>66</v>
      </c>
      <c r="Q25" s="17" t="s">
        <v>67</v>
      </c>
      <c r="R25" s="17" t="s">
        <v>0</v>
      </c>
    </row>
    <row r="26" spans="1:21" x14ac:dyDescent="0.2">
      <c r="A26" s="9" t="str">
        <f>A6</f>
        <v>ABT</v>
      </c>
      <c r="B26" s="9" t="str">
        <f t="shared" ref="B26:D27" si="2">B6</f>
        <v>VASCULAR</v>
      </c>
      <c r="C26" s="9" t="str">
        <f t="shared" si="2"/>
        <v>2017Q4</v>
      </c>
      <c r="D26" s="9">
        <f t="shared" si="2"/>
        <v>20180118</v>
      </c>
      <c r="E26" s="18">
        <f t="shared" ref="E26:J27" si="3">$S6/E6-1</f>
        <v>-9.9766380769701013E-2</v>
      </c>
      <c r="F26" s="18">
        <f t="shared" si="3"/>
        <v>-9.2861882974535459E-2</v>
      </c>
      <c r="G26" s="18">
        <f t="shared" si="3"/>
        <v>-8.995681421046009E-3</v>
      </c>
      <c r="H26" s="18">
        <f t="shared" si="3"/>
        <v>3.007213378431417E-2</v>
      </c>
      <c r="I26" s="18">
        <f t="shared" si="3"/>
        <v>8.021640977430744E-2</v>
      </c>
      <c r="J26" s="18">
        <f t="shared" si="3"/>
        <v>-2.3211292358146451E-2</v>
      </c>
      <c r="K26" s="18"/>
      <c r="L26" s="18"/>
      <c r="M26" s="18"/>
      <c r="N26" s="18"/>
      <c r="O26" s="18"/>
      <c r="P26" s="18"/>
      <c r="Q26" s="18"/>
      <c r="R26" s="41">
        <f>$S6/R6-1</f>
        <v>-6.5314541079407595E-3</v>
      </c>
    </row>
    <row r="27" spans="1:21" x14ac:dyDescent="0.2">
      <c r="A27" s="9" t="str">
        <f>A7</f>
        <v>ABT</v>
      </c>
      <c r="B27" s="9" t="str">
        <f t="shared" si="2"/>
        <v>VASCULAR</v>
      </c>
      <c r="C27" s="9" t="str">
        <f t="shared" si="2"/>
        <v>2018Q1</v>
      </c>
      <c r="D27" s="9">
        <f t="shared" si="2"/>
        <v>20180412</v>
      </c>
      <c r="E27" s="18">
        <f t="shared" ref="E27:E37" si="4">$S7/E7-1</f>
        <v>5.6794981666399291E-2</v>
      </c>
      <c r="F27" s="18">
        <f t="shared" si="3"/>
        <v>6.4725710909353085E-2</v>
      </c>
      <c r="G27" s="18">
        <f t="shared" si="3"/>
        <v>0.25266547832512254</v>
      </c>
      <c r="H27" s="18">
        <f t="shared" si="3"/>
        <v>0.10445679325828139</v>
      </c>
      <c r="I27" s="18">
        <f t="shared" si="3"/>
        <v>0.14026916244953469</v>
      </c>
      <c r="J27" s="18">
        <f t="shared" si="3"/>
        <v>0.11952684755730947</v>
      </c>
      <c r="K27" s="18">
        <f t="shared" ref="K27:Q27" si="5">$S7/K7-1</f>
        <v>0.17391192585093673</v>
      </c>
      <c r="L27" s="18">
        <f t="shared" si="5"/>
        <v>0.17371951517220263</v>
      </c>
      <c r="M27" s="18">
        <f t="shared" si="5"/>
        <v>0.26403634660379316</v>
      </c>
      <c r="N27" s="18">
        <f t="shared" si="5"/>
        <v>7.2213058711422917E-2</v>
      </c>
      <c r="O27" s="18">
        <f t="shared" si="5"/>
        <v>5.5593260879803097E-2</v>
      </c>
      <c r="P27" s="18">
        <f t="shared" si="5"/>
        <v>0.14613000621193861</v>
      </c>
      <c r="Q27" s="18">
        <f t="shared" si="5"/>
        <v>0.14341297824419796</v>
      </c>
      <c r="R27" s="41">
        <f>$S7/R7-1</f>
        <v>-5.6417024084460698E-2</v>
      </c>
    </row>
    <row r="28" spans="1:21" x14ac:dyDescent="0.2">
      <c r="A28" s="9" t="str">
        <f t="shared" ref="A28:D28" si="6">A8</f>
        <v>ABT</v>
      </c>
      <c r="B28" s="9" t="str">
        <f t="shared" si="6"/>
        <v>VASCULAR</v>
      </c>
      <c r="C28" s="9" t="str">
        <f t="shared" si="6"/>
        <v>2018Q2</v>
      </c>
      <c r="D28" s="9">
        <f t="shared" si="6"/>
        <v>20180712</v>
      </c>
      <c r="E28" s="18">
        <f t="shared" si="4"/>
        <v>-0.10037164059328818</v>
      </c>
      <c r="F28" s="18">
        <f t="shared" ref="F28:J28" si="7">$S8/F8-1</f>
        <v>-9.6441216331510704E-2</v>
      </c>
      <c r="G28" s="18">
        <f t="shared" si="7"/>
        <v>-1.5478863177048496E-2</v>
      </c>
      <c r="H28" s="18">
        <f t="shared" si="7"/>
        <v>-3.8816391464795208E-2</v>
      </c>
      <c r="I28" s="18">
        <f t="shared" si="7"/>
        <v>1.5145201472615444E-2</v>
      </c>
      <c r="J28" s="18">
        <f t="shared" si="7"/>
        <v>-4.9337826975066057E-2</v>
      </c>
      <c r="K28" s="18">
        <f t="shared" ref="K28:Q28" si="8">$S8/K8-1</f>
        <v>-0.1487200686852812</v>
      </c>
      <c r="L28" s="18">
        <f t="shared" si="8"/>
        <v>-0.15136943307513018</v>
      </c>
      <c r="M28" s="18">
        <f t="shared" si="8"/>
        <v>-0.21405901746465761</v>
      </c>
      <c r="N28" s="18">
        <f t="shared" si="8"/>
        <v>-0.12972276108728831</v>
      </c>
      <c r="O28" s="18">
        <f t="shared" si="8"/>
        <v>-0.10973195197888819</v>
      </c>
      <c r="P28" s="18">
        <f t="shared" si="8"/>
        <v>-0.15083575253315329</v>
      </c>
      <c r="Q28" s="18">
        <f t="shared" si="8"/>
        <v>-0.15198850029430844</v>
      </c>
      <c r="R28" s="41">
        <f t="shared" ref="R28:R35" si="9">$S8/R8-1</f>
        <v>-3.0054644808743203E-2</v>
      </c>
    </row>
    <row r="29" spans="1:21" x14ac:dyDescent="0.2">
      <c r="A29" s="9" t="str">
        <f t="shared" ref="A29:D29" si="10">A9</f>
        <v>ABT</v>
      </c>
      <c r="B29" s="9" t="str">
        <f t="shared" si="10"/>
        <v>VASCULAR</v>
      </c>
      <c r="C29" s="9" t="str">
        <f t="shared" si="10"/>
        <v>2018Q3</v>
      </c>
      <c r="D29" s="9">
        <f t="shared" si="10"/>
        <v>20181011</v>
      </c>
      <c r="E29" s="18">
        <f t="shared" si="4"/>
        <v>-6.9364351340857833E-2</v>
      </c>
      <c r="F29" s="18">
        <f t="shared" ref="F29:J29" si="11">$S9/F9-1</f>
        <v>-6.6486844860303429E-2</v>
      </c>
      <c r="G29" s="18">
        <f t="shared" si="11"/>
        <v>2.7516947263937164E-2</v>
      </c>
      <c r="H29" s="18">
        <f t="shared" si="11"/>
        <v>1.4103030550369766E-3</v>
      </c>
      <c r="I29" s="18">
        <f t="shared" si="11"/>
        <v>8.4171220809319935E-2</v>
      </c>
      <c r="J29" s="18">
        <f t="shared" si="11"/>
        <v>-7.9230721752417965E-3</v>
      </c>
      <c r="K29" s="18">
        <f t="shared" ref="K29:Q29" si="12">$S9/K9-1</f>
        <v>3.446677611728366E-2</v>
      </c>
      <c r="L29" s="18">
        <f t="shared" si="12"/>
        <v>3.3151546985787927E-2</v>
      </c>
      <c r="M29" s="18">
        <f t="shared" si="12"/>
        <v>4.3671800261935623E-2</v>
      </c>
      <c r="N29" s="18">
        <f t="shared" si="12"/>
        <v>4.1851207368314824E-2</v>
      </c>
      <c r="O29" s="18">
        <f t="shared" si="12"/>
        <v>6.7996203140764822E-2</v>
      </c>
      <c r="P29" s="18">
        <f t="shared" si="12"/>
        <v>4.3564113493698375E-2</v>
      </c>
      <c r="Q29" s="18">
        <f t="shared" si="12"/>
        <v>4.3992667764203963E-2</v>
      </c>
      <c r="R29" s="41">
        <f t="shared" si="9"/>
        <v>-1.3546370267453867E-2</v>
      </c>
    </row>
    <row r="30" spans="1:21" x14ac:dyDescent="0.2">
      <c r="A30" s="9" t="str">
        <f t="shared" ref="A30:D30" si="13">A10</f>
        <v>ABT</v>
      </c>
      <c r="B30" s="9" t="str">
        <f t="shared" si="13"/>
        <v>VASCULAR</v>
      </c>
      <c r="C30" s="9" t="str">
        <f t="shared" si="13"/>
        <v>2018Q4</v>
      </c>
      <c r="D30" s="9">
        <f t="shared" si="13"/>
        <v>20190117</v>
      </c>
      <c r="E30" s="18">
        <f t="shared" si="4"/>
        <v>-0.14527608784318169</v>
      </c>
      <c r="F30" s="18">
        <f t="shared" ref="F30:J30" si="14">$S10/F10-1</f>
        <v>-0.14541463409009459</v>
      </c>
      <c r="G30" s="18">
        <f t="shared" si="14"/>
        <v>-9.2551469629909566E-2</v>
      </c>
      <c r="H30" s="18">
        <f t="shared" si="14"/>
        <v>-0.1504335549960466</v>
      </c>
      <c r="I30" s="18">
        <f t="shared" si="14"/>
        <v>-9.1723370621517253E-2</v>
      </c>
      <c r="J30" s="18">
        <f t="shared" si="14"/>
        <v>-0.12590080100136813</v>
      </c>
      <c r="K30" s="18">
        <f t="shared" ref="K30:Q30" si="15">$S10/K10-1</f>
        <v>-8.1569770738631586E-2</v>
      </c>
      <c r="L30" s="18">
        <f t="shared" si="15"/>
        <v>-8.4549198685882399E-2</v>
      </c>
      <c r="M30" s="18">
        <f t="shared" si="15"/>
        <v>-0.11685297961611607</v>
      </c>
      <c r="N30" s="18">
        <f t="shared" si="15"/>
        <v>-0.15163001377941532</v>
      </c>
      <c r="O30" s="18">
        <f t="shared" si="15"/>
        <v>-0.16223875717668845</v>
      </c>
      <c r="P30" s="18">
        <f t="shared" si="15"/>
        <v>-0.11891994009457096</v>
      </c>
      <c r="Q30" s="18">
        <f t="shared" si="15"/>
        <v>-0.1203436940732614</v>
      </c>
      <c r="R30" s="41">
        <f t="shared" si="9"/>
        <v>-4.6951646811492553E-2</v>
      </c>
    </row>
    <row r="31" spans="1:21" x14ac:dyDescent="0.2">
      <c r="A31" s="9" t="str">
        <f t="shared" ref="A31:D31" si="16">A11</f>
        <v>ABT</v>
      </c>
      <c r="B31" s="9" t="str">
        <f t="shared" si="16"/>
        <v>VASCULAR</v>
      </c>
      <c r="C31" s="9" t="str">
        <f t="shared" si="16"/>
        <v>2019Q1</v>
      </c>
      <c r="D31" s="9">
        <f t="shared" si="16"/>
        <v>20190411</v>
      </c>
      <c r="E31" s="18">
        <f t="shared" si="4"/>
        <v>-7.3434714812428137E-3</v>
      </c>
      <c r="F31" s="18">
        <f t="shared" ref="F31:J31" si="17">$S11/F11-1</f>
        <v>-1.3178745582648643E-2</v>
      </c>
      <c r="G31" s="18">
        <f t="shared" si="17"/>
        <v>1.2980164069959832E-2</v>
      </c>
      <c r="H31" s="18">
        <f t="shared" si="17"/>
        <v>-8.4305182182731198E-4</v>
      </c>
      <c r="I31" s="18">
        <f t="shared" si="17"/>
        <v>4.767648377211553E-2</v>
      </c>
      <c r="J31" s="18">
        <f t="shared" si="17"/>
        <v>7.3992299402414474E-3</v>
      </c>
      <c r="K31" s="18">
        <f t="shared" ref="K31:Q31" si="18">$S11/K11-1</f>
        <v>0.16137680764526463</v>
      </c>
      <c r="L31" s="18">
        <f t="shared" si="18"/>
        <v>0.15473689789509781</v>
      </c>
      <c r="M31" s="18">
        <f t="shared" si="18"/>
        <v>0.11629489736109866</v>
      </c>
      <c r="N31" s="18">
        <f t="shared" si="18"/>
        <v>0.17607863876206076</v>
      </c>
      <c r="O31" s="18">
        <f t="shared" si="18"/>
        <v>0.15347731063940473</v>
      </c>
      <c r="P31" s="18">
        <f t="shared" si="18"/>
        <v>0.1524998891365168</v>
      </c>
      <c r="Q31" s="18">
        <f t="shared" si="18"/>
        <v>0.1521242000169527</v>
      </c>
      <c r="R31" s="41">
        <f t="shared" si="9"/>
        <v>-7.2847682119205226E-2</v>
      </c>
    </row>
    <row r="32" spans="1:21" x14ac:dyDescent="0.2">
      <c r="A32" s="9" t="str">
        <f t="shared" ref="A32:D32" si="19">A12</f>
        <v>ABT</v>
      </c>
      <c r="B32" s="9" t="str">
        <f t="shared" si="19"/>
        <v>VASCULAR</v>
      </c>
      <c r="C32" s="9" t="str">
        <f t="shared" si="19"/>
        <v>2019Q2</v>
      </c>
      <c r="D32" s="9">
        <f t="shared" si="19"/>
        <v>20190711</v>
      </c>
      <c r="E32" s="18">
        <f t="shared" si="4"/>
        <v>-1.0962459135029246E-2</v>
      </c>
      <c r="F32" s="18">
        <f t="shared" ref="F32:J32" si="20">$S12/F12-1</f>
        <v>2.9032749750728115E-3</v>
      </c>
      <c r="G32" s="18">
        <f>$S12/G12-1</f>
        <v>0.11549253165975415</v>
      </c>
      <c r="H32" s="18">
        <f t="shared" si="20"/>
        <v>-3.6787789163306939E-2</v>
      </c>
      <c r="I32" s="18">
        <f t="shared" si="20"/>
        <v>-3.5254057107750203E-2</v>
      </c>
      <c r="J32" s="18">
        <f t="shared" si="20"/>
        <v>4.1392180562618286E-3</v>
      </c>
      <c r="K32" s="18">
        <f t="shared" ref="K32:Q32" si="21">$S12/K12-1</f>
        <v>-3.6457601897673664E-3</v>
      </c>
      <c r="L32" s="18">
        <f t="shared" si="21"/>
        <v>1.6296791831076574E-2</v>
      </c>
      <c r="M32" s="18">
        <f t="shared" si="21"/>
        <v>0.10119879068304671</v>
      </c>
      <c r="N32" s="18">
        <f t="shared" si="21"/>
        <v>-3.5975066186568649E-2</v>
      </c>
      <c r="O32" s="18">
        <f t="shared" si="21"/>
        <v>-7.9156631044421055E-2</v>
      </c>
      <c r="P32" s="18">
        <f t="shared" si="21"/>
        <v>-3.2360674766180875E-3</v>
      </c>
      <c r="Q32" s="18">
        <f t="shared" si="21"/>
        <v>-3.6946396730158648E-3</v>
      </c>
      <c r="R32" s="41">
        <f t="shared" si="9"/>
        <v>-2.2447501810282322E-2</v>
      </c>
    </row>
    <row r="33" spans="1:18" x14ac:dyDescent="0.2">
      <c r="A33" s="9" t="str">
        <f t="shared" ref="A33:D33" si="22">A13</f>
        <v>ABT</v>
      </c>
      <c r="B33" s="9" t="str">
        <f t="shared" si="22"/>
        <v>VASCULAR</v>
      </c>
      <c r="C33" s="9" t="str">
        <f t="shared" si="22"/>
        <v>2019Q3</v>
      </c>
      <c r="D33" s="9">
        <f t="shared" si="22"/>
        <v>20191010</v>
      </c>
      <c r="E33" s="18">
        <f t="shared" si="4"/>
        <v>-5.0093019168036768E-2</v>
      </c>
      <c r="F33" s="18">
        <f t="shared" ref="F33:J33" si="23">$S13/F13-1</f>
        <v>-5.3166946826142314E-2</v>
      </c>
      <c r="G33" s="18">
        <f>$S13/G13-1</f>
        <v>2.9521496086856391E-2</v>
      </c>
      <c r="H33" s="18">
        <f t="shared" si="23"/>
        <v>-2.8153088577883345E-2</v>
      </c>
      <c r="I33" s="18">
        <f t="shared" si="23"/>
        <v>-1.1649833048559155E-2</v>
      </c>
      <c r="J33" s="18">
        <f t="shared" si="23"/>
        <v>-2.3622075178237223E-2</v>
      </c>
      <c r="K33" s="18">
        <f t="shared" ref="K33:Q33" si="24">$S13/K13-1</f>
        <v>-3.9564281856061312E-2</v>
      </c>
      <c r="L33" s="18">
        <f t="shared" si="24"/>
        <v>-5.590790577746263E-2</v>
      </c>
      <c r="M33" s="18">
        <f t="shared" si="24"/>
        <v>-7.7070023449624103E-2</v>
      </c>
      <c r="N33" s="18">
        <f t="shared" si="24"/>
        <v>8.9644841378444529E-3</v>
      </c>
      <c r="O33" s="18">
        <f t="shared" si="24"/>
        <v>2.4466777220567337E-2</v>
      </c>
      <c r="P33" s="18">
        <f t="shared" si="24"/>
        <v>-2.7646856865362834E-2</v>
      </c>
      <c r="Q33" s="18">
        <f t="shared" si="24"/>
        <v>-2.9060897711901679E-2</v>
      </c>
      <c r="R33" s="41">
        <f t="shared" si="9"/>
        <v>-8.9590134203844762E-2</v>
      </c>
    </row>
    <row r="34" spans="1:18" x14ac:dyDescent="0.2">
      <c r="A34" s="9" t="str">
        <f t="shared" ref="A34:D34" si="25">A14</f>
        <v>ABT</v>
      </c>
      <c r="B34" s="9" t="str">
        <f t="shared" si="25"/>
        <v>VASCULAR</v>
      </c>
      <c r="C34" s="9" t="str">
        <f t="shared" si="25"/>
        <v>2019Q4</v>
      </c>
      <c r="D34" s="9">
        <f t="shared" si="25"/>
        <v>20200116</v>
      </c>
      <c r="E34" s="18">
        <f t="shared" si="4"/>
        <v>-8.197952176662382E-2</v>
      </c>
      <c r="F34" s="18">
        <f t="shared" ref="F34:J34" si="26">$S14/F14-1</f>
        <v>-6.96242538708568E-2</v>
      </c>
      <c r="G34" s="18">
        <f t="shared" si="26"/>
        <v>-5.1654960939892747E-2</v>
      </c>
      <c r="H34" s="18">
        <f t="shared" si="26"/>
        <v>-0.11545480561598842</v>
      </c>
      <c r="I34" s="18">
        <f t="shared" si="26"/>
        <v>-8.145398288300798E-2</v>
      </c>
      <c r="J34" s="18">
        <f t="shared" si="26"/>
        <v>-8.0511339526711856E-2</v>
      </c>
      <c r="K34" s="18">
        <f t="shared" ref="K34:Q34" si="27">$S14/K14-1</f>
        <v>-3.3568026387867711E-2</v>
      </c>
      <c r="L34" s="18">
        <f t="shared" si="27"/>
        <v>-1.7381424306585291E-2</v>
      </c>
      <c r="M34" s="18">
        <f t="shared" si="27"/>
        <v>-7.8848724708804552E-2</v>
      </c>
      <c r="N34" s="18">
        <f t="shared" si="27"/>
        <v>-8.9830729523392994E-2</v>
      </c>
      <c r="O34" s="18">
        <f t="shared" si="27"/>
        <v>-7.0626941916506203E-2</v>
      </c>
      <c r="P34" s="18">
        <f t="shared" si="27"/>
        <v>-5.8265619185173256E-2</v>
      </c>
      <c r="Q34" s="18">
        <f t="shared" si="27"/>
        <v>-5.8761862573545209E-2</v>
      </c>
      <c r="R34" s="41">
        <f t="shared" si="9"/>
        <v>-6.8754774637127536E-3</v>
      </c>
    </row>
    <row r="35" spans="1:18" x14ac:dyDescent="0.2">
      <c r="A35" s="9" t="str">
        <f t="shared" ref="A35:D35" si="28">A15</f>
        <v>ABT</v>
      </c>
      <c r="B35" s="9" t="str">
        <f t="shared" si="28"/>
        <v>VASCULAR</v>
      </c>
      <c r="C35" s="9" t="str">
        <f t="shared" si="28"/>
        <v>2020Q1</v>
      </c>
      <c r="D35" s="9">
        <f t="shared" si="28"/>
        <v>20200409</v>
      </c>
      <c r="E35" s="18">
        <f t="shared" si="4"/>
        <v>6.5427524426987516E-2</v>
      </c>
      <c r="F35" s="18">
        <f t="shared" ref="F35:J35" si="29">$S15/F15-1</f>
        <v>6.0387055751937924E-2</v>
      </c>
      <c r="G35" s="18">
        <f t="shared" ref="G35:G40" si="30">$S15/G15-1</f>
        <v>6.2760174664912016E-2</v>
      </c>
      <c r="H35" s="18">
        <f t="shared" si="29"/>
        <v>-3.41754578676009E-2</v>
      </c>
      <c r="I35" s="18">
        <f t="shared" si="29"/>
        <v>-2.8517365864541677E-2</v>
      </c>
      <c r="J35" s="18">
        <f t="shared" si="29"/>
        <v>2.3054006051302034E-2</v>
      </c>
      <c r="K35" s="18">
        <f t="shared" ref="K35:Q35" si="31">$S15/K15-1</f>
        <v>0.16057054247556546</v>
      </c>
      <c r="L35" s="18">
        <f t="shared" si="31"/>
        <v>0.13974064797337071</v>
      </c>
      <c r="M35" s="18">
        <f t="shared" si="31"/>
        <v>0.12064715993896047</v>
      </c>
      <c r="N35" s="18">
        <f t="shared" si="31"/>
        <v>9.1888292723120379E-2</v>
      </c>
      <c r="O35" s="18">
        <f t="shared" si="31"/>
        <v>5.7630881885065044E-2</v>
      </c>
      <c r="P35" s="18">
        <f t="shared" si="31"/>
        <v>0.11263363000551374</v>
      </c>
      <c r="Q35" s="18">
        <f t="shared" si="31"/>
        <v>0.11286246932843702</v>
      </c>
      <c r="R35" s="41">
        <f t="shared" si="9"/>
        <v>-7.0331447049312823E-2</v>
      </c>
    </row>
    <row r="36" spans="1:18" x14ac:dyDescent="0.2">
      <c r="A36" s="9" t="str">
        <f t="shared" ref="A36:D36" si="32">A16</f>
        <v>ABT</v>
      </c>
      <c r="B36" s="9" t="str">
        <f t="shared" si="32"/>
        <v>VASCULAR</v>
      </c>
      <c r="C36" s="9" t="str">
        <f t="shared" si="32"/>
        <v>2020Q2</v>
      </c>
      <c r="D36" s="9">
        <f t="shared" si="32"/>
        <v>20200709</v>
      </c>
      <c r="E36" s="18">
        <f t="shared" si="4"/>
        <v>-7.3452492751950871E-3</v>
      </c>
      <c r="F36" s="18">
        <f t="shared" ref="F36:J36" si="33">$S16/F16-1</f>
        <v>-2.7447373489341009E-3</v>
      </c>
      <c r="G36" s="18">
        <f t="shared" si="30"/>
        <v>3.3992299908580215E-2</v>
      </c>
      <c r="H36" s="18">
        <f t="shared" si="33"/>
        <v>-5.583759597368676E-2</v>
      </c>
      <c r="I36" s="18">
        <f t="shared" si="33"/>
        <v>-5.879253547632235E-2</v>
      </c>
      <c r="J36" s="18">
        <f t="shared" si="33"/>
        <v>-1.9392860358181219E-2</v>
      </c>
      <c r="K36" s="18">
        <f t="shared" ref="K36:Q36" si="34">$S16/K16-1</f>
        <v>-6.8303823614207282E-2</v>
      </c>
      <c r="L36" s="18">
        <f t="shared" si="34"/>
        <v>-5.9536555787267909E-2</v>
      </c>
      <c r="M36" s="18">
        <f t="shared" si="34"/>
        <v>-2.7069018431559178E-2</v>
      </c>
      <c r="N36" s="18">
        <f t="shared" si="34"/>
        <v>-2.242864740034356E-2</v>
      </c>
      <c r="O36" s="18">
        <f t="shared" si="34"/>
        <v>-3.1163881419993822E-2</v>
      </c>
      <c r="P36" s="18">
        <f t="shared" si="34"/>
        <v>-4.1490347682930362E-2</v>
      </c>
      <c r="Q36" s="18">
        <f t="shared" si="34"/>
        <v>-4.1967385595788165E-2</v>
      </c>
      <c r="R36" s="41">
        <f t="shared" ref="R36" si="35">$S16/R16-1</f>
        <v>4.6077210460772067E-2</v>
      </c>
    </row>
    <row r="37" spans="1:18" x14ac:dyDescent="0.2">
      <c r="A37" s="9" t="str">
        <f t="shared" ref="A37:D37" si="36">A17</f>
        <v>ABT</v>
      </c>
      <c r="B37" s="9" t="str">
        <f t="shared" si="36"/>
        <v>VASCULAR</v>
      </c>
      <c r="C37" s="9" t="str">
        <f t="shared" si="36"/>
        <v>2020Q3</v>
      </c>
      <c r="D37" s="9">
        <f t="shared" si="36"/>
        <v>20201015</v>
      </c>
      <c r="E37" s="18">
        <f t="shared" si="4"/>
        <v>-4.4453463111528979E-3</v>
      </c>
      <c r="F37" s="18">
        <f t="shared" ref="F37:I37" si="37">$S17/F17-1</f>
        <v>-1.9583659729108804E-3</v>
      </c>
      <c r="G37" s="18">
        <f t="shared" si="30"/>
        <v>5.8313146393512705E-2</v>
      </c>
      <c r="H37" s="18">
        <f t="shared" si="37"/>
        <v>4.9534524543104475E-4</v>
      </c>
      <c r="I37" s="18">
        <f t="shared" si="37"/>
        <v>-3.6955833093140766E-3</v>
      </c>
      <c r="J37" s="18">
        <f>$S17/J17-1</f>
        <v>9.1751129870263348E-3</v>
      </c>
      <c r="K37" s="18">
        <f t="shared" ref="K37:Q37" si="38">$S17/K17-1</f>
        <v>2.9213610894671671E-3</v>
      </c>
      <c r="L37" s="18">
        <f t="shared" si="38"/>
        <v>7.8853569940817714E-4</v>
      </c>
      <c r="M37" s="18">
        <f t="shared" si="38"/>
        <v>2.352130328928248E-2</v>
      </c>
      <c r="N37" s="18">
        <f t="shared" si="38"/>
        <v>5.9664461303362781E-2</v>
      </c>
      <c r="O37" s="18">
        <f t="shared" si="38"/>
        <v>5.8538583940036526E-2</v>
      </c>
      <c r="P37" s="18">
        <f t="shared" si="38"/>
        <v>2.9132944469119737E-2</v>
      </c>
      <c r="Q37" s="18">
        <f t="shared" si="38"/>
        <v>2.8558994294651141E-2</v>
      </c>
      <c r="R37" s="41">
        <f>$S17/R17-1</f>
        <v>-3.076274757690689E-2</v>
      </c>
    </row>
    <row r="38" spans="1:18" x14ac:dyDescent="0.2">
      <c r="A38" s="9" t="str">
        <f t="shared" ref="A38:D38" si="39">A18</f>
        <v>ABT</v>
      </c>
      <c r="B38" s="9" t="str">
        <f t="shared" si="39"/>
        <v>VASCULAR</v>
      </c>
      <c r="C38" s="9" t="str">
        <f t="shared" si="39"/>
        <v>2020Q4</v>
      </c>
      <c r="D38" s="9">
        <f t="shared" si="39"/>
        <v>20210121</v>
      </c>
      <c r="E38" s="18">
        <f t="shared" ref="E38:I38" si="40">$S18/E18-1</f>
        <v>-2.129009407468363E-2</v>
      </c>
      <c r="F38" s="18">
        <f t="shared" si="40"/>
        <v>-1.3660516898439279E-2</v>
      </c>
      <c r="G38" s="18">
        <f t="shared" si="30"/>
        <v>2.7211733639669333E-2</v>
      </c>
      <c r="H38" s="18">
        <f t="shared" si="40"/>
        <v>-2.6062148376782668E-2</v>
      </c>
      <c r="I38" s="18">
        <f t="shared" si="40"/>
        <v>-1.8369097651891764E-2</v>
      </c>
      <c r="J38" s="18">
        <f>$S18/J18-1</f>
        <v>-1.0799001782764384E-2</v>
      </c>
      <c r="K38" s="18">
        <f t="shared" ref="K38:Q38" si="41">$S18/K18-1</f>
        <v>-1.6919962858006343E-2</v>
      </c>
      <c r="L38" s="18">
        <f t="shared" si="41"/>
        <v>-1.1725112987832298E-2</v>
      </c>
      <c r="M38" s="18">
        <f t="shared" si="41"/>
        <v>-2.9387722206635769E-2</v>
      </c>
      <c r="N38" s="18">
        <f t="shared" si="41"/>
        <v>-2.6544345007121439E-2</v>
      </c>
      <c r="O38" s="18">
        <f t="shared" si="41"/>
        <v>-1.472794268173272E-2</v>
      </c>
      <c r="P38" s="18">
        <f t="shared" si="41"/>
        <v>-1.9792516197382204E-2</v>
      </c>
      <c r="Q38" s="18">
        <f t="shared" si="41"/>
        <v>-1.9889918626053937E-2</v>
      </c>
      <c r="R38" s="41">
        <f>$S18/R18-1</f>
        <v>-9.9639855942377009E-2</v>
      </c>
    </row>
    <row r="39" spans="1:18" x14ac:dyDescent="0.2">
      <c r="A39" s="9" t="str">
        <f t="shared" ref="A39:D39" si="42">A19</f>
        <v>ABT</v>
      </c>
      <c r="B39" s="9" t="str">
        <f t="shared" si="42"/>
        <v>VASCULAR</v>
      </c>
      <c r="C39" s="9" t="str">
        <f t="shared" si="42"/>
        <v>2021Q1</v>
      </c>
      <c r="D39" s="9">
        <f t="shared" si="42"/>
        <v>20210415</v>
      </c>
      <c r="E39" s="18">
        <f t="shared" ref="E39:J39" si="43">$S19/E19-1</f>
        <v>-1.6574721492389477E-2</v>
      </c>
      <c r="F39" s="18">
        <f t="shared" si="43"/>
        <v>-1.7696345314995865E-3</v>
      </c>
      <c r="G39" s="18">
        <f t="shared" si="30"/>
        <v>4.1053042550960983E-2</v>
      </c>
      <c r="H39" s="18">
        <f t="shared" si="43"/>
        <v>-1.2214072226555239E-2</v>
      </c>
      <c r="I39" s="18">
        <f t="shared" si="43"/>
        <v>5.3965274356401194E-2</v>
      </c>
      <c r="J39" s="18">
        <f t="shared" si="43"/>
        <v>1.2072883407383106E-2</v>
      </c>
      <c r="K39" s="18">
        <f t="shared" ref="K39:Q39" si="44">$S19/K19-1</f>
        <v>4.8179471299372167E-3</v>
      </c>
      <c r="L39" s="18">
        <f t="shared" si="44"/>
        <v>1.2055567652577981E-2</v>
      </c>
      <c r="M39" s="18">
        <f t="shared" si="44"/>
        <v>1.3474640580913411E-2</v>
      </c>
      <c r="N39" s="18">
        <f t="shared" si="44"/>
        <v>1.4218644574854E-2</v>
      </c>
      <c r="O39" s="18">
        <f t="shared" si="44"/>
        <v>7.3687953216698299E-2</v>
      </c>
      <c r="P39" s="18">
        <f t="shared" si="44"/>
        <v>2.312157512110069E-2</v>
      </c>
      <c r="Q39" s="18">
        <f t="shared" si="44"/>
        <v>2.3061747548777545E-2</v>
      </c>
      <c r="R39" s="41">
        <f>$S19/R19-1</f>
        <v>-0.10282671036460467</v>
      </c>
    </row>
    <row r="40" spans="1:18" x14ac:dyDescent="0.2">
      <c r="A40" s="9" t="str">
        <f t="shared" ref="A40:D40" si="45">A20</f>
        <v>ABT</v>
      </c>
      <c r="B40" s="9" t="str">
        <f t="shared" si="45"/>
        <v>VASCULAR</v>
      </c>
      <c r="C40" s="9" t="str">
        <f t="shared" si="45"/>
        <v>2021Q2</v>
      </c>
      <c r="D40" s="9">
        <f t="shared" si="45"/>
        <v>20210715</v>
      </c>
      <c r="E40" s="18">
        <f>$S20/E20-1</f>
        <v>2.5103919778954875E-3</v>
      </c>
      <c r="F40" s="18">
        <f t="shared" ref="F40:J40" si="46">$S20/F20-1</f>
        <v>-1.538714076108727E-3</v>
      </c>
      <c r="G40" s="18">
        <f t="shared" si="30"/>
        <v>7.6662214259920924E-2</v>
      </c>
      <c r="H40" s="18">
        <f t="shared" si="46"/>
        <v>2.3753026157763868E-2</v>
      </c>
      <c r="I40" s="18">
        <f t="shared" si="46"/>
        <v>0.10641705430168069</v>
      </c>
      <c r="J40" s="18">
        <f t="shared" si="46"/>
        <v>3.9836165780826382E-2</v>
      </c>
      <c r="K40" s="18">
        <f t="shared" ref="K40:Q40" si="47">$S20/K20-1</f>
        <v>1.9406775367059259E-2</v>
      </c>
      <c r="L40" s="18">
        <f t="shared" si="47"/>
        <v>2.3132982463658358E-4</v>
      </c>
      <c r="M40" s="18">
        <f t="shared" si="47"/>
        <v>3.4204954266023435E-2</v>
      </c>
      <c r="N40" s="18">
        <f t="shared" si="47"/>
        <v>3.6411835168974171E-2</v>
      </c>
      <c r="O40" s="18">
        <f t="shared" si="47"/>
        <v>4.9766136723346177E-2</v>
      </c>
      <c r="P40" s="18">
        <f t="shared" si="47"/>
        <v>2.7432097854426685E-2</v>
      </c>
      <c r="Q40" s="18">
        <f t="shared" si="47"/>
        <v>2.7675544231591687E-2</v>
      </c>
      <c r="R40" s="41">
        <f>$S20/R20-1</f>
        <v>4.3256997455470625E-2</v>
      </c>
    </row>
    <row r="41" spans="1:18" x14ac:dyDescent="0.2">
      <c r="A41" s="180" t="s">
        <v>78</v>
      </c>
      <c r="B41" s="180"/>
      <c r="C41" s="176"/>
      <c r="D41" s="177"/>
      <c r="E41" s="76" cm="1">
        <f t="array" ref="E41">SUM(ABS(E26:E40))/COUNT(E26:E40)</f>
        <v>4.9303016088177651E-2</v>
      </c>
      <c r="F41" s="78" cm="1">
        <f t="array" ref="F41">SUM(ABS(F26:F40))/COUNT(F26:F40)</f>
        <v>4.5790835666689886E-2</v>
      </c>
      <c r="G41" s="76" cm="1">
        <f t="array" ref="G41">SUM(ABS(G26:G40))/COUNT(G26:G40)</f>
        <v>6.0456680266072205E-2</v>
      </c>
      <c r="H41" s="76" cm="1">
        <f t="array" ref="H41">SUM(ABS(H26:H40))/COUNT(H26:H40)</f>
        <v>4.3931037172353388E-2</v>
      </c>
      <c r="I41" s="76" cm="1">
        <f t="array" ref="I41">SUM(ABS(I26:I40))/COUNT(I26:I40)</f>
        <v>5.7154442193258624E-2</v>
      </c>
      <c r="J41" s="78" cm="1">
        <f t="array" ref="J41">SUM(ABS(J26:J40))/COUNT(J26:J40)</f>
        <v>3.7060115542404515E-2</v>
      </c>
      <c r="K41" s="76" cm="1">
        <f t="array" ref="K41">SUM(ABS(K26:K40))/COUNT(K26:K40)</f>
        <v>6.7840273571809787E-2</v>
      </c>
      <c r="L41" s="76" cm="1">
        <f t="array" ref="L41">SUM(ABS(L26:L40))/COUNT(L26:L40)</f>
        <v>6.5085033118165644E-2</v>
      </c>
      <c r="M41" s="76" cm="1">
        <f t="array" ref="M41">SUM(ABS(M26:M40))/COUNT(M26:M40)</f>
        <v>9.0024098490175092E-2</v>
      </c>
      <c r="N41" s="76" cm="1">
        <f t="array" ref="N41">SUM(ABS(N26:N40))/COUNT(N26:N40)</f>
        <v>6.8387298981006039E-2</v>
      </c>
      <c r="O41" s="76" cm="1">
        <f t="array" ref="O41">SUM(ABS(O26:O40))/COUNT(O26:O40)</f>
        <v>7.2057372418851171E-2</v>
      </c>
      <c r="P41" s="76" cm="1">
        <f t="array" ref="P41">SUM(ABS(P26:P40))/COUNT(P26:P40)</f>
        <v>6.819295402339326E-2</v>
      </c>
      <c r="Q41" s="76" cm="1">
        <f t="array" ref="Q41">SUM(ABS(Q26:Q40))/COUNT(Q26:Q40)</f>
        <v>6.8385392855477622E-2</v>
      </c>
      <c r="R41" s="78" cm="1">
        <f t="array" ref="R41">SUM(ABS(R26:R40))/COUNT(R26:R40)</f>
        <v>4.9210460301772015E-2</v>
      </c>
    </row>
    <row r="42" spans="1:18" x14ac:dyDescent="0.2">
      <c r="A42" s="181" t="s">
        <v>79</v>
      </c>
      <c r="B42" s="181"/>
      <c r="C42" s="178"/>
      <c r="D42" s="179"/>
      <c r="E42" s="77" cm="1">
        <f t="array" ref="E42">SQRT(SUM(POWER(E26:E40,2))/COUNT(E26:E40))</f>
        <v>6.514744446120202E-2</v>
      </c>
      <c r="F42" s="79" cm="1">
        <f t="array" ref="F42">SQRT(SUM(POWER(F26:F40,2))/COUNT(F26:F40))</f>
        <v>6.2921122617414199E-2</v>
      </c>
      <c r="G42" s="77" cm="1">
        <f t="array" ref="G42">SQRT(SUM(POWER(G26:G40,2))/COUNT(G26:G40))</f>
        <v>8.4588315370566533E-2</v>
      </c>
      <c r="H42" s="77" cm="1">
        <f t="array" ref="H42">SQRT(SUM(POWER(H26:H40,2))/COUNT(H26:H40))</f>
        <v>6.170339864419154E-2</v>
      </c>
      <c r="I42" s="77" cm="1">
        <f t="array" ref="I42">SQRT(SUM(POWER(I26:I40,2))/COUNT(I26:I40))</f>
        <v>6.8790284161574844E-2</v>
      </c>
      <c r="J42" s="79" cm="1">
        <f t="array" ref="J42">SQRT(SUM(POWER(J26:J40,2))/COUNT(J26:J40))</f>
        <v>5.3619924939374911E-2</v>
      </c>
      <c r="K42" s="77" cm="1">
        <f t="array" ref="K42">SQRT(SUM(POWER(K26:K40,2))/COUNT(K26:K40))</f>
        <v>9.2618834791677485E-2</v>
      </c>
      <c r="L42" s="77" cm="1">
        <f t="array" ref="L42">SQRT(SUM(POWER(L26:L40,2))/COUNT(L26:L40))</f>
        <v>8.9574872345400083E-2</v>
      </c>
      <c r="M42" s="77" cm="1">
        <f t="array" ref="M42">SQRT(SUM(POWER(M26:M40,2))/COUNT(M26:M40))</f>
        <v>0.11497757926780999</v>
      </c>
      <c r="N42" s="77" cm="1">
        <f t="array" ref="N42">SQRT(SUM(POWER(N26:N40,2))/COUNT(N26:N40))</f>
        <v>8.5344957144380618E-2</v>
      </c>
      <c r="O42" s="77" cm="1">
        <f t="array" ref="O42">SQRT(SUM(POWER(O26:O40,2))/COUNT(O26:O40))</f>
        <v>8.3378321143779341E-2</v>
      </c>
      <c r="P42" s="77" cm="1">
        <f t="array" ref="P42">SQRT(SUM(POWER(P26:P40,2))/COUNT(P26:P40))</f>
        <v>8.6398780342734863E-2</v>
      </c>
      <c r="Q42" s="77" cm="1">
        <f t="array" ref="Q42">SQRT(SUM(POWER(Q26:Q40,2))/COUNT(Q26:Q40))</f>
        <v>8.6415468330984943E-2</v>
      </c>
      <c r="R42" s="79" cm="1">
        <f t="array" ref="R42">SQRT(SUM(POWER(R26:R40,2))/COUNT(R26:R40))</f>
        <v>5.8189169906531855E-2</v>
      </c>
    </row>
    <row r="43" spans="1:18" x14ac:dyDescent="0.2">
      <c r="J43" s="3">
        <f>AVERAGE(J38,J36,J33:J34,J28:J30,J26)</f>
        <v>-4.258728366946464E-2</v>
      </c>
    </row>
    <row r="44" spans="1:18" x14ac:dyDescent="0.2">
      <c r="B44" t="s">
        <v>159</v>
      </c>
      <c r="J44" s="3">
        <f>MEDIAN(J38,J36,J33:J34,J28:J30,J26)</f>
        <v>-2.3416683768191837E-2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L13" sqref="A13:XFD13"/>
    </sheetView>
  </sheetViews>
  <sheetFormatPr defaultRowHeight="12.75" x14ac:dyDescent="0.2"/>
  <cols>
    <col min="1" max="1" width="9.140625" style="70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70" t="s">
        <v>104</v>
      </c>
      <c r="B1" t="s">
        <v>84</v>
      </c>
    </row>
    <row r="2" spans="1:17" x14ac:dyDescent="0.2">
      <c r="A2" s="70" t="s">
        <v>99</v>
      </c>
      <c r="B2" t="s">
        <v>82</v>
      </c>
    </row>
    <row r="3" spans="1:17" x14ac:dyDescent="0.2">
      <c r="A3" s="70" t="s">
        <v>100</v>
      </c>
      <c r="B3" t="s">
        <v>148</v>
      </c>
    </row>
    <row r="4" spans="1:17" x14ac:dyDescent="0.2">
      <c r="A4" s="70" t="s">
        <v>101</v>
      </c>
      <c r="B4" t="s">
        <v>167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0" t="s">
        <v>102</v>
      </c>
      <c r="B7" s="182" t="s">
        <v>83</v>
      </c>
      <c r="C7" s="182"/>
      <c r="D7" s="182" t="s">
        <v>113</v>
      </c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6"/>
      <c r="P7" s="6"/>
      <c r="Q7" s="6"/>
    </row>
    <row r="8" spans="1:17" ht="15" x14ac:dyDescent="0.2">
      <c r="A8" s="70" t="s">
        <v>96</v>
      </c>
      <c r="C8" s="74" t="s">
        <v>85</v>
      </c>
      <c r="D8" s="74" t="s">
        <v>86</v>
      </c>
      <c r="E8" s="74" t="s">
        <v>87</v>
      </c>
      <c r="F8" s="74" t="s">
        <v>88</v>
      </c>
      <c r="G8" s="74" t="s">
        <v>89</v>
      </c>
      <c r="H8" s="74" t="s">
        <v>90</v>
      </c>
      <c r="I8" s="74" t="s">
        <v>91</v>
      </c>
      <c r="J8" s="74" t="s">
        <v>92</v>
      </c>
      <c r="K8" s="74" t="s">
        <v>93</v>
      </c>
      <c r="L8" s="74" t="s">
        <v>94</v>
      </c>
      <c r="M8" s="74" t="s">
        <v>95</v>
      </c>
      <c r="O8" s="6"/>
      <c r="P8" s="6"/>
      <c r="Q8" s="6"/>
    </row>
    <row r="9" spans="1:17" ht="15" x14ac:dyDescent="0.2">
      <c r="B9" s="74" t="s">
        <v>96</v>
      </c>
      <c r="C9" s="2">
        <v>6.2504471980183746E-2</v>
      </c>
      <c r="D9" s="2">
        <v>2.3577998283151481E-2</v>
      </c>
      <c r="E9" s="2">
        <v>7.6814448132798099E-2</v>
      </c>
      <c r="F9" s="2">
        <v>6.0298648601960027E-2</v>
      </c>
      <c r="G9" s="2">
        <v>5.3374346631719277E-2</v>
      </c>
      <c r="H9" s="2">
        <v>7.6880339868961228E-2</v>
      </c>
      <c r="I9" s="2">
        <v>7.774759296761416E-2</v>
      </c>
      <c r="J9" s="2">
        <v>5.2793271599620342E-2</v>
      </c>
      <c r="K9" s="2">
        <v>5.4504650537343088E-2</v>
      </c>
      <c r="L9" s="2">
        <v>7.3132610102649653E-2</v>
      </c>
      <c r="M9" s="2">
        <v>0.1671791875819818</v>
      </c>
      <c r="O9" s="6"/>
      <c r="P9" s="6"/>
      <c r="Q9" s="6"/>
    </row>
    <row r="10" spans="1:17" ht="15" x14ac:dyDescent="0.2">
      <c r="B10" s="74" t="s">
        <v>97</v>
      </c>
      <c r="C10" s="2">
        <v>7.2253397329028676E-2</v>
      </c>
      <c r="D10" s="2">
        <v>3.3217313827111253E-2</v>
      </c>
      <c r="E10" s="2">
        <v>0.11240768849177039</v>
      </c>
      <c r="F10" s="2">
        <v>6.9061061727377013E-2</v>
      </c>
      <c r="G10" s="2">
        <v>6.4304689732234036E-2</v>
      </c>
      <c r="H10" s="2">
        <v>0.1125630865904345</v>
      </c>
      <c r="I10" s="2">
        <v>0.11501407217465071</v>
      </c>
      <c r="J10" s="2">
        <v>6.406865787221129E-2</v>
      </c>
      <c r="K10" s="2">
        <v>6.5353521807416978E-2</v>
      </c>
      <c r="L10" s="2">
        <v>8.9260692553732243E-2</v>
      </c>
      <c r="M10" s="2">
        <v>0.35768492316051842</v>
      </c>
      <c r="O10" s="6"/>
      <c r="P10" s="6"/>
      <c r="Q10" s="6"/>
    </row>
    <row r="11" spans="1:17" ht="15" x14ac:dyDescent="0.2">
      <c r="B11" s="74" t="s">
        <v>98</v>
      </c>
      <c r="C11" s="2">
        <v>5.3695652173913137E-2</v>
      </c>
      <c r="D11" s="2">
        <v>-5.7335195071010481E-3</v>
      </c>
      <c r="E11" s="2">
        <v>4.888919500051947E-2</v>
      </c>
      <c r="F11" s="2">
        <v>2.9497648243079318E-2</v>
      </c>
      <c r="G11" s="2">
        <v>-3.5585603239339241E-3</v>
      </c>
      <c r="H11" s="2">
        <v>4.8887798362446062E-2</v>
      </c>
      <c r="I11" s="2">
        <v>4.9677635007178263E-2</v>
      </c>
      <c r="J11" s="2">
        <v>-2.8718444588148322E-3</v>
      </c>
      <c r="K11" s="2">
        <v>6.5687764864973963E-3</v>
      </c>
      <c r="L11" s="2">
        <v>5.1841028585168043E-2</v>
      </c>
      <c r="M11" s="2">
        <v>3.1121987666749451E-2</v>
      </c>
      <c r="O11" s="6"/>
      <c r="P11" s="6"/>
      <c r="Q11" s="6"/>
    </row>
    <row r="12" spans="1:17" ht="15" x14ac:dyDescent="0.2">
      <c r="B12" s="10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70" t="s">
        <v>103</v>
      </c>
      <c r="B15" t="s">
        <v>106</v>
      </c>
      <c r="O15" s="6"/>
      <c r="P15" s="6"/>
      <c r="Q15" s="6"/>
    </row>
    <row r="16" spans="1:17" x14ac:dyDescent="0.2">
      <c r="B16" t="s">
        <v>140</v>
      </c>
      <c r="H16" s="71" t="s">
        <v>107</v>
      </c>
      <c r="O16" s="6"/>
      <c r="P16" s="6"/>
      <c r="Q16" s="6"/>
    </row>
    <row r="17" spans="1:17" x14ac:dyDescent="0.2">
      <c r="B17" t="s">
        <v>141</v>
      </c>
      <c r="H17" s="71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70" t="s">
        <v>105</v>
      </c>
      <c r="B20" s="183" t="s">
        <v>109</v>
      </c>
      <c r="C20" s="183"/>
      <c r="D20" s="183"/>
      <c r="E20" s="183"/>
      <c r="F20" s="67" t="e">
        <f>#REF!+#REF!*'2. Past Proj &amp; Candidate Model'!R20</f>
        <v>#REF!</v>
      </c>
      <c r="G20" s="72" t="s">
        <v>110</v>
      </c>
      <c r="H20" s="2" t="e">
        <f>'2. Past Proj &amp; Candidate Model'!S20/'3.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84" t="s">
        <v>160</v>
      </c>
      <c r="C24" s="184"/>
      <c r="D24" s="184"/>
      <c r="E24" s="3">
        <f>C9</f>
        <v>6.2504471980183746E-2</v>
      </c>
      <c r="F24" t="s">
        <v>111</v>
      </c>
      <c r="G24" s="184" t="s">
        <v>112</v>
      </c>
      <c r="H24" s="184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70" t="s">
        <v>108</v>
      </c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B34" t="s">
        <v>121</v>
      </c>
      <c r="O34" s="6"/>
      <c r="P34" s="6"/>
      <c r="Q34" s="6"/>
    </row>
    <row r="35" spans="2:17" x14ac:dyDescent="0.2">
      <c r="B35" t="s">
        <v>122</v>
      </c>
      <c r="O35" s="6"/>
      <c r="P35" s="6"/>
      <c r="Q35" s="6"/>
    </row>
    <row r="36" spans="2:17" x14ac:dyDescent="0.2">
      <c r="B36" t="s">
        <v>123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4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F36" sqref="F36"/>
    </sheetView>
  </sheetViews>
  <sheetFormatPr defaultRowHeight="12.75" x14ac:dyDescent="0.2"/>
  <cols>
    <col min="1" max="1" width="9.140625" style="70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70" t="s">
        <v>125</v>
      </c>
      <c r="B1" t="s">
        <v>84</v>
      </c>
    </row>
    <row r="2" spans="1:25" x14ac:dyDescent="0.2">
      <c r="A2" s="70" t="s">
        <v>99</v>
      </c>
      <c r="B2" s="80" t="s">
        <v>161</v>
      </c>
      <c r="C2" s="81" t="str">
        <f>D5</f>
        <v>PROJ</v>
      </c>
      <c r="D2" t="s">
        <v>162</v>
      </c>
    </row>
    <row r="4" spans="1:25" x14ac:dyDescent="0.2">
      <c r="A4" s="70" t="s">
        <v>100</v>
      </c>
      <c r="B4" t="s">
        <v>124</v>
      </c>
    </row>
    <row r="5" spans="1:25" ht="15" x14ac:dyDescent="0.2">
      <c r="A5" s="70" t="s">
        <v>96</v>
      </c>
      <c r="C5" s="74" t="s">
        <v>85</v>
      </c>
      <c r="D5" s="74" t="s">
        <v>86</v>
      </c>
      <c r="E5" s="74" t="s">
        <v>87</v>
      </c>
      <c r="F5" s="74" t="s">
        <v>88</v>
      </c>
      <c r="G5" s="74" t="s">
        <v>89</v>
      </c>
      <c r="H5" s="74" t="s">
        <v>90</v>
      </c>
      <c r="I5" s="74" t="s">
        <v>91</v>
      </c>
      <c r="J5" s="74" t="s">
        <v>92</v>
      </c>
      <c r="K5" s="74" t="s">
        <v>93</v>
      </c>
      <c r="L5" s="74" t="s">
        <v>94</v>
      </c>
      <c r="M5" s="74" t="s">
        <v>95</v>
      </c>
    </row>
    <row r="6" spans="1:25" ht="15" x14ac:dyDescent="0.2">
      <c r="B6" s="74" t="s">
        <v>96</v>
      </c>
      <c r="C6" s="2">
        <v>5.68222472547125E-2</v>
      </c>
      <c r="D6" s="2">
        <v>3.1944129783344627E-2</v>
      </c>
      <c r="E6" s="2">
        <v>7.9711443147529024E-2</v>
      </c>
      <c r="F6" s="2">
        <v>5.8370917803652923E-2</v>
      </c>
      <c r="G6" s="2">
        <v>5.4759522573137542E-2</v>
      </c>
      <c r="H6" s="2">
        <v>7.9771341327907155E-2</v>
      </c>
      <c r="I6" s="2">
        <v>8.0559693026547655E-2</v>
      </c>
      <c r="J6" s="2">
        <v>5.4233823695944539E-2</v>
      </c>
      <c r="K6" s="2">
        <v>5.5761951845161639E-2</v>
      </c>
      <c r="L6" s="2">
        <v>7.4317272264290191E-2</v>
      </c>
      <c r="M6" s="2">
        <v>0.16078081367160249</v>
      </c>
    </row>
    <row r="7" spans="1:25" ht="15" x14ac:dyDescent="0.2">
      <c r="B7" s="74" t="s">
        <v>97</v>
      </c>
      <c r="C7" s="2">
        <v>6.8890911299126237E-2</v>
      </c>
      <c r="D7" s="2">
        <v>4.7096147538731377E-2</v>
      </c>
      <c r="E7" s="2">
        <v>0.11207405407673179</v>
      </c>
      <c r="F7" s="2">
        <v>6.6893818710176578E-2</v>
      </c>
      <c r="G7" s="2">
        <v>6.470804307990019E-2</v>
      </c>
      <c r="H7" s="2">
        <v>0.11221575069792759</v>
      </c>
      <c r="I7" s="2">
        <v>0.1144527934234686</v>
      </c>
      <c r="J7" s="2">
        <v>6.4497560807090154E-2</v>
      </c>
      <c r="K7" s="2">
        <v>6.563015905774941E-2</v>
      </c>
      <c r="L7" s="2">
        <v>8.8983619003419473E-2</v>
      </c>
      <c r="M7" s="2">
        <v>0.34228572809175689</v>
      </c>
    </row>
    <row r="8" spans="1:25" ht="15" x14ac:dyDescent="0.2">
      <c r="B8" s="74" t="s">
        <v>98</v>
      </c>
      <c r="C8" s="2">
        <v>3.1739130434782707E-2</v>
      </c>
      <c r="D8" s="2">
        <v>-7.3448834586465894E-3</v>
      </c>
      <c r="E8" s="2">
        <v>3.5962455500861523E-2</v>
      </c>
      <c r="F8" s="2">
        <v>7.3068679998120611E-3</v>
      </c>
      <c r="G8" s="2">
        <v>-4.8490783099565116E-3</v>
      </c>
      <c r="H8" s="2">
        <v>3.5969757446898683E-2</v>
      </c>
      <c r="I8" s="2">
        <v>3.7539638897924332E-2</v>
      </c>
      <c r="J8" s="2">
        <v>-3.5047429029749781E-3</v>
      </c>
      <c r="K8" s="2">
        <v>-1.11252378682225E-3</v>
      </c>
      <c r="L8" s="2">
        <v>4.6273916153104937E-2</v>
      </c>
      <c r="M8" s="2">
        <v>2.6346170565388679E-2</v>
      </c>
    </row>
    <row r="10" spans="1:25" ht="15" x14ac:dyDescent="0.2">
      <c r="A10" s="70" t="s">
        <v>101</v>
      </c>
      <c r="B10" s="75" t="s">
        <v>163</v>
      </c>
    </row>
    <row r="12" spans="1:25" x14ac:dyDescent="0.2">
      <c r="A12" s="70" t="s">
        <v>102</v>
      </c>
      <c r="B12" t="s">
        <v>139</v>
      </c>
    </row>
    <row r="13" spans="1:25" ht="15" x14ac:dyDescent="0.2">
      <c r="B13" s="74" t="s">
        <v>126</v>
      </c>
      <c r="C13" s="74" t="s">
        <v>127</v>
      </c>
      <c r="D13" s="74" t="s">
        <v>85</v>
      </c>
      <c r="E13" s="74" t="s">
        <v>86</v>
      </c>
      <c r="F13" s="74" t="s">
        <v>87</v>
      </c>
      <c r="G13" s="74" t="s">
        <v>88</v>
      </c>
      <c r="H13" s="74" t="s">
        <v>89</v>
      </c>
      <c r="I13" s="74" t="s">
        <v>90</v>
      </c>
      <c r="J13" s="74" t="s">
        <v>91</v>
      </c>
      <c r="K13" s="74" t="s">
        <v>92</v>
      </c>
      <c r="L13" s="74" t="s">
        <v>93</v>
      </c>
      <c r="M13" s="74" t="s">
        <v>94</v>
      </c>
      <c r="N13" s="74" t="s">
        <v>95</v>
      </c>
      <c r="O13" s="74" t="s">
        <v>128</v>
      </c>
      <c r="P13" s="74" t="s">
        <v>129</v>
      </c>
      <c r="Q13" s="74" t="s">
        <v>130</v>
      </c>
      <c r="R13" s="74" t="s">
        <v>131</v>
      </c>
      <c r="S13" s="74" t="s">
        <v>132</v>
      </c>
      <c r="T13" s="74" t="s">
        <v>133</v>
      </c>
      <c r="U13" s="74" t="s">
        <v>134</v>
      </c>
      <c r="V13" s="74" t="s">
        <v>135</v>
      </c>
      <c r="W13" s="74" t="s">
        <v>136</v>
      </c>
      <c r="X13" s="74" t="s">
        <v>137</v>
      </c>
      <c r="Y13" s="74" t="s">
        <v>138</v>
      </c>
    </row>
    <row r="14" spans="1:25" x14ac:dyDescent="0.2">
      <c r="B14" t="s">
        <v>169</v>
      </c>
      <c r="C14">
        <v>289</v>
      </c>
      <c r="D14">
        <v>290.89999999999998</v>
      </c>
      <c r="E14">
        <v>295.86746629999999</v>
      </c>
    </row>
    <row r="15" spans="1:25" x14ac:dyDescent="0.2">
      <c r="B15" t="s">
        <v>42</v>
      </c>
      <c r="C15">
        <v>286</v>
      </c>
      <c r="D15">
        <v>303.10000000000002</v>
      </c>
      <c r="E15">
        <v>255.46506600000001</v>
      </c>
    </row>
    <row r="16" spans="1:25" x14ac:dyDescent="0.2">
      <c r="B16" t="s">
        <v>43</v>
      </c>
      <c r="C16">
        <v>284</v>
      </c>
      <c r="D16">
        <v>292.8</v>
      </c>
      <c r="E16">
        <v>298.73914000000002</v>
      </c>
    </row>
    <row r="17" spans="2:25" x14ac:dyDescent="0.2">
      <c r="B17" t="s">
        <v>44</v>
      </c>
      <c r="C17">
        <v>284</v>
      </c>
      <c r="D17">
        <v>287.89999999999998</v>
      </c>
      <c r="E17">
        <v>286.268123</v>
      </c>
    </row>
    <row r="18" spans="2:25" x14ac:dyDescent="0.2">
      <c r="B18" t="s">
        <v>45</v>
      </c>
      <c r="C18">
        <v>272</v>
      </c>
      <c r="D18">
        <v>285.39999999999998</v>
      </c>
      <c r="E18">
        <v>311.17749600000002</v>
      </c>
    </row>
    <row r="19" spans="2:25" x14ac:dyDescent="0.2">
      <c r="B19" t="s">
        <v>46</v>
      </c>
      <c r="C19">
        <v>266</v>
      </c>
      <c r="D19">
        <v>286.89999999999998</v>
      </c>
      <c r="E19">
        <v>264.04626100000002</v>
      </c>
      <c r="F19">
        <v>287.27515535762518</v>
      </c>
      <c r="G19">
        <v>280.34926764027</v>
      </c>
      <c r="H19">
        <v>283.87990287849732</v>
      </c>
      <c r="I19">
        <v>287.25108906942228</v>
      </c>
      <c r="J19">
        <v>286.55456325041041</v>
      </c>
      <c r="K19">
        <v>284.47446773605742</v>
      </c>
      <c r="L19">
        <v>286.55456325041041</v>
      </c>
      <c r="M19">
        <v>288.65209216512119</v>
      </c>
      <c r="N19">
        <v>278.19324777161819</v>
      </c>
      <c r="O19" s="2">
        <v>7.8571428571428514E-2</v>
      </c>
      <c r="P19" s="2">
        <v>-7.3448834586465894E-3</v>
      </c>
      <c r="Q19" s="2">
        <v>7.9981787058741372E-2</v>
      </c>
      <c r="R19" s="2">
        <v>5.3944615188984857E-2</v>
      </c>
      <c r="S19" s="2">
        <v>6.721767999435091E-2</v>
      </c>
      <c r="T19" s="2">
        <v>7.9891312291061389E-2</v>
      </c>
      <c r="U19" s="2">
        <v>7.7272794174475301E-2</v>
      </c>
      <c r="V19" s="2">
        <v>6.9452886225779498E-2</v>
      </c>
      <c r="W19" s="2">
        <v>7.7272794174475301E-2</v>
      </c>
      <c r="X19" s="2">
        <v>8.5158241222260012E-2</v>
      </c>
      <c r="Y19" s="2">
        <v>4.5839277336910511E-2</v>
      </c>
    </row>
    <row r="20" spans="2:25" x14ac:dyDescent="0.2">
      <c r="B20" t="s">
        <v>47</v>
      </c>
      <c r="C20">
        <v>270</v>
      </c>
      <c r="D20">
        <v>276.2</v>
      </c>
      <c r="E20">
        <v>268.88701800000001</v>
      </c>
      <c r="F20">
        <v>279.70986298523258</v>
      </c>
      <c r="G20">
        <v>267.99731433533827</v>
      </c>
      <c r="H20">
        <v>256.59489978885398</v>
      </c>
      <c r="I20">
        <v>279.71183451066258</v>
      </c>
      <c r="J20">
        <v>280.13570250243959</v>
      </c>
      <c r="K20">
        <v>258.21740499208869</v>
      </c>
      <c r="L20">
        <v>261.15579710283271</v>
      </c>
      <c r="M20">
        <v>281.72028772001948</v>
      </c>
      <c r="N20">
        <v>266.48045924164029</v>
      </c>
      <c r="O20" s="2">
        <v>2.2962962962962848E-2</v>
      </c>
      <c r="P20" s="2">
        <v>-4.1221555555555067E-3</v>
      </c>
      <c r="Q20" s="2">
        <v>3.5962455500861523E-2</v>
      </c>
      <c r="R20" s="2">
        <v>-7.4173543135619413E-3</v>
      </c>
      <c r="S20" s="2">
        <v>-4.9648519300540588E-2</v>
      </c>
      <c r="T20" s="2">
        <v>3.5969757446898683E-2</v>
      </c>
      <c r="U20" s="2">
        <v>3.7539638897924332E-2</v>
      </c>
      <c r="V20" s="2">
        <v>-4.3639240770041887E-2</v>
      </c>
      <c r="W20" s="2">
        <v>-3.2756307026545528E-2</v>
      </c>
      <c r="X20" s="2">
        <v>4.3408473037109367E-2</v>
      </c>
      <c r="Y20" s="2">
        <v>-1.3035336142072749E-2</v>
      </c>
    </row>
    <row r="21" spans="2:25" x14ac:dyDescent="0.2">
      <c r="B21" t="s">
        <v>48</v>
      </c>
      <c r="C21">
        <v>251</v>
      </c>
      <c r="D21">
        <v>275.7</v>
      </c>
      <c r="E21">
        <v>257.072588</v>
      </c>
      <c r="F21">
        <v>276.60330315916292</v>
      </c>
      <c r="G21">
        <v>268.73450045081751</v>
      </c>
      <c r="H21">
        <v>264.15820709975088</v>
      </c>
      <c r="I21">
        <v>276.61159117162782</v>
      </c>
      <c r="J21">
        <v>276.60401707858409</v>
      </c>
      <c r="K21">
        <v>264.49108310754701</v>
      </c>
      <c r="L21">
        <v>266.4284488876163</v>
      </c>
      <c r="M21">
        <v>275.05605581775689</v>
      </c>
      <c r="N21">
        <v>280.47246637918221</v>
      </c>
      <c r="O21" s="2">
        <v>9.8406374501992078E-2</v>
      </c>
      <c r="P21" s="2">
        <v>2.4193577689243021E-2</v>
      </c>
      <c r="Q21" s="2">
        <v>0.10200519186917489</v>
      </c>
      <c r="R21" s="2">
        <v>7.0655380282141467E-2</v>
      </c>
      <c r="S21" s="2">
        <v>5.2423135855581122E-2</v>
      </c>
      <c r="T21" s="2">
        <v>0.10203821183915469</v>
      </c>
      <c r="U21" s="2">
        <v>0.10200803616965801</v>
      </c>
      <c r="V21" s="2">
        <v>5.3749335089828598E-2</v>
      </c>
      <c r="W21" s="2">
        <v>6.146792385504507E-2</v>
      </c>
      <c r="X21" s="2">
        <v>9.5840859831700653E-2</v>
      </c>
      <c r="Y21" s="2">
        <v>0.1174201847776182</v>
      </c>
    </row>
    <row r="22" spans="2:25" x14ac:dyDescent="0.2">
      <c r="B22" t="s">
        <v>49</v>
      </c>
      <c r="C22">
        <v>260</v>
      </c>
      <c r="D22">
        <v>261.8</v>
      </c>
      <c r="E22">
        <v>282.76585799999998</v>
      </c>
      <c r="F22">
        <v>276.07214297004612</v>
      </c>
      <c r="G22">
        <v>246.57898709931891</v>
      </c>
      <c r="H22">
        <v>248.4698416845122</v>
      </c>
      <c r="I22">
        <v>276.0695182122783</v>
      </c>
      <c r="J22">
        <v>276.07206409027242</v>
      </c>
      <c r="K22">
        <v>248.9556697989789</v>
      </c>
      <c r="L22">
        <v>248.47335800094271</v>
      </c>
      <c r="M22">
        <v>281.38755820390821</v>
      </c>
      <c r="N22">
        <v>279.31985426318352</v>
      </c>
      <c r="O22" s="2">
        <v>6.9230769230770317E-3</v>
      </c>
      <c r="P22" s="2">
        <v>8.756099230769232E-2</v>
      </c>
      <c r="Q22" s="2">
        <v>6.1815934500177423E-2</v>
      </c>
      <c r="R22" s="2">
        <v>-5.1619280387234963E-2</v>
      </c>
      <c r="S22" s="2">
        <v>-4.434676275187599E-2</v>
      </c>
      <c r="T22" s="2">
        <v>6.1805839277993442E-2</v>
      </c>
      <c r="U22" s="2">
        <v>6.1815631116432179E-2</v>
      </c>
      <c r="V22" s="2">
        <v>-4.2478193080850213E-2</v>
      </c>
      <c r="W22" s="2">
        <v>-4.4333238457912698E-2</v>
      </c>
      <c r="X22" s="2">
        <v>8.2259839245800492E-2</v>
      </c>
      <c r="Y22" s="2">
        <v>7.4307131781474967E-2</v>
      </c>
    </row>
    <row r="23" spans="2:25" x14ac:dyDescent="0.2">
      <c r="B23" t="s">
        <v>50</v>
      </c>
      <c r="C23">
        <v>230</v>
      </c>
      <c r="D23">
        <v>247.4</v>
      </c>
      <c r="E23">
        <v>224.81706600000001</v>
      </c>
      <c r="F23">
        <v>259.57097197500468</v>
      </c>
      <c r="G23">
        <v>241.8883385518597</v>
      </c>
      <c r="H23">
        <v>228.88471198871</v>
      </c>
      <c r="I23">
        <v>259.61549924793059</v>
      </c>
      <c r="J23">
        <v>259.57256087307047</v>
      </c>
      <c r="K23">
        <v>229.19390913231581</v>
      </c>
      <c r="L23">
        <v>233.2775176547579</v>
      </c>
      <c r="M23">
        <v>249.53511520998029</v>
      </c>
      <c r="N23">
        <v>481.78882319691729</v>
      </c>
      <c r="O23" s="2">
        <v>7.5652173913043574E-2</v>
      </c>
      <c r="P23" s="2">
        <v>-2.253449565217391E-2</v>
      </c>
      <c r="Q23" s="2">
        <v>0.1285694433695859</v>
      </c>
      <c r="R23" s="2">
        <v>5.1688428486346583E-2</v>
      </c>
      <c r="S23" s="2">
        <v>-4.8490783099565116E-3</v>
      </c>
      <c r="T23" s="2">
        <v>0.12876304020839391</v>
      </c>
      <c r="U23" s="2">
        <v>0.1285763516220457</v>
      </c>
      <c r="V23" s="2">
        <v>-3.5047429029749781E-3</v>
      </c>
      <c r="W23" s="2">
        <v>1.425007675981704E-2</v>
      </c>
      <c r="X23" s="2">
        <v>8.4935283521653249E-2</v>
      </c>
      <c r="Y23" s="2">
        <v>1.09473401389964</v>
      </c>
    </row>
    <row r="24" spans="2:25" x14ac:dyDescent="0.2">
      <c r="B24" t="s">
        <v>51</v>
      </c>
      <c r="C24">
        <v>168</v>
      </c>
      <c r="D24">
        <v>160.6</v>
      </c>
      <c r="E24">
        <v>171.32243199999999</v>
      </c>
      <c r="F24">
        <v>217.23913293947211</v>
      </c>
      <c r="G24">
        <v>146.55772749408749</v>
      </c>
      <c r="H24">
        <v>144.74894283086459</v>
      </c>
      <c r="I24">
        <v>217.32739284626231</v>
      </c>
      <c r="J24">
        <v>218.99485321599599</v>
      </c>
      <c r="K24">
        <v>144.74935676559181</v>
      </c>
      <c r="L24">
        <v>144.75389272000831</v>
      </c>
      <c r="M24">
        <v>133.85313293402001</v>
      </c>
      <c r="N24">
        <v>127.88453542895709</v>
      </c>
      <c r="O24" s="2">
        <v>-4.4047619047619113E-2</v>
      </c>
      <c r="P24" s="2">
        <v>1.977638095238099E-2</v>
      </c>
      <c r="Q24" s="2">
        <v>0.29309007702066753</v>
      </c>
      <c r="R24" s="2">
        <v>-0.1276325744399556</v>
      </c>
      <c r="S24" s="2">
        <v>-0.13839914981628229</v>
      </c>
      <c r="T24" s="2">
        <v>0.29361543360870401</v>
      </c>
      <c r="U24" s="2">
        <v>0.30354079295235747</v>
      </c>
      <c r="V24" s="2">
        <v>-0.1383966859190964</v>
      </c>
      <c r="W24" s="2">
        <v>-0.1383696861904268</v>
      </c>
      <c r="X24" s="2">
        <v>-0.2032551611070236</v>
      </c>
      <c r="Y24" s="2">
        <v>-0.2387825272085887</v>
      </c>
    </row>
    <row r="25" spans="2:25" x14ac:dyDescent="0.2">
      <c r="B25" t="s">
        <v>52</v>
      </c>
      <c r="C25">
        <v>230</v>
      </c>
      <c r="D25">
        <v>237.3</v>
      </c>
      <c r="E25">
        <v>227.90890999999999</v>
      </c>
      <c r="F25">
        <v>230.2019012107055</v>
      </c>
      <c r="G25">
        <v>231.68057963995679</v>
      </c>
      <c r="H25">
        <v>229.4783502622804</v>
      </c>
      <c r="I25">
        <v>230.201920349419</v>
      </c>
      <c r="J25">
        <v>230.20216448980329</v>
      </c>
      <c r="K25">
        <v>229.4850424166294</v>
      </c>
      <c r="L25">
        <v>229.74411952903091</v>
      </c>
      <c r="M25">
        <v>240.64300071521421</v>
      </c>
      <c r="N25">
        <v>236.0596192300394</v>
      </c>
      <c r="O25" s="2">
        <v>3.1739130434782707E-2</v>
      </c>
      <c r="P25" s="2">
        <v>-9.0916956521739367E-3</v>
      </c>
      <c r="Q25" s="2">
        <v>8.7783135089347653E-4</v>
      </c>
      <c r="R25" s="2">
        <v>7.3068679998120611E-3</v>
      </c>
      <c r="S25" s="2">
        <v>-2.2680423379113361E-3</v>
      </c>
      <c r="T25" s="2">
        <v>8.7791456269137313E-4</v>
      </c>
      <c r="U25" s="2">
        <v>8.7897604262288098E-4</v>
      </c>
      <c r="V25" s="2">
        <v>-2.2389460146546858E-3</v>
      </c>
      <c r="W25" s="2">
        <v>-1.11252378682225E-3</v>
      </c>
      <c r="X25" s="2">
        <v>4.6273916153104937E-2</v>
      </c>
      <c r="Y25" s="2">
        <v>2.6346170565388679E-2</v>
      </c>
    </row>
    <row r="26" spans="2:25" x14ac:dyDescent="0.2">
      <c r="B26" t="s">
        <v>53</v>
      </c>
      <c r="C26">
        <v>225</v>
      </c>
      <c r="D26">
        <v>249.9</v>
      </c>
      <c r="E26">
        <v>227.456301</v>
      </c>
      <c r="F26">
        <v>229.80857139237301</v>
      </c>
      <c r="G26">
        <v>242.43961104845289</v>
      </c>
      <c r="H26">
        <v>237.94433926681711</v>
      </c>
      <c r="I26">
        <v>229.8085878547856</v>
      </c>
      <c r="J26">
        <v>229.80881802349211</v>
      </c>
      <c r="K26">
        <v>237.93587629971429</v>
      </c>
      <c r="L26">
        <v>238.13787447140001</v>
      </c>
      <c r="M26">
        <v>237.91683172887701</v>
      </c>
      <c r="N26">
        <v>233.07700607282479</v>
      </c>
      <c r="O26" s="2">
        <v>0.1106666666666667</v>
      </c>
      <c r="P26" s="2">
        <v>1.091689333333323E-2</v>
      </c>
      <c r="Q26" s="2">
        <v>2.13714284105464E-2</v>
      </c>
      <c r="R26" s="2">
        <v>7.750938243756833E-2</v>
      </c>
      <c r="S26" s="2">
        <v>5.753039674140914E-2</v>
      </c>
      <c r="T26" s="2">
        <v>2.1371501576824992E-2</v>
      </c>
      <c r="U26" s="2">
        <v>2.137252454885363E-2</v>
      </c>
      <c r="V26" s="2">
        <v>5.7492783554285783E-2</v>
      </c>
      <c r="W26" s="2">
        <v>5.8390553206222329E-2</v>
      </c>
      <c r="X26" s="2">
        <v>5.7408141017231129E-2</v>
      </c>
      <c r="Y26" s="2">
        <v>3.589780476811022E-2</v>
      </c>
    </row>
    <row r="27" spans="2:25" x14ac:dyDescent="0.2">
      <c r="B27" t="s">
        <v>54</v>
      </c>
      <c r="C27">
        <v>219</v>
      </c>
      <c r="D27">
        <v>244.1</v>
      </c>
      <c r="E27">
        <v>216.38757799999999</v>
      </c>
      <c r="F27">
        <v>220.2048580057494</v>
      </c>
      <c r="G27">
        <v>235.67869937883799</v>
      </c>
      <c r="H27">
        <v>229.097844014061</v>
      </c>
      <c r="I27">
        <v>220.20487745415571</v>
      </c>
      <c r="J27">
        <v>220.205169734267</v>
      </c>
      <c r="K27">
        <v>229.09181532627511</v>
      </c>
      <c r="L27">
        <v>229.10548948937819</v>
      </c>
      <c r="M27">
        <v>224.01980130021309</v>
      </c>
      <c r="N27">
        <v>217.183498161269</v>
      </c>
      <c r="O27" s="2">
        <v>0.1146118721461187</v>
      </c>
      <c r="P27" s="2">
        <v>-1.192886757990874E-2</v>
      </c>
      <c r="Q27" s="2">
        <v>5.5016347294494228E-3</v>
      </c>
      <c r="R27" s="2">
        <v>7.6158444652228097E-2</v>
      </c>
      <c r="S27" s="2">
        <v>4.610887677653408E-2</v>
      </c>
      <c r="T27" s="2">
        <v>5.5017235349574811E-3</v>
      </c>
      <c r="U27" s="2">
        <v>5.5030581473378692E-3</v>
      </c>
      <c r="V27" s="2">
        <v>4.6081348521804337E-2</v>
      </c>
      <c r="W27" s="2">
        <v>4.6143787622731518E-2</v>
      </c>
      <c r="X27" s="2">
        <v>2.2921467124260572E-2</v>
      </c>
      <c r="Y27" s="2">
        <v>-8.2945289439773084E-3</v>
      </c>
    </row>
    <row r="28" spans="2:25" x14ac:dyDescent="0.2">
      <c r="B28" t="s">
        <v>55</v>
      </c>
      <c r="C28">
        <v>246</v>
      </c>
      <c r="D28">
        <v>235.8</v>
      </c>
      <c r="E28">
        <v>236.57572999999999</v>
      </c>
      <c r="F28">
        <v>236.41370041060071</v>
      </c>
      <c r="G28">
        <v>226.5526771733854</v>
      </c>
      <c r="H28">
        <v>228.5458511895433</v>
      </c>
      <c r="I28">
        <v>236.41370857163861</v>
      </c>
      <c r="J28">
        <v>236.41384100290921</v>
      </c>
      <c r="K28">
        <v>228.5589557364458</v>
      </c>
      <c r="L28">
        <v>228.54639488381559</v>
      </c>
      <c r="M28">
        <v>243.5732791834773</v>
      </c>
      <c r="N28">
        <v>241.78481450257499</v>
      </c>
      <c r="O28" s="2">
        <v>-4.1463414634146267E-2</v>
      </c>
      <c r="P28" s="2">
        <v>-3.8310040650406552E-2</v>
      </c>
      <c r="Q28" s="2">
        <v>-3.8968697517883122E-2</v>
      </c>
      <c r="R28" s="2">
        <v>-7.9054157831766503E-2</v>
      </c>
      <c r="S28" s="2">
        <v>-7.0951824432750832E-2</v>
      </c>
      <c r="T28" s="2">
        <v>-3.8968664342932342E-2</v>
      </c>
      <c r="U28" s="2">
        <v>-3.8968126004434112E-2</v>
      </c>
      <c r="V28" s="2">
        <v>-7.0898553916887042E-2</v>
      </c>
      <c r="W28" s="2">
        <v>-7.0949614293432384E-2</v>
      </c>
      <c r="X28" s="2">
        <v>-9.8647187663525315E-3</v>
      </c>
      <c r="Y28" s="2">
        <v>-1.7134900396036379E-2</v>
      </c>
    </row>
    <row r="29" spans="2:25" x14ac:dyDescent="0.2">
      <c r="B29" t="s">
        <v>71</v>
      </c>
      <c r="C29">
        <v>260.8</v>
      </c>
      <c r="D29">
        <v>260.8</v>
      </c>
      <c r="E29">
        <v>230.65010000000001</v>
      </c>
      <c r="F29">
        <v>232.45589262870621</v>
      </c>
      <c r="G29">
        <v>250.6043865587923</v>
      </c>
      <c r="H29">
        <v>242.90617765770691</v>
      </c>
      <c r="I29">
        <v>232.45590237675091</v>
      </c>
      <c r="J29">
        <v>232.4560751049778</v>
      </c>
      <c r="K29">
        <v>242.89885891288421</v>
      </c>
      <c r="L29">
        <v>242.9782411479911</v>
      </c>
      <c r="M29">
        <v>238.32845647591461</v>
      </c>
      <c r="N29">
        <v>235.55532295271519</v>
      </c>
      <c r="O29" s="2">
        <v>0</v>
      </c>
      <c r="P29" s="2">
        <v>-0.1156054447852761</v>
      </c>
      <c r="Q29" s="2">
        <v>-0.10868139329483829</v>
      </c>
      <c r="R29" s="2">
        <v>-3.9093609820581743E-2</v>
      </c>
      <c r="S29" s="2">
        <v>-6.8611281987320138E-2</v>
      </c>
      <c r="T29" s="2">
        <v>-0.1086813559173664</v>
      </c>
      <c r="U29" s="2">
        <v>-0.1086806936158826</v>
      </c>
      <c r="V29" s="2">
        <v>-6.863934465918653E-2</v>
      </c>
      <c r="W29" s="2">
        <v>-6.8334964923347119E-2</v>
      </c>
      <c r="X29" s="2">
        <v>-8.6163893880695563E-2</v>
      </c>
      <c r="Y29" s="2">
        <v>-9.6797074567809949E-2</v>
      </c>
    </row>
    <row r="30" spans="2:25" x14ac:dyDescent="0.2">
      <c r="B30" s="107" t="s">
        <v>149</v>
      </c>
      <c r="C30" s="107"/>
      <c r="D30" s="107"/>
      <c r="E30">
        <f t="shared" ref="E30:E35" si="0">$E$29/(1+P30)</f>
        <v>229.52278265479279</v>
      </c>
      <c r="L30" s="107" t="s">
        <v>142</v>
      </c>
      <c r="M30" s="107"/>
      <c r="N30" s="107"/>
      <c r="O30" s="107"/>
      <c r="P30" s="1">
        <f>AVERAGE(P19:P28)</f>
        <v>4.9115705733784321E-3</v>
      </c>
    </row>
    <row r="31" spans="2:25" x14ac:dyDescent="0.2">
      <c r="B31" s="108" t="s">
        <v>150</v>
      </c>
      <c r="C31" s="108"/>
      <c r="D31" s="108"/>
      <c r="E31">
        <f t="shared" si="0"/>
        <v>231.98016278860899</v>
      </c>
      <c r="L31" s="108" t="s">
        <v>144</v>
      </c>
      <c r="M31" s="108"/>
      <c r="N31" s="108"/>
      <c r="O31" s="108"/>
      <c r="P31" s="1">
        <f>MEDIAN(P19:P28)</f>
        <v>-5.7335195071010481E-3</v>
      </c>
    </row>
    <row r="32" spans="2:25" x14ac:dyDescent="0.2">
      <c r="B32" s="109" t="s">
        <v>151</v>
      </c>
      <c r="C32" s="109"/>
      <c r="D32" s="109"/>
      <c r="E32">
        <f t="shared" si="0"/>
        <v>234.29463658043014</v>
      </c>
      <c r="L32" s="109" t="s">
        <v>143</v>
      </c>
      <c r="M32" s="109"/>
      <c r="N32" s="109"/>
      <c r="O32" s="109"/>
      <c r="P32" s="1">
        <f>AVERAGE(P19:P20,P23,P25,P27:P28)</f>
        <v>-1.5555356424810873E-2</v>
      </c>
    </row>
    <row r="33" spans="1:16" x14ac:dyDescent="0.2">
      <c r="B33" s="110" t="s">
        <v>152</v>
      </c>
      <c r="C33" s="110"/>
      <c r="D33" s="110"/>
      <c r="E33">
        <f t="shared" si="0"/>
        <v>233.10004714015557</v>
      </c>
      <c r="L33" s="110" t="s">
        <v>145</v>
      </c>
      <c r="M33" s="110"/>
      <c r="N33" s="110"/>
      <c r="O33" s="110"/>
      <c r="P33" s="1">
        <f>MEDIAN(P19:P20,P23,P25,P27:P28)</f>
        <v>-1.0510281616041339E-2</v>
      </c>
    </row>
    <row r="34" spans="1:16" x14ac:dyDescent="0.2">
      <c r="B34" s="111" t="s">
        <v>153</v>
      </c>
      <c r="C34" s="111"/>
      <c r="D34" s="111"/>
      <c r="E34">
        <f t="shared" si="0"/>
        <v>222.71865203405289</v>
      </c>
      <c r="G34">
        <f>E34</f>
        <v>222.71865203405289</v>
      </c>
      <c r="L34" s="111" t="s">
        <v>146</v>
      </c>
      <c r="M34" s="111"/>
      <c r="N34" s="111"/>
      <c r="O34" s="111"/>
      <c r="P34" s="1">
        <f>AVERAGE(P26,P24,P22,P21)</f>
        <v>3.561196107066239E-2</v>
      </c>
    </row>
    <row r="35" spans="1:16" x14ac:dyDescent="0.2">
      <c r="B35" s="112" t="s">
        <v>154</v>
      </c>
      <c r="C35" s="112"/>
      <c r="D35" s="112"/>
      <c r="E35">
        <f t="shared" si="0"/>
        <v>225.68834637206197</v>
      </c>
      <c r="F35" s="115">
        <f>E29/('2. Past Proj &amp; Candidate Model'!J43+1)</f>
        <v>240.90979372407961</v>
      </c>
      <c r="L35" s="112" t="s">
        <v>147</v>
      </c>
      <c r="M35" s="112"/>
      <c r="N35" s="112"/>
      <c r="O35" s="112"/>
      <c r="P35" s="1">
        <f>MEDIAN(P26,P24,P22,P21)</f>
        <v>2.1984979320812004E-2</v>
      </c>
    </row>
    <row r="38" spans="1:16" x14ac:dyDescent="0.2">
      <c r="A38" s="70" t="s">
        <v>103</v>
      </c>
      <c r="B38" t="s">
        <v>155</v>
      </c>
    </row>
    <row r="39" spans="1:16" x14ac:dyDescent="0.2">
      <c r="B39" t="s">
        <v>156</v>
      </c>
    </row>
    <row r="45" spans="1:16" x14ac:dyDescent="0.2">
      <c r="A45" s="70" t="s">
        <v>105</v>
      </c>
      <c r="B45" s="82" t="s">
        <v>157</v>
      </c>
      <c r="C45" s="83">
        <f>F35</f>
        <v>240.90979372407961</v>
      </c>
      <c r="D45" t="s">
        <v>170</v>
      </c>
    </row>
    <row r="47" spans="1:16" x14ac:dyDescent="0.2">
      <c r="B47" s="185" t="s">
        <v>165</v>
      </c>
      <c r="C47" s="185"/>
      <c r="D47" s="2">
        <f>C45/D29-1</f>
        <v>-7.6266128358590479E-2</v>
      </c>
    </row>
    <row r="48" spans="1:16" x14ac:dyDescent="0.2">
      <c r="B48" s="173" t="s">
        <v>164</v>
      </c>
      <c r="C48" s="173"/>
      <c r="D48" s="2">
        <f>'1. Data &amp; Confidence Interval'!O25</f>
        <v>-5.1684335447976626E-2</v>
      </c>
    </row>
  </sheetData>
  <mergeCells count="2">
    <mergeCell ref="B48:C48"/>
    <mergeCell ref="B47:C47"/>
  </mergeCells>
  <conditionalFormatting sqref="P30:P3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W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2021-10-25T14:07:31Z</dcterms:modified>
</cp:coreProperties>
</file>