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TEC\"/>
    </mc:Choice>
  </mc:AlternateContent>
  <xr:revisionPtr revIDLastSave="0" documentId="13_ncr:1_{3FC41A75-72CC-44BE-A56E-6239E0E9D248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4" l="1"/>
  <c r="D46" i="4" s="1"/>
  <c r="F30" i="4"/>
  <c r="F31" i="4"/>
  <c r="E30" i="4"/>
  <c r="E31" i="4"/>
  <c r="E32" i="4"/>
  <c r="E33" i="4"/>
  <c r="E34" i="4"/>
  <c r="E29" i="4"/>
  <c r="P34" i="4"/>
  <c r="P33" i="4"/>
  <c r="P32" i="4"/>
  <c r="P31" i="4"/>
  <c r="P30" i="4"/>
  <c r="P29" i="4"/>
  <c r="P15" i="4"/>
  <c r="P16" i="4"/>
  <c r="P17" i="4"/>
  <c r="P14" i="4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P14" i="2"/>
  <c r="R20" i="2"/>
  <c r="K8" i="2"/>
  <c r="L8" i="2"/>
  <c r="M8" i="2"/>
  <c r="N8" i="2"/>
  <c r="O8" i="2"/>
  <c r="K9" i="2"/>
  <c r="L9" i="2"/>
  <c r="M9" i="2"/>
  <c r="N9" i="2"/>
  <c r="O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K13" i="2"/>
  <c r="L13" i="2"/>
  <c r="M13" i="2"/>
  <c r="N13" i="2"/>
  <c r="O13" i="2"/>
  <c r="K14" i="2"/>
  <c r="L14" i="2"/>
  <c r="M14" i="2"/>
  <c r="N14" i="2"/>
  <c r="O14" i="2"/>
  <c r="K15" i="2"/>
  <c r="L15" i="2"/>
  <c r="M15" i="2"/>
  <c r="N15" i="2"/>
  <c r="O15" i="2"/>
  <c r="K16" i="2"/>
  <c r="L16" i="2"/>
  <c r="M16" i="2"/>
  <c r="N16" i="2"/>
  <c r="O16" i="2"/>
  <c r="P16" i="2"/>
  <c r="K17" i="2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L20" i="2"/>
  <c r="M20" i="2"/>
  <c r="N20" i="2"/>
  <c r="O20" i="2"/>
  <c r="L7" i="2"/>
  <c r="M7" i="2"/>
  <c r="N7" i="2"/>
  <c r="O7" i="2"/>
  <c r="K7" i="2"/>
  <c r="P11" i="2"/>
  <c r="M27" i="1"/>
  <c r="J27" i="1"/>
  <c r="M26" i="1"/>
  <c r="J26" i="1"/>
  <c r="Y28" i="1"/>
  <c r="Y27" i="1"/>
  <c r="V19" i="1"/>
  <c r="W19" i="1"/>
  <c r="X19" i="1"/>
  <c r="Y26" i="1"/>
  <c r="Y25" i="1"/>
  <c r="Y24" i="1"/>
  <c r="Y23" i="1"/>
  <c r="Y22" i="1"/>
  <c r="P13" i="2" l="1"/>
  <c r="Q13" i="2" s="1"/>
  <c r="Q16" i="2"/>
  <c r="Q11" i="2"/>
  <c r="Q14" i="2"/>
  <c r="P18" i="2"/>
  <c r="Q18" i="2" s="1"/>
  <c r="P20" i="2"/>
  <c r="Q20" i="2" s="1"/>
  <c r="P19" i="2"/>
  <c r="Q19" i="2" s="1"/>
  <c r="P17" i="2"/>
  <c r="Q17" i="2" s="1"/>
  <c r="P15" i="2"/>
  <c r="Q15" i="2" s="1"/>
  <c r="P12" i="2"/>
  <c r="Q12" i="2" s="1"/>
  <c r="P10" i="2"/>
  <c r="Q10" i="2" s="1"/>
  <c r="P9" i="2"/>
  <c r="Q9" i="2" s="1"/>
  <c r="P8" i="2"/>
  <c r="Q8" i="2" s="1"/>
  <c r="P7" i="2"/>
  <c r="Q7" i="2" s="1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Y20" i="1" l="1"/>
  <c r="X20" i="1"/>
  <c r="W20" i="1"/>
  <c r="V20" i="1"/>
  <c r="Q20" i="1"/>
  <c r="P20" i="1"/>
  <c r="O20" i="1"/>
  <c r="N20" i="1"/>
  <c r="M20" i="1"/>
  <c r="L20" i="1"/>
  <c r="K20" i="1"/>
  <c r="J20" i="1"/>
  <c r="I20" i="1"/>
  <c r="H20" i="1"/>
  <c r="G20" i="1"/>
  <c r="F20" i="1"/>
  <c r="X15" i="1"/>
  <c r="M15" i="1"/>
  <c r="L15" i="1"/>
  <c r="K15" i="1"/>
  <c r="J15" i="1"/>
  <c r="H12" i="1" s="1"/>
  <c r="N15" i="1"/>
  <c r="O15" i="1"/>
  <c r="P15" i="1"/>
  <c r="Q15" i="1"/>
  <c r="R15" i="1"/>
  <c r="S15" i="1"/>
  <c r="T15" i="1"/>
  <c r="X12" i="1" s="1"/>
  <c r="U15" i="1"/>
  <c r="V15" i="1"/>
  <c r="W15" i="1"/>
  <c r="C2" i="4"/>
  <c r="F21" i="3"/>
  <c r="I25" i="3"/>
  <c r="E25" i="3"/>
  <c r="R38" i="2" l="1"/>
  <c r="R37" i="2"/>
  <c r="R36" i="2"/>
  <c r="R35" i="2"/>
  <c r="R33" i="2"/>
  <c r="R32" i="2"/>
  <c r="R31" i="2"/>
  <c r="R30" i="2"/>
  <c r="R29" i="2"/>
  <c r="R28" i="2"/>
  <c r="R27" i="2"/>
  <c r="R26" i="2"/>
  <c r="R25" i="2"/>
  <c r="R40" i="2" l="1" a="1"/>
  <c r="R40" i="2" s="1"/>
  <c r="R39" i="2" a="1"/>
  <c r="R39" i="2" s="1"/>
  <c r="H21" i="3"/>
  <c r="N21" i="2" l="1"/>
  <c r="M21" i="2"/>
  <c r="R34" i="2"/>
  <c r="K26" i="2"/>
  <c r="L26" i="2"/>
  <c r="M26" i="2"/>
  <c r="N26" i="2"/>
  <c r="O26" i="2"/>
  <c r="P26" i="2"/>
  <c r="Q2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E38" i="2"/>
  <c r="E25" i="2"/>
  <c r="F25" i="2"/>
  <c r="G25" i="2"/>
  <c r="H25" i="2"/>
  <c r="I25" i="2"/>
  <c r="J25" i="2"/>
  <c r="E26" i="2"/>
  <c r="F26" i="2"/>
  <c r="G26" i="2"/>
  <c r="H26" i="2"/>
  <c r="I26" i="2"/>
  <c r="J26" i="2"/>
  <c r="E27" i="2"/>
  <c r="F27" i="2"/>
  <c r="G27" i="2"/>
  <c r="H27" i="2"/>
  <c r="I27" i="2"/>
  <c r="J27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F38" i="2"/>
  <c r="G38" i="2"/>
  <c r="H38" i="2"/>
  <c r="I38" i="2"/>
  <c r="J38" i="2"/>
  <c r="R21" i="2"/>
  <c r="Q21" i="2"/>
  <c r="F21" i="2"/>
  <c r="G21" i="2"/>
  <c r="H21" i="2"/>
  <c r="I21" i="2"/>
  <c r="J21" i="2"/>
  <c r="K21" i="2"/>
  <c r="L21" i="2"/>
  <c r="O21" i="2"/>
  <c r="P21" i="2"/>
  <c r="E21" i="2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S24" i="1"/>
  <c r="T24" i="1"/>
  <c r="U24" i="1"/>
  <c r="V24" i="1"/>
  <c r="W24" i="1"/>
  <c r="J24" i="1"/>
  <c r="K24" i="1"/>
  <c r="L24" i="1"/>
  <c r="M24" i="1"/>
  <c r="N24" i="1"/>
  <c r="O24" i="1"/>
  <c r="P24" i="1"/>
  <c r="Q24" i="1"/>
  <c r="R24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J40" i="2" l="1" a="1"/>
  <c r="J40" i="2" s="1"/>
  <c r="J39" i="2" a="1"/>
  <c r="J39" i="2" s="1"/>
  <c r="I39" i="2" a="1"/>
  <c r="I39" i="2" s="1"/>
  <c r="I40" i="2" a="1"/>
  <c r="I40" i="2" s="1"/>
  <c r="H39" i="2" a="1"/>
  <c r="H39" i="2" s="1"/>
  <c r="H40" i="2" a="1"/>
  <c r="H40" i="2" s="1"/>
  <c r="K39" i="2" a="1"/>
  <c r="K39" i="2" s="1"/>
  <c r="K40" i="2" a="1"/>
  <c r="K40" i="2" s="1"/>
  <c r="G39" i="2" a="1"/>
  <c r="G39" i="2" s="1"/>
  <c r="G40" i="2" a="1"/>
  <c r="G40" i="2" s="1"/>
  <c r="Q39" i="2" a="1"/>
  <c r="Q39" i="2" s="1"/>
  <c r="Q40" i="2" a="1"/>
  <c r="Q40" i="2" s="1"/>
  <c r="E40" i="2" a="1"/>
  <c r="E40" i="2" s="1"/>
  <c r="E39" i="2" a="1"/>
  <c r="E39" i="2" s="1"/>
  <c r="F39" i="2" a="1"/>
  <c r="F39" i="2" s="1"/>
  <c r="F40" i="2" a="1"/>
  <c r="F40" i="2" s="1"/>
  <c r="P39" i="2" a="1"/>
  <c r="P39" i="2" s="1"/>
  <c r="P40" i="2" a="1"/>
  <c r="P40" i="2" s="1"/>
  <c r="O39" i="2" a="1"/>
  <c r="O39" i="2" s="1"/>
  <c r="O40" i="2" a="1"/>
  <c r="O40" i="2" s="1"/>
  <c r="N39" i="2" a="1"/>
  <c r="N39" i="2" s="1"/>
  <c r="N40" i="2" a="1"/>
  <c r="N40" i="2" s="1"/>
  <c r="M40" i="2" a="1"/>
  <c r="M40" i="2" s="1"/>
  <c r="M39" i="2" a="1"/>
  <c r="M39" i="2" s="1"/>
  <c r="L39" i="2" a="1"/>
  <c r="L39" i="2" s="1"/>
  <c r="L40" i="2" a="1"/>
  <c r="L40" i="2" s="1"/>
  <c r="D47" i="4"/>
  <c r="C7" i="1"/>
  <c r="B7" i="1"/>
  <c r="V23" i="1"/>
  <c r="W23" i="1"/>
  <c r="S23" i="1"/>
  <c r="W25" i="1"/>
  <c r="M23" i="1"/>
  <c r="N23" i="1"/>
  <c r="M25" i="1"/>
  <c r="R25" i="1"/>
  <c r="S25" i="1"/>
  <c r="O25" i="1"/>
  <c r="Q25" i="1"/>
  <c r="N25" i="1"/>
  <c r="P25" i="1"/>
  <c r="V25" i="1"/>
  <c r="U25" i="1"/>
  <c r="T25" i="1"/>
  <c r="U23" i="1"/>
  <c r="O23" i="1"/>
  <c r="P23" i="1"/>
  <c r="Q23" i="1"/>
  <c r="R23" i="1"/>
  <c r="T23" i="1"/>
  <c r="H2" i="1" l="1"/>
  <c r="I2" i="1"/>
  <c r="I3" i="1"/>
  <c r="H3" i="1"/>
  <c r="J2" i="1" l="1"/>
  <c r="K2" i="1" s="1"/>
  <c r="J3" i="1"/>
  <c r="K3" i="1" s="1"/>
  <c r="J4" i="1" l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<sst xmlns="http://schemas.openxmlformats.org/spreadsheetml/2006/main" count="302" uniqueCount="183">
  <si>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</si>
  <si>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</si>
  <si>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</si>
  <si>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</si>
  <si>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</si>
  <si>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</si>
  <si>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</si>
  <si>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</si>
  <si>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</si>
  <si>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</si>
  <si>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</si>
  <si>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</si>
  <si>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</si>
  <si>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</si>
  <si>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</si>
  <si>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</si>
  <si>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</si>
  <si>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</si>
  <si>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</si>
  <si>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</si>
  <si>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</si>
  <si>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</si>
  <si>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</si>
  <si>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</si>
  <si>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</si>
  <si>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</si>
  <si>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</si>
  <si>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</si>
  <si>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</si>
  <si>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</si>
  <si>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</si>
  <si>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</si>
  <si>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</si>
  <si>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</si>
  <si>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</si>
  <si>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</si>
  <si>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</si>
  <si>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</si>
  <si>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</si>
  <si>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</si>
  <si>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</si>
  <si>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</si>
  <si>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</si>
  <si>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</si>
  <si>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</si>
  <si>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</si>
  <si>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</si>
  <si>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</si>
  <si>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</si>
  <si>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</si>
  <si>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</si>
  <si>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</si>
  <si>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</si>
  <si>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</si>
  <si>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</si>
  <si>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</si>
  <si>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</si>
  <si>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</si>
  <si>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</si>
  <si>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</si>
  <si>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</si>
  <si>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</si>
  <si>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</si>
  <si>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</si>
  <si>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</si>
  <si>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</si>
  <si>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</si>
  <si>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</si>
  <si>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</si>
  <si>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</si>
  <si>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</si>
  <si>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</si>
  <si>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</si>
  <si>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</si>
  <si>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</si>
  <si>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</si>
  <si>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</si>
  <si>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</si>
  <si>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</si>
  <si>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</si>
  <si>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</si>
  <si>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</si>
  <si>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</si>
  <si>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Alphas directory is my personal directory where I store all the excel/csv files. It doesn't get git push so you may need to change directory output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</si>
  <si>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</si>
  <si>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</si>
  <si>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</si>
  <si>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</si>
  <si>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</si>
  <si>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</si>
  <si>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</si>
  <si>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</si>
  <si>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</si>
  <si>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</si>
  <si>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</si>
  <si>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</si>
  <si>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</si>
  <si>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</si>
  <si>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</si>
  <si>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</si>
  <si>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</si>
  <si>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</si>
  <si>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</si>
  <si>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</si>
  <si>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</si>
  <si>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</si>
  <si>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</si>
  <si>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</si>
  <si>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</si>
  <si>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</si>
  <si>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8.</t>
  </si>
  <si>
    <t>The predicted 2021Q2 Revenue is then:</t>
  </si>
  <si>
    <t>Acuuracy:</t>
  </si>
  <si>
    <t>off</t>
  </si>
  <si>
    <t xml:space="preserve">This methodology scored: </t>
  </si>
  <si>
    <t>I usually start this process at 2019Q1 and repeat this backtest for all dates</t>
  </si>
  <si>
    <t>Finding the best methodology in the previous quarter. (Do not put 2021Q3 data point into the pandas data frame in LR_adj.py)</t>
  </si>
  <si>
    <t>An example of of the methodology is found in cell P2</t>
  </si>
  <si>
    <t>9.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</si>
  <si>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</si>
  <si>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</si>
  <si>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</si>
  <si>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</si>
  <si>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</si>
  <si>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</si>
  <si>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</si>
  <si>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</si>
  <si>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</si>
  <si>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</si>
  <si>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</si>
  <si>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</si>
  <si>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</si>
  <si>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</si>
  <si>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</si>
  <si>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</si>
  <si>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</si>
  <si>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</si>
  <si>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</si>
  <si>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</si>
  <si>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</si>
  <si>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</si>
  <si>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</si>
  <si>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</si>
  <si>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</si>
  <si>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</si>
  <si>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</si>
  <si>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</si>
  <si>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</si>
  <si>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</si>
  <si>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</si>
  <si>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</si>
  <si>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</si>
  <si>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</si>
  <si>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C:\dev\da.research\personal\rxia\Alphas\TICKER</t>
    </r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</si>
  <si>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</si>
  <si>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</si>
  <si>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</si>
  <si>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</si>
  <si>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</si>
  <si>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</si>
  <si>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</si>
  <si>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</si>
  <si>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</si>
  <si>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</si>
  <si>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2022E</t>
  </si>
  <si>
    <t>Q1E</t>
  </si>
  <si>
    <t>Total Revenue</t>
  </si>
  <si>
    <t>Outlier Removed 2020Q2</t>
  </si>
  <si>
    <t>Input those as projection into python script in step 3.</t>
  </si>
  <si>
    <t>It is an apple to apple comparison for each method. I removed 2020Q2 to be biased towards the projection that uses moa data.(12_12 projection)</t>
  </si>
  <si>
    <t>Consensus seemes to perform better than the other methodology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</si>
  <si>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</si>
  <si>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</si>
  <si>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</si>
  <si>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</si>
  <si>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Since CONSENSUS performed  the best in the 2021Q2 data (without 2021Q3) I look at predicted result for CONSENSUS 2021Q3</t>
  </si>
  <si>
    <t>Historical Average Beat\Miss:</t>
  </si>
  <si>
    <t>Improved Alpha Implied Beat/Miss:</t>
  </si>
  <si>
    <t>which is inline with the confidence interval in step1. If this value is unsatisfactory, use confidence interval.</t>
  </si>
  <si>
    <t>For Sheet 3 Regression Removed 2020Q2</t>
  </si>
  <si>
    <t>ATEC US</t>
  </si>
  <si>
    <t>ATEC</t>
  </si>
  <si>
    <t>US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</si>
</sst>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3" xfId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9" fontId="0" fillId="0" borderId="0" xfId="1" applyFont="1" applyBorder="1"/>
    <xf numFmtId="9" fontId="0" fillId="0" borderId="9" xfId="1" applyFont="1" applyBorder="1"/>
    <xf numFmtId="9" fontId="0" fillId="0" borderId="8" xfId="1" applyFont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9" fontId="0" fillId="0" borderId="13" xfId="1" applyFont="1" applyFill="1" applyBorder="1" applyAlignment="1">
      <alignment horizontal="center"/>
    </xf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0" fillId="0" borderId="3" xfId="0" applyNumberFormat="1" applyBorder="1"/>
    <xf numFmtId="165" fontId="2" fillId="0" borderId="3" xfId="0" applyNumberFormat="1" applyFont="1" applyBorder="1"/>
    <xf numFmtId="165" fontId="4" fillId="0" borderId="3" xfId="0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0" borderId="0" xfId="0" applyFill="1" applyBorder="1" applyAlignment="1"/>
    <xf numFmtId="0" fontId="0" fillId="9" borderId="0" xfId="0" applyFill="1"/>
    <xf numFmtId="0" fontId="0" fillId="0" borderId="14" xfId="0" applyFill="1" applyBorder="1"/>
    <xf numFmtId="0" fontId="9" fillId="0" borderId="1" xfId="0" applyFont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center"/>
    </xf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0" fontId="2" fillId="0" borderId="13" xfId="1" applyNumberFormat="1" applyFont="1" applyBorder="1"/>
    <xf numFmtId="10" fontId="2" fillId="0" borderId="15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13" xfId="0" applyFill="1" applyBorder="1"/>
    <xf numFmtId="0" fontId="0" fillId="0" borderId="0" xfId="0" applyBorder="1" applyAlignment="1">
      <alignment horizontal="right"/>
    </xf>
    <xf numFmtId="0" fontId="8" fillId="0" borderId="0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10" borderId="0" xfId="0" applyFill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0" fontId="0" fillId="10" borderId="6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C29"/>
  <sheetViews>
    <sheetView zoomScale="70" zoomScaleNormal="70" workbookViewId="0">
      <selection activeCell="J21" sqref="J21:W21"/>
    </sheetView>
  </sheetViews>
  <sheetFormatPr defaultRowHeight="12.75" x14ac:dyDescent="0.2"/>
  <cols>
    <col min="1" max="1" width="28.85546875" customWidth="1"/>
    <col min="7" max="7" width="10.42578125" customWidth="1"/>
    <col min="24" max="24" width="20.7109375" customWidth="1"/>
    <col min="25" max="25" width="17.85546875" customWidth="1"/>
  </cols>
  <sheetData>
    <row r="1" spans="1:29" x14ac:dyDescent="0.2">
      <c r="A1" s="123" t="s">
        <v>180</v>
      </c>
      <c r="B1" s="124"/>
      <c r="C1" s="125"/>
      <c r="F1" s="132" t="s">
        <v>35</v>
      </c>
      <c r="G1" s="133"/>
      <c r="H1" s="68" t="s">
        <v>31</v>
      </c>
      <c r="I1" s="68" t="s">
        <v>32</v>
      </c>
      <c r="J1" s="4" t="s">
        <v>39</v>
      </c>
      <c r="K1" s="134" t="s">
        <v>41</v>
      </c>
      <c r="L1" s="135"/>
    </row>
    <row r="2" spans="1:29" x14ac:dyDescent="0.2">
      <c r="A2" s="126"/>
      <c r="B2" s="127"/>
      <c r="C2" s="128"/>
      <c r="F2" s="66" t="s">
        <v>37</v>
      </c>
      <c r="G2" s="67"/>
      <c r="H2" s="69">
        <f>$B$7*($Y$27-2*$Y$28)</f>
        <v>48.55993580849109</v>
      </c>
      <c r="I2" s="69">
        <f>$B$7*($Y$27+2*$Y$28)</f>
        <v>57.271834398196177</v>
      </c>
      <c r="J2" s="71">
        <f>AVERAGE(H2:I2)</f>
        <v>52.915885103343633</v>
      </c>
      <c r="K2" s="136">
        <f>$J$2/T16-1</f>
        <v>0.31959813225295841</v>
      </c>
      <c r="L2" s="137"/>
    </row>
    <row r="3" spans="1:29" x14ac:dyDescent="0.2">
      <c r="A3" s="129"/>
      <c r="B3" s="130"/>
      <c r="C3" s="131"/>
      <c r="F3" s="52" t="s">
        <v>38</v>
      </c>
      <c r="G3" s="20"/>
      <c r="H3" s="70">
        <f>$C$7*($Y$27-2*$Y$28)</f>
        <v>52.533021465549453</v>
      </c>
      <c r="I3" s="70">
        <f>$C$7*($Y$27+2*$Y$28)</f>
        <v>61.957711758048596</v>
      </c>
      <c r="J3" s="72">
        <f>AVERAGE(H3:I3)</f>
        <v>57.245366611799028</v>
      </c>
      <c r="K3" s="138">
        <f>$J$3/T17-1</f>
        <v>0.42756525216456431</v>
      </c>
      <c r="L3" s="139"/>
    </row>
    <row r="4" spans="1:29" x14ac:dyDescent="0.2">
      <c r="A4" s="57"/>
      <c r="B4" s="57"/>
      <c r="C4" s="57"/>
      <c r="I4" s="4" t="s">
        <v>40</v>
      </c>
      <c r="J4" s="72">
        <f>AVERAGE(J2:J3)</f>
        <v>55.080625857571334</v>
      </c>
      <c r="K4" s="138">
        <f>$J$4/T17-1</f>
        <v>0.37358169220876136</v>
      </c>
      <c r="L4" s="139"/>
    </row>
    <row r="5" spans="1:29" x14ac:dyDescent="0.2">
      <c r="A5" s="65" t="s">
        <v>34</v>
      </c>
      <c r="B5" s="55" t="s">
        <v>31</v>
      </c>
      <c r="C5" s="56" t="s">
        <v>32</v>
      </c>
    </row>
    <row r="6" spans="1:29" ht="15.75" x14ac:dyDescent="0.25">
      <c r="A6" s="59" t="s">
        <v>33</v>
      </c>
      <c r="B6" s="63">
        <v>220</v>
      </c>
      <c r="C6" s="64">
        <v>238</v>
      </c>
    </row>
    <row r="7" spans="1:29" ht="14.25" x14ac:dyDescent="0.2">
      <c r="A7" s="60" t="s">
        <v>36</v>
      </c>
      <c r="B7" s="61">
        <f>B6*$Y$26</f>
        <v>217.79657476066527</v>
      </c>
      <c r="C7" s="62">
        <f>C6*$Y$26</f>
        <v>235.6162945138106</v>
      </c>
    </row>
    <row r="8" spans="1:29" x14ac:dyDescent="0.2">
      <c r="A8" s="57"/>
      <c r="B8" s="57"/>
      <c r="C8" s="57"/>
    </row>
    <row r="9" spans="1:29" x14ac:dyDescent="0.2">
      <c r="A9" s="57"/>
      <c r="B9" s="57"/>
      <c r="C9" s="57"/>
    </row>
    <row r="10" spans="1:29" x14ac:dyDescent="0.2">
      <c r="A10" s="57"/>
      <c r="B10" s="57"/>
      <c r="C10" s="57"/>
    </row>
    <row r="12" spans="1:29" x14ac:dyDescent="0.2">
      <c r="F12" s="122" t="s">
        <v>15</v>
      </c>
      <c r="G12" s="122"/>
      <c r="H12" s="38">
        <f>AVERAGE(F15:X15)</f>
        <v>1.2778568681467941</v>
      </c>
      <c r="U12" s="122" t="s">
        <v>16</v>
      </c>
      <c r="V12" s="122"/>
      <c r="W12" s="122"/>
      <c r="X12" s="97">
        <f>AVERAGE(X15,T15:V15,S15,R15)</f>
        <v>1.3308379782520683</v>
      </c>
    </row>
    <row r="13" spans="1:29" x14ac:dyDescent="0.2">
      <c r="A13" s="58" t="s">
        <v>6</v>
      </c>
      <c r="B13" s="99">
        <v>2014</v>
      </c>
      <c r="C13" s="99"/>
      <c r="D13" s="99"/>
      <c r="E13" s="100"/>
      <c r="F13" s="110">
        <v>2017</v>
      </c>
      <c r="G13" s="111"/>
      <c r="H13" s="111"/>
      <c r="I13" s="112"/>
      <c r="J13" s="119">
        <v>2018</v>
      </c>
      <c r="K13" s="120"/>
      <c r="L13" s="120"/>
      <c r="M13" s="121"/>
      <c r="N13" s="113">
        <v>2019</v>
      </c>
      <c r="O13" s="114"/>
      <c r="P13" s="114"/>
      <c r="Q13" s="115"/>
      <c r="R13" s="98">
        <v>2020</v>
      </c>
      <c r="S13" s="99"/>
      <c r="T13" s="99"/>
      <c r="U13" s="100"/>
      <c r="V13" s="107">
        <v>2021</v>
      </c>
      <c r="W13" s="108"/>
      <c r="X13" s="108"/>
      <c r="Y13" s="109"/>
      <c r="Z13" s="98" t="s">
        <v>164</v>
      </c>
      <c r="AA13" s="99"/>
      <c r="AB13" s="99"/>
      <c r="AC13" s="100"/>
    </row>
    <row r="14" spans="1:29" x14ac:dyDescent="0.2">
      <c r="A14" s="15" t="s">
        <v>19</v>
      </c>
      <c r="B14" s="21" t="s">
        <v>20</v>
      </c>
      <c r="C14" s="21" t="s">
        <v>3</v>
      </c>
      <c r="D14" s="21" t="s">
        <v>4</v>
      </c>
      <c r="E14" s="21" t="s">
        <v>5</v>
      </c>
      <c r="F14" s="22" t="s">
        <v>20</v>
      </c>
      <c r="G14" s="23" t="s">
        <v>3</v>
      </c>
      <c r="H14" s="23" t="s">
        <v>4</v>
      </c>
      <c r="I14" s="23" t="s">
        <v>5</v>
      </c>
      <c r="J14" s="24" t="s">
        <v>20</v>
      </c>
      <c r="K14" s="25" t="s">
        <v>3</v>
      </c>
      <c r="L14" s="25" t="s">
        <v>4</v>
      </c>
      <c r="M14" s="25" t="s">
        <v>5</v>
      </c>
      <c r="N14" s="26" t="s">
        <v>20</v>
      </c>
      <c r="O14" s="27" t="s">
        <v>3</v>
      </c>
      <c r="P14" s="27" t="s">
        <v>4</v>
      </c>
      <c r="Q14" s="27" t="s">
        <v>5</v>
      </c>
      <c r="R14" s="28" t="s">
        <v>20</v>
      </c>
      <c r="S14" s="21" t="s">
        <v>3</v>
      </c>
      <c r="T14" s="21" t="s">
        <v>4</v>
      </c>
      <c r="U14" s="21" t="s">
        <v>5</v>
      </c>
      <c r="V14" s="43" t="s">
        <v>20</v>
      </c>
      <c r="W14" s="44" t="s">
        <v>3</v>
      </c>
      <c r="X14" s="45" t="s">
        <v>21</v>
      </c>
      <c r="Y14" s="29" t="s">
        <v>22</v>
      </c>
      <c r="Z14" s="85" t="s">
        <v>165</v>
      </c>
      <c r="AA14" s="6"/>
      <c r="AB14" s="6"/>
      <c r="AC14" s="11"/>
    </row>
    <row r="15" spans="1:29" x14ac:dyDescent="0.2">
      <c r="A15" s="37" t="s">
        <v>2</v>
      </c>
      <c r="B15" s="30"/>
      <c r="C15" s="30"/>
      <c r="D15" s="30"/>
      <c r="E15" s="30"/>
      <c r="F15" s="32"/>
      <c r="G15" s="33"/>
      <c r="H15" s="33"/>
      <c r="I15" s="33"/>
      <c r="J15" s="32">
        <f>J17/F17</f>
        <v>0.82051282051282048</v>
      </c>
      <c r="K15" s="33">
        <f>K17/G17</f>
        <v>0.93150684931506844</v>
      </c>
      <c r="L15" s="33">
        <f>L17/H17</f>
        <v>1.0144927536231885</v>
      </c>
      <c r="M15" s="33">
        <f>M17/I17</f>
        <v>1.1052631578947369</v>
      </c>
      <c r="N15" s="32">
        <f t="shared" ref="N15:W15" si="0">N17/J17</f>
        <v>1.1979166666666667</v>
      </c>
      <c r="O15" s="33">
        <f t="shared" si="0"/>
        <v>1.2794117647058825</v>
      </c>
      <c r="P15" s="33">
        <f t="shared" si="0"/>
        <v>1.3380952380952382</v>
      </c>
      <c r="Q15" s="33">
        <f t="shared" si="0"/>
        <v>1.3463203463203464</v>
      </c>
      <c r="R15" s="32">
        <f t="shared" si="0"/>
        <v>1.2652173913043478</v>
      </c>
      <c r="S15" s="33">
        <f t="shared" si="0"/>
        <v>1.103448275862069</v>
      </c>
      <c r="T15" s="33">
        <f t="shared" si="0"/>
        <v>1.4270462633451957</v>
      </c>
      <c r="U15" s="33">
        <f t="shared" si="0"/>
        <v>1.3858520900321543</v>
      </c>
      <c r="V15" s="32">
        <f t="shared" si="0"/>
        <v>1.5017182130584192</v>
      </c>
      <c r="W15" s="34">
        <f t="shared" si="0"/>
        <v>2.1493055555555554</v>
      </c>
      <c r="X15" s="51">
        <f>X16/T16</f>
        <v>1.3017456359102244</v>
      </c>
      <c r="Y15" s="31"/>
      <c r="Z15" s="10"/>
      <c r="AA15" s="6"/>
      <c r="AB15" s="6"/>
      <c r="AC15" s="11"/>
    </row>
    <row r="16" spans="1:29" x14ac:dyDescent="0.2">
      <c r="A16" s="16" t="s">
        <v>0</v>
      </c>
      <c r="B16" s="8"/>
      <c r="C16" s="8"/>
      <c r="D16" s="8"/>
      <c r="E16" s="8"/>
      <c r="F16" s="10">
        <v>23.4</v>
      </c>
      <c r="G16" s="6">
        <v>21.9</v>
      </c>
      <c r="H16" s="6">
        <v>20.7</v>
      </c>
      <c r="I16" s="6">
        <v>20.9</v>
      </c>
      <c r="J16" s="10">
        <v>19.2</v>
      </c>
      <c r="K16" s="6">
        <v>20.399999999999999</v>
      </c>
      <c r="L16" s="6">
        <v>21</v>
      </c>
      <c r="M16" s="6">
        <v>23.1</v>
      </c>
      <c r="N16" s="10">
        <v>23</v>
      </c>
      <c r="O16" s="6">
        <v>26.1</v>
      </c>
      <c r="P16" s="6">
        <v>28.1</v>
      </c>
      <c r="Q16" s="6">
        <v>31.1</v>
      </c>
      <c r="R16" s="10">
        <v>29.1</v>
      </c>
      <c r="S16" s="6">
        <v>28.8</v>
      </c>
      <c r="T16" s="6">
        <v>40.1</v>
      </c>
      <c r="U16" s="6">
        <v>43.1</v>
      </c>
      <c r="V16" s="7">
        <v>43.7</v>
      </c>
      <c r="W16" s="8">
        <v>61.9</v>
      </c>
      <c r="X16" s="7">
        <v>52.2</v>
      </c>
      <c r="Y16" s="9">
        <v>59.9</v>
      </c>
      <c r="Z16" s="10"/>
      <c r="AA16" s="6"/>
      <c r="AB16" s="6"/>
      <c r="AC16" s="11"/>
    </row>
    <row r="17" spans="1:29" x14ac:dyDescent="0.2">
      <c r="A17" s="16" t="s">
        <v>1</v>
      </c>
      <c r="B17" s="6"/>
      <c r="C17" s="6"/>
      <c r="D17" s="6"/>
      <c r="E17" s="6"/>
      <c r="F17" s="10">
        <v>23.4</v>
      </c>
      <c r="G17" s="6">
        <v>21.9</v>
      </c>
      <c r="H17" s="6">
        <v>20.7</v>
      </c>
      <c r="I17" s="6">
        <v>20.9</v>
      </c>
      <c r="J17" s="10">
        <v>19.2</v>
      </c>
      <c r="K17" s="6">
        <v>20.399999999999999</v>
      </c>
      <c r="L17" s="6">
        <v>21</v>
      </c>
      <c r="M17" s="6">
        <v>23.1</v>
      </c>
      <c r="N17" s="10">
        <v>23</v>
      </c>
      <c r="O17" s="6">
        <v>26.1</v>
      </c>
      <c r="P17" s="6">
        <v>28.1</v>
      </c>
      <c r="Q17" s="6">
        <v>31.1</v>
      </c>
      <c r="R17" s="10">
        <v>29.1</v>
      </c>
      <c r="S17" s="6">
        <v>28.8</v>
      </c>
      <c r="T17" s="6">
        <v>40.1</v>
      </c>
      <c r="U17" s="6">
        <v>43.1</v>
      </c>
      <c r="V17" s="10">
        <v>43.7</v>
      </c>
      <c r="W17" s="6">
        <v>61.9</v>
      </c>
      <c r="X17" s="10"/>
      <c r="Y17" s="11"/>
      <c r="Z17" s="10"/>
      <c r="AA17" s="6"/>
      <c r="AB17" s="6"/>
      <c r="AC17" s="11"/>
    </row>
    <row r="18" spans="1:29" x14ac:dyDescent="0.2">
      <c r="A18" s="11" t="s">
        <v>166</v>
      </c>
      <c r="B18" s="10"/>
      <c r="C18" s="6"/>
      <c r="D18" s="6"/>
      <c r="E18" s="11"/>
      <c r="F18" s="10">
        <v>28</v>
      </c>
      <c r="G18" s="6">
        <v>24.4</v>
      </c>
      <c r="H18" s="6">
        <v>23.1</v>
      </c>
      <c r="I18" s="11">
        <v>26.3</v>
      </c>
      <c r="J18" s="10">
        <v>21.3</v>
      </c>
      <c r="K18" s="6">
        <v>22</v>
      </c>
      <c r="L18" s="6">
        <v>23</v>
      </c>
      <c r="M18" s="11">
        <v>25.3</v>
      </c>
      <c r="N18" s="10">
        <v>24.6</v>
      </c>
      <c r="O18" s="6">
        <v>27.3</v>
      </c>
      <c r="P18" s="6">
        <v>29.2</v>
      </c>
      <c r="Q18" s="11">
        <v>32.4</v>
      </c>
      <c r="R18" s="10">
        <v>30.1</v>
      </c>
      <c r="S18" s="6">
        <v>29.6</v>
      </c>
      <c r="T18" s="6">
        <v>41.2</v>
      </c>
      <c r="U18" s="11">
        <v>44</v>
      </c>
      <c r="V18" s="10">
        <v>44.1</v>
      </c>
      <c r="W18" s="6">
        <v>62.2</v>
      </c>
      <c r="X18">
        <v>52.5</v>
      </c>
      <c r="Y18" s="11"/>
      <c r="Z18" s="10"/>
      <c r="AA18" s="6"/>
      <c r="AB18" s="6"/>
      <c r="AC18" s="11"/>
    </row>
    <row r="19" spans="1:29" x14ac:dyDescent="0.2">
      <c r="A19" s="16" t="s">
        <v>18</v>
      </c>
      <c r="B19" s="42"/>
      <c r="C19" s="40"/>
      <c r="D19" s="40"/>
      <c r="E19" s="41"/>
      <c r="F19" s="40">
        <f t="shared" ref="F19:V19" si="1">F17/F18</f>
        <v>0.83571428571428563</v>
      </c>
      <c r="G19" s="40">
        <f t="shared" si="1"/>
        <v>0.89754098360655732</v>
      </c>
      <c r="H19" s="40">
        <f t="shared" si="1"/>
        <v>0.89610389610389607</v>
      </c>
      <c r="I19" s="41">
        <f t="shared" si="1"/>
        <v>0.7946768060836501</v>
      </c>
      <c r="J19" s="40">
        <f t="shared" si="1"/>
        <v>0.90140845070422526</v>
      </c>
      <c r="K19" s="40">
        <f t="shared" si="1"/>
        <v>0.92727272727272725</v>
      </c>
      <c r="L19" s="40">
        <f t="shared" si="1"/>
        <v>0.91304347826086951</v>
      </c>
      <c r="M19" s="41">
        <f t="shared" si="1"/>
        <v>0.91304347826086962</v>
      </c>
      <c r="N19" s="40">
        <f t="shared" si="1"/>
        <v>0.93495934959349591</v>
      </c>
      <c r="O19" s="40">
        <f t="shared" si="1"/>
        <v>0.95604395604395609</v>
      </c>
      <c r="P19" s="40">
        <f t="shared" si="1"/>
        <v>0.96232876712328774</v>
      </c>
      <c r="Q19" s="41">
        <f t="shared" si="1"/>
        <v>0.95987654320987659</v>
      </c>
      <c r="R19" s="40">
        <f t="shared" si="1"/>
        <v>0.96677740863787376</v>
      </c>
      <c r="S19" s="40">
        <f t="shared" si="1"/>
        <v>0.97297297297297292</v>
      </c>
      <c r="T19" s="40">
        <f t="shared" si="1"/>
        <v>0.97330097087378642</v>
      </c>
      <c r="U19" s="41">
        <f t="shared" si="1"/>
        <v>0.97954545454545461</v>
      </c>
      <c r="V19" s="40">
        <f>V17/V18</f>
        <v>0.99092970521541957</v>
      </c>
      <c r="W19" s="40">
        <f>W17/W18</f>
        <v>0.99517684887459801</v>
      </c>
      <c r="X19" s="42">
        <f>X16/X18</f>
        <v>0.99428571428571433</v>
      </c>
      <c r="Y19" s="11"/>
      <c r="Z19" s="10"/>
      <c r="AA19" s="6"/>
      <c r="AB19" s="6"/>
      <c r="AC19" s="11"/>
    </row>
    <row r="20" spans="1:29" x14ac:dyDescent="0.2">
      <c r="A20" s="16" t="s">
        <v>24</v>
      </c>
      <c r="B20" s="2"/>
      <c r="C20" s="19"/>
      <c r="D20" s="19"/>
      <c r="E20" s="46"/>
      <c r="F20" s="2">
        <f>F17/SUM(F17:I17)</f>
        <v>0.26927502876869963</v>
      </c>
      <c r="G20" s="2">
        <f>G17/SUM(F17:I17)</f>
        <v>0.25201380897583425</v>
      </c>
      <c r="H20" s="2">
        <f>H17/SUM(F17:I17)</f>
        <v>0.23820483314154198</v>
      </c>
      <c r="I20" s="46">
        <f>I17/SUM(F17:I17)</f>
        <v>0.24050632911392403</v>
      </c>
      <c r="J20" s="2">
        <f>J17/SUM(J17:M17)</f>
        <v>0.22939068100358426</v>
      </c>
      <c r="K20" s="2">
        <f>K17/SUM(J17:M17)</f>
        <v>0.24372759856630827</v>
      </c>
      <c r="L20" s="2">
        <f>L17/SUM(J17:M17)</f>
        <v>0.25089605734767029</v>
      </c>
      <c r="M20" s="46">
        <f>M17/SUM(J17:M17)</f>
        <v>0.27598566308243733</v>
      </c>
      <c r="N20" s="2">
        <f>N17/SUM(N17:Q17)</f>
        <v>0.21237303785780237</v>
      </c>
      <c r="O20" s="2">
        <f>O17/SUM(N17:Q17)</f>
        <v>0.24099722991689748</v>
      </c>
      <c r="P20" s="2">
        <f>P17/SUM(N17:Q17)</f>
        <v>0.25946445060018464</v>
      </c>
      <c r="Q20" s="46">
        <f>Q17/SUM(N17:Q17)</f>
        <v>0.2871652816251154</v>
      </c>
      <c r="R20" s="2"/>
      <c r="S20" s="2"/>
      <c r="T20" s="2"/>
      <c r="U20" s="46"/>
      <c r="V20" s="2">
        <f>V17/SUM(V17:W17,X16:Y16)</f>
        <v>0.200734956361966</v>
      </c>
      <c r="W20" s="46">
        <f>W17/SUM(V17:W17,X16:Y16)</f>
        <v>0.28433624253559941</v>
      </c>
      <c r="X20" s="2">
        <f>X16/SUM(V17:W17,X16:Y16)</f>
        <v>0.23977951309141018</v>
      </c>
      <c r="Y20" s="46">
        <f>Y16/SUM(V17:W17,X16:Y16)</f>
        <v>0.27514928801102434</v>
      </c>
      <c r="Z20" s="2"/>
      <c r="AA20" s="6"/>
      <c r="AB20" s="6"/>
      <c r="AC20" s="11"/>
    </row>
    <row r="21" spans="1:29" x14ac:dyDescent="0.2">
      <c r="A21" s="17" t="s">
        <v>17</v>
      </c>
      <c r="B21" s="13"/>
      <c r="C21" s="13"/>
      <c r="D21" s="13"/>
      <c r="E21" s="13"/>
      <c r="F21" s="12"/>
      <c r="G21" s="13"/>
      <c r="H21" s="13"/>
      <c r="I21" s="13"/>
      <c r="J21" s="12">
        <v>22.445070422535203</v>
      </c>
      <c r="K21" s="13">
        <v>20.455636363636359</v>
      </c>
      <c r="L21" s="13">
        <v>21.840000000000011</v>
      </c>
      <c r="M21" s="13">
        <v>20.65304347826088</v>
      </c>
      <c r="N21" s="12">
        <v>22.439024390243901</v>
      </c>
      <c r="O21" s="13">
        <v>24.2548351648352</v>
      </c>
      <c r="P21" s="13">
        <v>25.8</v>
      </c>
      <c r="Q21" s="13">
        <v>29.4</v>
      </c>
      <c r="R21" s="12">
        <v>28.9</v>
      </c>
      <c r="S21" s="13">
        <v>15.7</v>
      </c>
      <c r="T21" s="13">
        <v>37.5</v>
      </c>
      <c r="U21" s="13">
        <v>43.1</v>
      </c>
      <c r="V21" s="12">
        <v>38.9</v>
      </c>
      <c r="W21" s="13">
        <v>45.2</v>
      </c>
      <c r="X21" s="12"/>
      <c r="Y21" s="14"/>
      <c r="Z21" s="12"/>
      <c r="AA21" s="13"/>
      <c r="AB21" s="13"/>
      <c r="AC21" s="14"/>
    </row>
    <row r="22" spans="1:29" x14ac:dyDescent="0.2">
      <c r="H22" s="101" t="s">
        <v>7</v>
      </c>
      <c r="I22" s="116"/>
      <c r="J22" s="8">
        <f t="shared" ref="J22:W22" si="2">IF(J17&gt;J21,1,0)</f>
        <v>0</v>
      </c>
      <c r="K22" s="8">
        <f t="shared" si="2"/>
        <v>0</v>
      </c>
      <c r="L22" s="8">
        <f t="shared" si="2"/>
        <v>0</v>
      </c>
      <c r="M22" s="8">
        <f t="shared" si="2"/>
        <v>1</v>
      </c>
      <c r="N22" s="8">
        <f t="shared" si="2"/>
        <v>1</v>
      </c>
      <c r="O22" s="8">
        <f t="shared" si="2"/>
        <v>1</v>
      </c>
      <c r="P22" s="8">
        <f t="shared" si="2"/>
        <v>1</v>
      </c>
      <c r="Q22" s="8">
        <f t="shared" si="2"/>
        <v>1</v>
      </c>
      <c r="R22" s="8">
        <f t="shared" si="2"/>
        <v>1</v>
      </c>
      <c r="S22" s="8">
        <f t="shared" si="2"/>
        <v>1</v>
      </c>
      <c r="T22" s="8">
        <f t="shared" si="2"/>
        <v>1</v>
      </c>
      <c r="U22" s="8">
        <f t="shared" si="2"/>
        <v>0</v>
      </c>
      <c r="V22" s="8">
        <f t="shared" si="2"/>
        <v>1</v>
      </c>
      <c r="W22" s="9">
        <f t="shared" si="2"/>
        <v>1</v>
      </c>
      <c r="X22" s="52" t="s">
        <v>8</v>
      </c>
      <c r="Y22" s="48">
        <f>AVERAGE(J22:W22)</f>
        <v>0.7142857142857143</v>
      </c>
    </row>
    <row r="23" spans="1:29" x14ac:dyDescent="0.2">
      <c r="H23" s="117" t="s">
        <v>9</v>
      </c>
      <c r="I23" s="118"/>
      <c r="J23" s="6"/>
      <c r="K23" s="6"/>
      <c r="L23" s="6"/>
      <c r="M23" s="6">
        <f t="shared" ref="M23:W23" si="3">AVERAGE(J22:M22)</f>
        <v>0.25</v>
      </c>
      <c r="N23" s="6">
        <f t="shared" si="3"/>
        <v>0.5</v>
      </c>
      <c r="O23" s="6">
        <f t="shared" si="3"/>
        <v>0.75</v>
      </c>
      <c r="P23" s="6">
        <f t="shared" si="3"/>
        <v>1</v>
      </c>
      <c r="Q23" s="6">
        <f t="shared" si="3"/>
        <v>1</v>
      </c>
      <c r="R23" s="6">
        <f t="shared" si="3"/>
        <v>1</v>
      </c>
      <c r="S23" s="6">
        <f t="shared" si="3"/>
        <v>1</v>
      </c>
      <c r="T23" s="6">
        <f t="shared" si="3"/>
        <v>1</v>
      </c>
      <c r="U23" s="6">
        <f t="shared" si="3"/>
        <v>0.75</v>
      </c>
      <c r="V23" s="6">
        <f t="shared" si="3"/>
        <v>0.75</v>
      </c>
      <c r="W23" s="11">
        <f t="shared" si="3"/>
        <v>0.75</v>
      </c>
      <c r="X23" s="47" t="s">
        <v>10</v>
      </c>
      <c r="Y23" s="48">
        <f>AVERAGE(M23:W23)</f>
        <v>0.79545454545454541</v>
      </c>
    </row>
    <row r="24" spans="1:29" x14ac:dyDescent="0.2">
      <c r="H24" s="105" t="s">
        <v>11</v>
      </c>
      <c r="I24" s="106"/>
      <c r="J24" s="19">
        <f t="shared" ref="J24:W24" si="4">J17/J21-1</f>
        <v>-0.14457831325301174</v>
      </c>
      <c r="K24" s="19">
        <f t="shared" si="4"/>
        <v>-2.7198549410696327E-3</v>
      </c>
      <c r="L24" s="19">
        <f t="shared" si="4"/>
        <v>-3.846153846153888E-2</v>
      </c>
      <c r="M24" s="19">
        <f t="shared" si="4"/>
        <v>0.11847922192749727</v>
      </c>
      <c r="N24" s="19">
        <f t="shared" si="4"/>
        <v>2.5000000000000133E-2</v>
      </c>
      <c r="O24" s="19">
        <f t="shared" si="4"/>
        <v>7.6074103271579041E-2</v>
      </c>
      <c r="P24" s="19">
        <f t="shared" si="4"/>
        <v>8.9147286821705363E-2</v>
      </c>
      <c r="Q24" s="19">
        <f t="shared" si="4"/>
        <v>5.7823129251700855E-2</v>
      </c>
      <c r="R24" s="19">
        <f t="shared" si="4"/>
        <v>6.9204152249136008E-3</v>
      </c>
      <c r="S24" s="19">
        <f t="shared" si="4"/>
        <v>0.83439490445859876</v>
      </c>
      <c r="T24" s="19">
        <f t="shared" si="4"/>
        <v>6.9333333333333469E-2</v>
      </c>
      <c r="U24" s="19">
        <f t="shared" si="4"/>
        <v>0</v>
      </c>
      <c r="V24" s="19">
        <f t="shared" si="4"/>
        <v>0.12339331619537286</v>
      </c>
      <c r="W24" s="46">
        <f t="shared" si="4"/>
        <v>0.36946902654867242</v>
      </c>
      <c r="X24" s="47" t="s">
        <v>13</v>
      </c>
      <c r="Y24" s="49">
        <f>AVERAGE(J24:W24)</f>
        <v>0.11316250216983954</v>
      </c>
    </row>
    <row r="25" spans="1:29" x14ac:dyDescent="0.2">
      <c r="H25" s="117" t="s">
        <v>12</v>
      </c>
      <c r="I25" s="118"/>
      <c r="J25" s="35"/>
      <c r="K25" s="35"/>
      <c r="L25" s="35"/>
      <c r="M25" s="35">
        <f t="shared" ref="M25:W25" si="5">AVERAGE(J24:M24)</f>
        <v>-1.6820121182030745E-2</v>
      </c>
      <c r="N25" s="35">
        <f t="shared" si="5"/>
        <v>2.5574457131222222E-2</v>
      </c>
      <c r="O25" s="35">
        <f t="shared" si="5"/>
        <v>4.5272946684384391E-2</v>
      </c>
      <c r="P25" s="35">
        <f t="shared" si="5"/>
        <v>7.7175153005195452E-2</v>
      </c>
      <c r="Q25" s="35">
        <f t="shared" si="5"/>
        <v>6.2011129836246348E-2</v>
      </c>
      <c r="R25" s="35">
        <f t="shared" si="5"/>
        <v>5.7491233642474715E-2</v>
      </c>
      <c r="S25" s="35">
        <f t="shared" si="5"/>
        <v>0.24707143393922965</v>
      </c>
      <c r="T25" s="35">
        <f t="shared" si="5"/>
        <v>0.24211794556713667</v>
      </c>
      <c r="U25" s="35">
        <f t="shared" si="5"/>
        <v>0.22766216325421146</v>
      </c>
      <c r="V25" s="35">
        <f t="shared" si="5"/>
        <v>0.25678038849682627</v>
      </c>
      <c r="W25" s="36">
        <f t="shared" si="5"/>
        <v>0.14054891901934469</v>
      </c>
      <c r="X25" s="20" t="s">
        <v>14</v>
      </c>
      <c r="Y25" s="36">
        <f>AVERAGE(M25:W25)</f>
        <v>0.12408051358129465</v>
      </c>
    </row>
    <row r="26" spans="1:29" x14ac:dyDescent="0.2">
      <c r="H26" s="101" t="s">
        <v>25</v>
      </c>
      <c r="I26" s="102"/>
      <c r="J26" s="86">
        <f>AVERAGE(M24:T24,V24:W24)</f>
        <v>0.17700347370333738</v>
      </c>
      <c r="K26" s="101" t="s">
        <v>29</v>
      </c>
      <c r="L26" s="102"/>
      <c r="M26" s="53">
        <f>MEDIAN(M24:T24,V24:W24)</f>
        <v>8.2610695046642202E-2</v>
      </c>
      <c r="U26" s="142" t="s">
        <v>23</v>
      </c>
      <c r="V26" s="143"/>
      <c r="W26" s="143"/>
      <c r="X26" s="144"/>
      <c r="Y26" s="50">
        <f>AVERAGE(U19:X19)</f>
        <v>0.98998443073029663</v>
      </c>
    </row>
    <row r="27" spans="1:29" x14ac:dyDescent="0.2">
      <c r="H27" s="103" t="s">
        <v>26</v>
      </c>
      <c r="I27" s="104"/>
      <c r="J27" s="36">
        <f>AVERAGE(J24:L24)</f>
        <v>-6.1919902218540081E-2</v>
      </c>
      <c r="K27" s="103" t="s">
        <v>30</v>
      </c>
      <c r="L27" s="104"/>
      <c r="M27" s="36">
        <f>MEDIAN(J24:L24)</f>
        <v>-3.846153846153888E-2</v>
      </c>
      <c r="U27" s="145" t="s">
        <v>27</v>
      </c>
      <c r="V27" s="146"/>
      <c r="W27" s="146"/>
      <c r="X27" s="146"/>
      <c r="Y27" s="53">
        <f>AVERAGE(H20,X20,L20)</f>
        <v>0.24296013452687415</v>
      </c>
      <c r="Z27" s="140"/>
      <c r="AA27" s="141"/>
      <c r="AB27" s="141"/>
      <c r="AC27" s="141"/>
    </row>
    <row r="28" spans="1:29" x14ac:dyDescent="0.2">
      <c r="U28" s="147" t="s">
        <v>28</v>
      </c>
      <c r="V28" s="148"/>
      <c r="W28" s="148"/>
      <c r="X28" s="148"/>
      <c r="Y28" s="54">
        <f>_xlfn.STDEV.S(X20,P20,L20,H20)</f>
        <v>1.0000040862991662E-2</v>
      </c>
      <c r="Z28" s="140"/>
      <c r="AA28" s="141"/>
      <c r="AB28" s="141"/>
      <c r="AC28" s="141"/>
    </row>
    <row r="29" spans="1:29" ht="18" customHeight="1" x14ac:dyDescent="0.2"/>
  </sheetData>
  <mergeCells count="28">
    <mergeCell ref="H25:I25"/>
    <mergeCell ref="Z27:AC27"/>
    <mergeCell ref="Z28:AC28"/>
    <mergeCell ref="U26:X26"/>
    <mergeCell ref="U27:X27"/>
    <mergeCell ref="U28:X28"/>
    <mergeCell ref="F12:G12"/>
    <mergeCell ref="U12:W12"/>
    <mergeCell ref="A1:C3"/>
    <mergeCell ref="F1:G1"/>
    <mergeCell ref="K1:L1"/>
    <mergeCell ref="K2:L2"/>
    <mergeCell ref="K3:L3"/>
    <mergeCell ref="K4:L4"/>
    <mergeCell ref="Z13:AC13"/>
    <mergeCell ref="K26:L26"/>
    <mergeCell ref="K27:L27"/>
    <mergeCell ref="H24:I24"/>
    <mergeCell ref="B13:E13"/>
    <mergeCell ref="F13:I13"/>
    <mergeCell ref="N13:Q13"/>
    <mergeCell ref="R13:U13"/>
    <mergeCell ref="V13:Y13"/>
    <mergeCell ref="H22:I22"/>
    <mergeCell ref="H23:I23"/>
    <mergeCell ref="J13:M13"/>
    <mergeCell ref="H26:I26"/>
    <mergeCell ref="H27:I27"/>
  </mergeCells>
  <conditionalFormatting sqref="J22:W22 Y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W23 Y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W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J25:W2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Y24:Y2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Y22:Y2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Y22:Y23 Y2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J24:W24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J25:W25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Y24:Y25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Y22:Y23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Y22:Y23 Y26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2"/>
  <sheetViews>
    <sheetView zoomScale="85" zoomScaleNormal="85" workbookViewId="0">
      <selection activeCell="J20" sqref="J6:J20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7.570312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51" t="s">
        <v>76</v>
      </c>
      <c r="B4" s="151"/>
      <c r="T4" s="82" t="s">
        <v>179</v>
      </c>
    </row>
    <row r="5" spans="1:21" x14ac:dyDescent="0.2">
      <c r="A5" s="18" t="s">
        <v>56</v>
      </c>
      <c r="B5" s="18" t="s">
        <v>57</v>
      </c>
      <c r="C5" s="18" t="s">
        <v>68</v>
      </c>
      <c r="D5" s="18" t="s">
        <v>58</v>
      </c>
      <c r="E5" s="18" t="s">
        <v>59</v>
      </c>
      <c r="F5" s="18" t="s">
        <v>69</v>
      </c>
      <c r="G5" s="18" t="s">
        <v>60</v>
      </c>
      <c r="H5" s="18" t="s">
        <v>61</v>
      </c>
      <c r="I5" s="18" t="s">
        <v>70</v>
      </c>
      <c r="J5" s="18" t="s">
        <v>62</v>
      </c>
      <c r="K5" s="18" t="s">
        <v>63</v>
      </c>
      <c r="L5" s="18" t="s">
        <v>73</v>
      </c>
      <c r="M5" s="18" t="s">
        <v>64</v>
      </c>
      <c r="N5" s="18" t="s">
        <v>65</v>
      </c>
      <c r="O5" s="18" t="s">
        <v>74</v>
      </c>
      <c r="P5" s="18" t="s">
        <v>66</v>
      </c>
      <c r="Q5" s="18" t="s">
        <v>67</v>
      </c>
      <c r="R5" s="163" t="s">
        <v>0</v>
      </c>
      <c r="S5" s="18" t="s">
        <v>72</v>
      </c>
      <c r="T5" s="39" t="s">
        <v>0</v>
      </c>
      <c r="U5" s="39" t="s">
        <v>72</v>
      </c>
    </row>
    <row r="6" spans="1:21" x14ac:dyDescent="0.2">
      <c r="A6" t="s">
        <v>181</v>
      </c>
      <c r="B6" t="s">
        <v>182</v>
      </c>
      <c r="C6" s="6" t="s">
        <v>42</v>
      </c>
      <c r="D6" s="6">
        <v>20180503</v>
      </c>
      <c r="E6" s="69">
        <v>22.235206000000002</v>
      </c>
      <c r="F6" s="69">
        <v>21.822875</v>
      </c>
      <c r="G6" s="69">
        <v>18.397376999999999</v>
      </c>
      <c r="H6" s="69">
        <v>19.883174</v>
      </c>
      <c r="I6" s="69">
        <v>20.741669000000002</v>
      </c>
      <c r="J6" s="69">
        <f>AVERAGE(E6:I6)</f>
        <v>20.6160602</v>
      </c>
      <c r="K6" s="69"/>
      <c r="L6" s="69"/>
      <c r="M6" s="69"/>
      <c r="N6" s="69"/>
      <c r="O6" s="69"/>
      <c r="P6" s="69"/>
      <c r="Q6" s="69"/>
      <c r="R6" s="6">
        <v>22.445070422535203</v>
      </c>
      <c r="S6" s="6">
        <v>19.2</v>
      </c>
      <c r="T6" s="10"/>
      <c r="U6" s="69"/>
    </row>
    <row r="7" spans="1:21" x14ac:dyDescent="0.2">
      <c r="A7" t="s">
        <v>181</v>
      </c>
      <c r="B7" t="s">
        <v>182</v>
      </c>
      <c r="C7" s="6" t="s">
        <v>43</v>
      </c>
      <c r="D7" s="6">
        <v>20180726</v>
      </c>
      <c r="E7" s="69">
        <v>23.657686000000002</v>
      </c>
      <c r="F7" s="69">
        <v>24.572475000000001</v>
      </c>
      <c r="G7" s="69">
        <v>21.993869</v>
      </c>
      <c r="H7" s="69">
        <v>19.700324999999999</v>
      </c>
      <c r="I7" s="69">
        <v>20.820076</v>
      </c>
      <c r="J7" s="69">
        <f>AVERAGE(E7:I7)</f>
        <v>22.1488862</v>
      </c>
      <c r="K7" s="69">
        <f>(E7/E6)*$S6</f>
        <v>20.428305058203645</v>
      </c>
      <c r="L7" s="69">
        <f t="shared" ref="L7:P7" si="0">(F7/F6)*$S6</f>
        <v>21.619127635565892</v>
      </c>
      <c r="M7" s="69">
        <f t="shared" si="0"/>
        <v>22.953396280350184</v>
      </c>
      <c r="N7" s="69">
        <f t="shared" si="0"/>
        <v>19.023433582585955</v>
      </c>
      <c r="O7" s="69">
        <f t="shared" si="0"/>
        <v>19.27257923169056</v>
      </c>
      <c r="P7" s="69">
        <f t="shared" si="0"/>
        <v>20.6275404182221</v>
      </c>
      <c r="Q7" s="69">
        <f>AVERAGE(K7:P7)</f>
        <v>20.654063701103052</v>
      </c>
      <c r="R7" s="6">
        <v>20.455636363636359</v>
      </c>
      <c r="S7" s="6">
        <v>20.399999999999999</v>
      </c>
      <c r="T7" s="10"/>
      <c r="U7" s="69"/>
    </row>
    <row r="8" spans="1:21" x14ac:dyDescent="0.2">
      <c r="A8" t="s">
        <v>181</v>
      </c>
      <c r="B8" t="s">
        <v>182</v>
      </c>
      <c r="C8" s="6" t="s">
        <v>44</v>
      </c>
      <c r="D8" s="6">
        <v>20181101</v>
      </c>
      <c r="E8" s="69">
        <v>22.547160000000002</v>
      </c>
      <c r="F8" s="69">
        <v>21.941559000000002</v>
      </c>
      <c r="G8" s="69">
        <v>22.966248</v>
      </c>
      <c r="H8" s="69">
        <v>22.480664999999998</v>
      </c>
      <c r="I8" s="69">
        <v>21.796997000000001</v>
      </c>
      <c r="J8" s="69">
        <f>AVERAGE(E8:I8)</f>
        <v>22.346525800000002</v>
      </c>
      <c r="K8" s="69">
        <f t="shared" ref="K8:K20" si="1">(E8/E7)*$S7</f>
        <v>19.442394492851076</v>
      </c>
      <c r="L8" s="69">
        <f t="shared" ref="L8:L20" si="2">(F8/F7)*$S7</f>
        <v>18.215820897162374</v>
      </c>
      <c r="M8" s="69">
        <f t="shared" ref="M8:M20" si="3">(G8/G7)*$S7</f>
        <v>21.301911873713536</v>
      </c>
      <c r="N8" s="69">
        <f t="shared" ref="N8:N20" si="4">(H8/H7)*$S7</f>
        <v>23.279086309489816</v>
      </c>
      <c r="O8" s="69">
        <f t="shared" ref="O8:O20" si="5">(I8/I7)*$S7</f>
        <v>21.35721016580343</v>
      </c>
      <c r="P8" s="69">
        <f t="shared" ref="P8:P20" si="6">(J8/J7)*$S7</f>
        <v>20.582033886652056</v>
      </c>
      <c r="Q8" s="69">
        <f t="shared" ref="Q8:Q20" si="7">AVERAGE(K8:P8)</f>
        <v>20.696409604278713</v>
      </c>
      <c r="R8" s="6">
        <v>21.840000000000011</v>
      </c>
      <c r="S8" s="6">
        <v>21</v>
      </c>
      <c r="T8" s="10"/>
      <c r="U8" s="69"/>
    </row>
    <row r="9" spans="1:21" x14ac:dyDescent="0.2">
      <c r="A9" t="s">
        <v>181</v>
      </c>
      <c r="B9" t="s">
        <v>182</v>
      </c>
      <c r="C9" s="6" t="s">
        <v>45</v>
      </c>
      <c r="D9" s="6">
        <v>20190228</v>
      </c>
      <c r="E9" s="69">
        <v>21.976700999999998</v>
      </c>
      <c r="F9" s="69">
        <v>21.575505</v>
      </c>
      <c r="G9" s="69">
        <v>22.18075</v>
      </c>
      <c r="H9" s="69">
        <v>20.435506</v>
      </c>
      <c r="I9" s="69">
        <v>20.416315000000001</v>
      </c>
      <c r="J9" s="69">
        <f>AVERAGE(E9:I9)</f>
        <v>21.316955400000001</v>
      </c>
      <c r="K9" s="69">
        <f t="shared" si="1"/>
        <v>20.468685235745873</v>
      </c>
      <c r="L9" s="69">
        <f t="shared" si="2"/>
        <v>20.649654156297643</v>
      </c>
      <c r="M9" s="69">
        <f t="shared" si="3"/>
        <v>20.281752160823135</v>
      </c>
      <c r="N9" s="69">
        <f t="shared" si="4"/>
        <v>19.08954321413535</v>
      </c>
      <c r="O9" s="69">
        <f t="shared" si="5"/>
        <v>19.669801991531216</v>
      </c>
      <c r="P9" s="69">
        <f t="shared" si="6"/>
        <v>20.032468017914443</v>
      </c>
      <c r="Q9" s="69">
        <f t="shared" si="7"/>
        <v>20.031984129407942</v>
      </c>
      <c r="R9" s="6">
        <v>20.65304347826088</v>
      </c>
      <c r="S9" s="6">
        <v>23.1</v>
      </c>
      <c r="T9" s="10"/>
      <c r="U9" s="69"/>
    </row>
    <row r="10" spans="1:21" x14ac:dyDescent="0.2">
      <c r="A10" t="s">
        <v>181</v>
      </c>
      <c r="B10" t="s">
        <v>182</v>
      </c>
      <c r="C10" s="6" t="s">
        <v>46</v>
      </c>
      <c r="D10" s="6">
        <v>20190502</v>
      </c>
      <c r="E10" s="69">
        <v>23.560617000000001</v>
      </c>
      <c r="F10" s="69">
        <v>23.103145999999999</v>
      </c>
      <c r="G10" s="69">
        <v>25.432397999999999</v>
      </c>
      <c r="H10" s="69">
        <v>24.269053</v>
      </c>
      <c r="I10" s="69">
        <v>23.791079</v>
      </c>
      <c r="J10" s="69">
        <f>AVERAGE(E10:I10)</f>
        <v>24.031258599999997</v>
      </c>
      <c r="K10" s="69">
        <f t="shared" si="1"/>
        <v>24.764874978278137</v>
      </c>
      <c r="L10" s="69">
        <f t="shared" si="2"/>
        <v>24.735581975949113</v>
      </c>
      <c r="M10" s="69">
        <f t="shared" si="3"/>
        <v>26.486407979892476</v>
      </c>
      <c r="N10" s="69">
        <f t="shared" si="4"/>
        <v>27.433386004731179</v>
      </c>
      <c r="O10" s="69">
        <f t="shared" si="5"/>
        <v>26.918370180906791</v>
      </c>
      <c r="P10" s="69">
        <f t="shared" si="6"/>
        <v>26.04133954607795</v>
      </c>
      <c r="Q10" s="69">
        <f t="shared" si="7"/>
        <v>26.063326777639276</v>
      </c>
      <c r="R10" s="6">
        <v>22.439024390243901</v>
      </c>
      <c r="S10" s="6">
        <v>23</v>
      </c>
      <c r="T10" s="10"/>
      <c r="U10" s="69"/>
    </row>
    <row r="11" spans="1:21" x14ac:dyDescent="0.2">
      <c r="A11" t="s">
        <v>181</v>
      </c>
      <c r="B11" t="s">
        <v>182</v>
      </c>
      <c r="C11" s="6" t="s">
        <v>47</v>
      </c>
      <c r="D11" s="6">
        <v>20190718</v>
      </c>
      <c r="E11" s="69">
        <v>26.959119999999999</v>
      </c>
      <c r="F11" s="69">
        <v>26.145495</v>
      </c>
      <c r="G11" s="69">
        <v>22.489062000000001</v>
      </c>
      <c r="H11" s="69">
        <v>24.404223999999999</v>
      </c>
      <c r="I11" s="69">
        <v>25.963528</v>
      </c>
      <c r="J11" s="69">
        <f t="shared" ref="J11:J18" si="8">AVERAGE(E11:I11)</f>
        <v>25.192285800000001</v>
      </c>
      <c r="K11" s="69">
        <f t="shared" si="1"/>
        <v>26.317636757984733</v>
      </c>
      <c r="L11" s="69">
        <f t="shared" si="2"/>
        <v>26.028766168901846</v>
      </c>
      <c r="M11" s="69">
        <f t="shared" si="3"/>
        <v>20.338169684195726</v>
      </c>
      <c r="N11" s="69">
        <f t="shared" si="4"/>
        <v>23.128102773519839</v>
      </c>
      <c r="O11" s="69">
        <f t="shared" si="5"/>
        <v>25.100212730998877</v>
      </c>
      <c r="P11" s="69">
        <f t="shared" si="6"/>
        <v>24.111203788552299</v>
      </c>
      <c r="Q11" s="69">
        <f t="shared" si="7"/>
        <v>24.170681984025553</v>
      </c>
      <c r="R11" s="6">
        <v>24.2548351648352</v>
      </c>
      <c r="S11" s="6">
        <v>26.1</v>
      </c>
      <c r="T11" s="10"/>
      <c r="U11" s="69"/>
    </row>
    <row r="12" spans="1:21" x14ac:dyDescent="0.2">
      <c r="A12" t="s">
        <v>181</v>
      </c>
      <c r="B12" t="s">
        <v>182</v>
      </c>
      <c r="C12" s="6" t="s">
        <v>48</v>
      </c>
      <c r="D12" s="6">
        <v>20191024</v>
      </c>
      <c r="E12" s="69">
        <v>28.415664</v>
      </c>
      <c r="F12" s="69">
        <v>28.67314</v>
      </c>
      <c r="G12" s="69">
        <v>23.698535</v>
      </c>
      <c r="H12" s="69">
        <v>26.630772</v>
      </c>
      <c r="I12" s="69">
        <v>27.317391000000001</v>
      </c>
      <c r="J12" s="69">
        <f>AVERAGE(E12:I12)</f>
        <v>26.9471004</v>
      </c>
      <c r="K12" s="69">
        <f t="shared" si="1"/>
        <v>27.510127570929615</v>
      </c>
      <c r="L12" s="69">
        <f t="shared" si="2"/>
        <v>28.623246719941619</v>
      </c>
      <c r="M12" s="69">
        <f t="shared" si="3"/>
        <v>27.503671051287064</v>
      </c>
      <c r="N12" s="69">
        <f t="shared" si="4"/>
        <v>28.481264112311052</v>
      </c>
      <c r="O12" s="69">
        <f t="shared" si="5"/>
        <v>27.460979305277775</v>
      </c>
      <c r="P12" s="69">
        <f t="shared" si="6"/>
        <v>27.918043087618511</v>
      </c>
      <c r="Q12" s="69">
        <f t="shared" si="7"/>
        <v>27.916221974560941</v>
      </c>
      <c r="R12" s="6">
        <v>25.8</v>
      </c>
      <c r="S12" s="6">
        <v>28.1</v>
      </c>
      <c r="T12" s="10"/>
      <c r="U12" s="69"/>
    </row>
    <row r="13" spans="1:21" x14ac:dyDescent="0.2">
      <c r="A13" t="s">
        <v>181</v>
      </c>
      <c r="B13" t="s">
        <v>182</v>
      </c>
      <c r="C13" s="6" t="s">
        <v>49</v>
      </c>
      <c r="D13" s="6">
        <v>20200227</v>
      </c>
      <c r="E13" s="69">
        <v>28.824083000000002</v>
      </c>
      <c r="F13" s="69">
        <v>29.496783000000001</v>
      </c>
      <c r="G13" s="69">
        <v>30.138224000000001</v>
      </c>
      <c r="H13" s="69">
        <v>28.812611</v>
      </c>
      <c r="I13" s="69">
        <v>28.090233999999999</v>
      </c>
      <c r="J13" s="69">
        <f>AVERAGE(E13:I13)</f>
        <v>29.072387000000003</v>
      </c>
      <c r="K13" s="69">
        <f t="shared" si="1"/>
        <v>28.503881953981438</v>
      </c>
      <c r="L13" s="69">
        <f t="shared" si="2"/>
        <v>28.907179412509411</v>
      </c>
      <c r="M13" s="69">
        <f t="shared" si="3"/>
        <v>35.735715072682765</v>
      </c>
      <c r="N13" s="69">
        <f t="shared" si="4"/>
        <v>30.402211738360421</v>
      </c>
      <c r="O13" s="69">
        <f t="shared" si="5"/>
        <v>28.894983982914034</v>
      </c>
      <c r="P13" s="69">
        <f t="shared" si="6"/>
        <v>30.316214456231442</v>
      </c>
      <c r="Q13" s="69">
        <f t="shared" si="7"/>
        <v>30.460031102779919</v>
      </c>
      <c r="R13" s="6">
        <v>29.4</v>
      </c>
      <c r="S13" s="6">
        <v>31.1</v>
      </c>
      <c r="T13" s="10"/>
      <c r="U13" s="69"/>
    </row>
    <row r="14" spans="1:21" x14ac:dyDescent="0.2">
      <c r="A14" t="s">
        <v>181</v>
      </c>
      <c r="B14" t="s">
        <v>182</v>
      </c>
      <c r="C14" s="6" t="s">
        <v>50</v>
      </c>
      <c r="D14" s="6">
        <v>20200507</v>
      </c>
      <c r="E14" s="69">
        <v>33.681010000000001</v>
      </c>
      <c r="F14" s="69">
        <v>34.768987000000003</v>
      </c>
      <c r="G14" s="69">
        <v>22.548577000000002</v>
      </c>
      <c r="H14" s="69">
        <v>27.677301</v>
      </c>
      <c r="I14" s="69">
        <v>26.557033000000001</v>
      </c>
      <c r="J14" s="69">
        <f>AVERAGE(E14:I14)</f>
        <v>29.046581599999996</v>
      </c>
      <c r="K14" s="69">
        <f t="shared" si="1"/>
        <v>36.340424463806876</v>
      </c>
      <c r="L14" s="69">
        <f t="shared" si="2"/>
        <v>36.658760234972071</v>
      </c>
      <c r="M14" s="69">
        <f t="shared" si="3"/>
        <v>23.268150926876121</v>
      </c>
      <c r="N14" s="69">
        <f t="shared" si="4"/>
        <v>29.874559480222047</v>
      </c>
      <c r="O14" s="69">
        <f t="shared" si="5"/>
        <v>29.402522111421362</v>
      </c>
      <c r="P14" s="69">
        <f t="shared" si="6"/>
        <v>31.072394838442399</v>
      </c>
      <c r="Q14" s="69">
        <f t="shared" si="7"/>
        <v>31.102802009290144</v>
      </c>
      <c r="R14" s="6">
        <v>28.9</v>
      </c>
      <c r="S14" s="6">
        <v>29.1</v>
      </c>
      <c r="T14" s="10"/>
      <c r="U14" s="69"/>
    </row>
    <row r="15" spans="1:21" x14ac:dyDescent="0.2">
      <c r="A15" t="s">
        <v>181</v>
      </c>
      <c r="B15" t="s">
        <v>182</v>
      </c>
      <c r="C15" s="6" t="s">
        <v>51</v>
      </c>
      <c r="D15" s="6">
        <v>20200730</v>
      </c>
      <c r="E15" s="69">
        <v>28.738979</v>
      </c>
      <c r="F15" s="69">
        <v>28.960578999999999</v>
      </c>
      <c r="G15" s="69">
        <v>23.325109999999999</v>
      </c>
      <c r="H15" s="69">
        <v>28.277681999999999</v>
      </c>
      <c r="I15" s="69">
        <v>25.230454000000002</v>
      </c>
      <c r="J15" s="69">
        <f>AVERAGE(E15:I15)</f>
        <v>26.906560800000001</v>
      </c>
      <c r="K15" s="69">
        <f t="shared" si="1"/>
        <v>24.830142828258417</v>
      </c>
      <c r="L15" s="69">
        <f t="shared" si="2"/>
        <v>24.238636831725927</v>
      </c>
      <c r="M15" s="69">
        <f t="shared" si="3"/>
        <v>30.102152388596405</v>
      </c>
      <c r="N15" s="69">
        <f t="shared" si="4"/>
        <v>29.731242443040237</v>
      </c>
      <c r="O15" s="69">
        <f t="shared" si="5"/>
        <v>27.646394512519532</v>
      </c>
      <c r="P15" s="69">
        <f t="shared" si="6"/>
        <v>26.956043573815933</v>
      </c>
      <c r="Q15" s="69">
        <f t="shared" si="7"/>
        <v>27.250768762992738</v>
      </c>
      <c r="R15" s="6">
        <v>15.7</v>
      </c>
      <c r="S15" s="6">
        <v>28.8</v>
      </c>
      <c r="T15" s="10"/>
      <c r="U15" s="69"/>
    </row>
    <row r="16" spans="1:21" x14ac:dyDescent="0.2">
      <c r="A16" t="s">
        <v>181</v>
      </c>
      <c r="B16" t="s">
        <v>182</v>
      </c>
      <c r="C16" s="6" t="s">
        <v>52</v>
      </c>
      <c r="D16" s="6">
        <v>20201029</v>
      </c>
      <c r="E16" s="69">
        <v>35.841670999999998</v>
      </c>
      <c r="F16" s="69">
        <v>35.249485999999997</v>
      </c>
      <c r="G16" s="69">
        <v>34.965685000000001</v>
      </c>
      <c r="H16" s="69">
        <v>34.52655</v>
      </c>
      <c r="I16" s="69">
        <v>30.353421999999998</v>
      </c>
      <c r="J16" s="69">
        <f>AVERAGE(E16:I16)</f>
        <v>34.187362800000002</v>
      </c>
      <c r="K16" s="69">
        <f t="shared" si="1"/>
        <v>35.917773028749558</v>
      </c>
      <c r="L16" s="69">
        <f t="shared" si="2"/>
        <v>35.054036619917028</v>
      </c>
      <c r="M16" s="69">
        <f t="shared" si="3"/>
        <v>43.172860835382984</v>
      </c>
      <c r="N16" s="69">
        <f t="shared" si="4"/>
        <v>35.164291047618399</v>
      </c>
      <c r="O16" s="69">
        <f t="shared" si="5"/>
        <v>34.647753607604521</v>
      </c>
      <c r="P16" s="69">
        <f t="shared" si="6"/>
        <v>36.593158670802701</v>
      </c>
      <c r="Q16" s="69">
        <f t="shared" si="7"/>
        <v>36.758312301679197</v>
      </c>
      <c r="R16" s="6">
        <v>37.5</v>
      </c>
      <c r="S16" s="6">
        <v>40.1</v>
      </c>
      <c r="T16" s="10"/>
      <c r="U16" s="69"/>
    </row>
    <row r="17" spans="1:19" x14ac:dyDescent="0.2">
      <c r="A17" t="s">
        <v>181</v>
      </c>
      <c r="B17" t="s">
        <v>182</v>
      </c>
      <c r="C17" s="6" t="s">
        <v>53</v>
      </c>
      <c r="D17" s="6">
        <v>20210225</v>
      </c>
      <c r="E17" s="69">
        <v>47.620229000000002</v>
      </c>
      <c r="F17" s="69">
        <v>46.098776999999998</v>
      </c>
      <c r="G17" s="69">
        <v>51.120092999999997</v>
      </c>
      <c r="H17" s="69">
        <v>43.477798</v>
      </c>
      <c r="I17" s="69">
        <v>34.500373000000003</v>
      </c>
      <c r="J17" s="69">
        <f>AVERAGE(E17:I17)</f>
        <v>44.563454</v>
      </c>
      <c r="K17" s="69">
        <f t="shared" si="1"/>
        <v>53.277961925938115</v>
      </c>
      <c r="L17" s="69">
        <f t="shared" si="2"/>
        <v>52.442210297761513</v>
      </c>
      <c r="M17" s="69">
        <f t="shared" si="3"/>
        <v>58.626499932719753</v>
      </c>
      <c r="N17" s="69">
        <f t="shared" si="4"/>
        <v>50.496203640386895</v>
      </c>
      <c r="O17" s="69">
        <f t="shared" si="5"/>
        <v>45.578549835336531</v>
      </c>
      <c r="P17" s="69">
        <f t="shared" si="6"/>
        <v>52.270615778529724</v>
      </c>
      <c r="Q17" s="69">
        <f t="shared" si="7"/>
        <v>52.115340235112086</v>
      </c>
      <c r="R17" s="6">
        <v>43.1</v>
      </c>
      <c r="S17" s="6">
        <v>43.1</v>
      </c>
    </row>
    <row r="18" spans="1:19" x14ac:dyDescent="0.2">
      <c r="A18" t="s">
        <v>181</v>
      </c>
      <c r="B18" t="s">
        <v>182</v>
      </c>
      <c r="C18" s="6" t="s">
        <v>54</v>
      </c>
      <c r="D18" s="6">
        <v>20210429</v>
      </c>
      <c r="E18" s="69">
        <v>52.086210000000001</v>
      </c>
      <c r="F18" s="69">
        <v>51.935482999999998</v>
      </c>
      <c r="G18" s="69">
        <v>54.278393000000001</v>
      </c>
      <c r="H18" s="69">
        <v>53.184030999999997</v>
      </c>
      <c r="I18" s="69">
        <v>44.699823000000002</v>
      </c>
      <c r="J18" s="69">
        <f t="shared" si="8"/>
        <v>51.236788000000004</v>
      </c>
      <c r="K18" s="69">
        <f t="shared" si="1"/>
        <v>47.142059123655208</v>
      </c>
      <c r="L18" s="69">
        <f t="shared" si="2"/>
        <v>48.557021747019455</v>
      </c>
      <c r="M18" s="69">
        <f t="shared" si="3"/>
        <v>45.762802863054269</v>
      </c>
      <c r="N18" s="69">
        <f t="shared" si="4"/>
        <v>52.721891207553796</v>
      </c>
      <c r="O18" s="69">
        <f t="shared" si="5"/>
        <v>55.841783835206648</v>
      </c>
      <c r="P18" s="69">
        <f t="shared" si="6"/>
        <v>49.554183183377127</v>
      </c>
      <c r="Q18" s="69">
        <f t="shared" si="7"/>
        <v>49.929956993311087</v>
      </c>
      <c r="R18" s="6">
        <v>38.9</v>
      </c>
      <c r="S18" s="6">
        <v>43.7</v>
      </c>
    </row>
    <row r="19" spans="1:19" x14ac:dyDescent="0.2">
      <c r="A19" t="s">
        <v>181</v>
      </c>
      <c r="B19" t="s">
        <v>182</v>
      </c>
      <c r="C19" s="6" t="s">
        <v>55</v>
      </c>
      <c r="D19" s="6">
        <v>20210729</v>
      </c>
      <c r="E19" s="69">
        <v>53.49633</v>
      </c>
      <c r="F19" s="69">
        <v>51.388145999999999</v>
      </c>
      <c r="G19" s="69">
        <v>55.215497999999997</v>
      </c>
      <c r="H19" s="69">
        <v>50.865003000000002</v>
      </c>
      <c r="I19" s="69">
        <v>41.397294000000002</v>
      </c>
      <c r="J19" s="69">
        <f>AVERAGE(E19:I19)</f>
        <v>50.472454200000001</v>
      </c>
      <c r="K19" s="69">
        <f t="shared" si="1"/>
        <v>44.88308174082929</v>
      </c>
      <c r="L19" s="69">
        <f t="shared" si="2"/>
        <v>43.239455002276578</v>
      </c>
      <c r="M19" s="69">
        <f t="shared" si="3"/>
        <v>44.454471277364455</v>
      </c>
      <c r="N19" s="69">
        <f t="shared" si="4"/>
        <v>41.79451217415243</v>
      </c>
      <c r="O19" s="69">
        <f t="shared" si="5"/>
        <v>40.47134029591124</v>
      </c>
      <c r="P19" s="69">
        <f t="shared" si="6"/>
        <v>43.048097561072723</v>
      </c>
      <c r="Q19" s="69">
        <f t="shared" si="7"/>
        <v>42.981826341934458</v>
      </c>
      <c r="R19" s="6">
        <v>45.2</v>
      </c>
      <c r="S19" s="6">
        <v>61.9</v>
      </c>
    </row>
    <row r="20" spans="1:19" x14ac:dyDescent="0.2">
      <c r="A20" t="s">
        <v>181</v>
      </c>
      <c r="B20" t="s">
        <v>182</v>
      </c>
      <c r="C20" s="13" t="s">
        <v>71</v>
      </c>
      <c r="D20" s="13">
        <v>20211007</v>
      </c>
      <c r="E20">
        <v>46.709190999999997</v>
      </c>
      <c r="F20">
        <v>42.821072999999998</v>
      </c>
      <c r="G20">
        <v>45.540104999999997</v>
      </c>
      <c r="H20">
        <v>49.053676000000003</v>
      </c>
      <c r="I20">
        <v>37.585245</v>
      </c>
      <c r="J20" s="69">
        <f>AVERAGE(E20:I20)</f>
        <v>44.341857999999988</v>
      </c>
      <c r="K20" s="69">
        <f t="shared" si="1"/>
        <v>54.046678022585844</v>
      </c>
      <c r="L20" s="69">
        <f t="shared" si="2"/>
        <v>51.580464076287164</v>
      </c>
      <c r="M20" s="69">
        <f t="shared" si="3"/>
        <v>51.053283980160785</v>
      </c>
      <c r="N20" s="69">
        <f t="shared" si="4"/>
        <v>59.695711497353102</v>
      </c>
      <c r="O20" s="69">
        <f t="shared" si="5"/>
        <v>56.19996962844963</v>
      </c>
      <c r="P20" s="69">
        <f t="shared" si="6"/>
        <v>54.381366107614376</v>
      </c>
      <c r="Q20" s="69">
        <f t="shared" si="7"/>
        <v>54.492912218741822</v>
      </c>
      <c r="R20" s="13">
        <f>'1. Data &amp; Confidence Interval'!X16</f>
        <v>52.2</v>
      </c>
      <c r="S20" s="11"/>
    </row>
    <row r="21" spans="1:19" x14ac:dyDescent="0.2">
      <c r="A21" s="149" t="s">
        <v>75</v>
      </c>
      <c r="B21" s="150"/>
      <c r="C21" s="150"/>
      <c r="D21" s="150"/>
      <c r="E21" s="74">
        <f>CORREL(E$6:E$19,$S$6:$S$19)</f>
        <v>0.93862042883339925</v>
      </c>
      <c r="F21" s="74">
        <f>CORREL(F$6:F$19,$S$6:$S$19)</f>
        <v>0.92514908731051038</v>
      </c>
      <c r="G21" s="74">
        <f>CORREL(G$6:G$19,$S$6:$S$19)</f>
        <v>0.91515377921336494</v>
      </c>
      <c r="H21" s="74">
        <f>CORREL(H$6:H$19,$S$6:$S$19)</f>
        <v>0.92955298154014621</v>
      </c>
      <c r="I21" s="74">
        <f>CORREL(I$6:I$19,$S$6:$S$19)</f>
        <v>0.90757030278014827</v>
      </c>
      <c r="J21" s="75">
        <f>CORREL(J$6:J$19,$S$6:$S$19)</f>
        <v>0.93547126858882867</v>
      </c>
      <c r="K21" s="74">
        <f>CORREL(K$6:K$19,$S$6:$S$19)</f>
        <v>0.84385937161650293</v>
      </c>
      <c r="L21" s="74">
        <f>CORREL(L$6:L$19,$S$6:$S$19)</f>
        <v>0.81933948166244708</v>
      </c>
      <c r="M21" s="74">
        <f>CORREL(M$6:M$19,$S$6:$S$19)</f>
        <v>0.8066810146544654</v>
      </c>
      <c r="N21" s="76">
        <f>CORREL(N$6:N$19,$S$6:$S$19)</f>
        <v>0.8069706379903</v>
      </c>
      <c r="O21" s="74">
        <f>CORREL(O$6:O$19,$S$6:$S$19)</f>
        <v>0.79148233800201884</v>
      </c>
      <c r="P21" s="76">
        <f>CORREL(P$6:P$19,$S$6:$S$19)</f>
        <v>0.84032115687041753</v>
      </c>
      <c r="Q21" s="76">
        <f>CORREL(Q$6:Q$19,$S$6:$S$19)</f>
        <v>0.83924040982945791</v>
      </c>
      <c r="R21" s="75">
        <f>CORREL(R$6:R$19,$S$6:$S$19)</f>
        <v>0.90028713330450294</v>
      </c>
      <c r="S21" s="5"/>
    </row>
    <row r="23" spans="1:19" x14ac:dyDescent="0.2">
      <c r="A23" s="152" t="s">
        <v>77</v>
      </c>
      <c r="B23" s="153"/>
    </row>
    <row r="24" spans="1:19" x14ac:dyDescent="0.2">
      <c r="A24" s="18" t="s">
        <v>56</v>
      </c>
      <c r="B24" s="18" t="s">
        <v>57</v>
      </c>
      <c r="C24" s="18" t="s">
        <v>68</v>
      </c>
      <c r="D24" s="18" t="s">
        <v>58</v>
      </c>
      <c r="E24" s="18" t="s">
        <v>59</v>
      </c>
      <c r="F24" s="18" t="s">
        <v>69</v>
      </c>
      <c r="G24" s="18" t="s">
        <v>60</v>
      </c>
      <c r="H24" s="18" t="s">
        <v>61</v>
      </c>
      <c r="I24" s="18" t="s">
        <v>70</v>
      </c>
      <c r="J24" s="18" t="s">
        <v>62</v>
      </c>
      <c r="K24" s="18" t="s">
        <v>63</v>
      </c>
      <c r="L24" s="18" t="s">
        <v>73</v>
      </c>
      <c r="M24" s="18" t="s">
        <v>64</v>
      </c>
      <c r="N24" s="18" t="s">
        <v>65</v>
      </c>
      <c r="O24" s="18" t="s">
        <v>74</v>
      </c>
      <c r="P24" s="18" t="s">
        <v>66</v>
      </c>
      <c r="Q24" s="18" t="s">
        <v>67</v>
      </c>
      <c r="R24" s="18" t="s">
        <v>0</v>
      </c>
    </row>
    <row r="25" spans="1:19" x14ac:dyDescent="0.2">
      <c r="A25" s="10" t="str">
        <f t="shared" ref="A25:D25" si="9">A6</f>
        <v>ATEC</v>
      </c>
      <c r="B25" s="10" t="str">
        <f t="shared" si="9"/>
        <v>US Revenue</v>
      </c>
      <c r="C25" s="10" t="str">
        <f t="shared" si="9"/>
        <v>2018Q1</v>
      </c>
      <c r="D25" s="10">
        <f t="shared" si="9"/>
        <v>20180503</v>
      </c>
      <c r="E25" s="19">
        <f t="shared" ref="E25:J25" si="10">$S6/E6-1</f>
        <v>-0.13650451450730894</v>
      </c>
      <c r="F25" s="19">
        <f t="shared" si="10"/>
        <v>-0.12018925095799704</v>
      </c>
      <c r="G25" s="19">
        <f t="shared" si="10"/>
        <v>4.3627034440833601E-2</v>
      </c>
      <c r="H25" s="19">
        <f t="shared" si="10"/>
        <v>-3.4359403584156234E-2</v>
      </c>
      <c r="I25" s="19">
        <f t="shared" si="10"/>
        <v>-7.4327143105022198E-2</v>
      </c>
      <c r="J25" s="19">
        <f t="shared" si="10"/>
        <v>-6.8687236371186011E-2</v>
      </c>
      <c r="K25" s="19"/>
      <c r="L25" s="19"/>
      <c r="M25" s="19"/>
      <c r="N25" s="19"/>
      <c r="O25" s="19"/>
      <c r="P25" s="19"/>
      <c r="Q25" s="19"/>
      <c r="R25" s="46">
        <f t="shared" ref="R25:R33" si="11">$S6/R6-1</f>
        <v>-0.14457831325301174</v>
      </c>
    </row>
    <row r="26" spans="1:19" x14ac:dyDescent="0.2">
      <c r="A26" s="10" t="str">
        <f t="shared" ref="A26:D26" si="12">A7</f>
        <v>ATEC</v>
      </c>
      <c r="B26" s="10" t="str">
        <f t="shared" si="12"/>
        <v>US Revenue</v>
      </c>
      <c r="C26" s="10" t="str">
        <f t="shared" si="12"/>
        <v>2018Q2</v>
      </c>
      <c r="D26" s="10">
        <f t="shared" si="12"/>
        <v>20180726</v>
      </c>
      <c r="E26" s="19">
        <f t="shared" ref="E26:J26" si="13">$S7/E7-1</f>
        <v>-0.13770095688986672</v>
      </c>
      <c r="F26" s="19">
        <f t="shared" si="13"/>
        <v>-0.16980279764248418</v>
      </c>
      <c r="G26" s="19">
        <f t="shared" si="13"/>
        <v>-7.2468786642313932E-2</v>
      </c>
      <c r="H26" s="19">
        <f t="shared" si="13"/>
        <v>3.5515911539530487E-2</v>
      </c>
      <c r="I26" s="19">
        <f t="shared" si="13"/>
        <v>-2.0176487348076977E-2</v>
      </c>
      <c r="J26" s="19">
        <f t="shared" si="13"/>
        <v>-7.8960458065832739E-2</v>
      </c>
      <c r="K26" s="19">
        <f t="shared" ref="K26:Q26" si="14">$S7/K7-1</f>
        <v>-1.3855803564221114E-3</v>
      </c>
      <c r="L26" s="19">
        <f t="shared" si="14"/>
        <v>-5.6391157687616045E-2</v>
      </c>
      <c r="M26" s="19">
        <f t="shared" si="14"/>
        <v>-0.111242634822459</v>
      </c>
      <c r="N26" s="19">
        <f t="shared" si="14"/>
        <v>7.236161713068201E-2</v>
      </c>
      <c r="O26" s="19">
        <f t="shared" si="14"/>
        <v>5.8498696762682378E-2</v>
      </c>
      <c r="P26" s="19">
        <f t="shared" si="14"/>
        <v>-1.1030904005457476E-2</v>
      </c>
      <c r="Q26" s="19">
        <f t="shared" si="14"/>
        <v>-1.2300906241975218E-2</v>
      </c>
      <c r="R26" s="46">
        <f t="shared" si="11"/>
        <v>-2.7198549410696327E-3</v>
      </c>
    </row>
    <row r="27" spans="1:19" x14ac:dyDescent="0.2">
      <c r="A27" s="10" t="str">
        <f t="shared" ref="A27:D27" si="15">A8</f>
        <v>ATEC</v>
      </c>
      <c r="B27" s="10" t="str">
        <f t="shared" si="15"/>
        <v>US Revenue</v>
      </c>
      <c r="C27" s="10" t="str">
        <f t="shared" si="15"/>
        <v>2018Q3</v>
      </c>
      <c r="D27" s="10">
        <f t="shared" si="15"/>
        <v>20181101</v>
      </c>
      <c r="E27" s="19">
        <f t="shared" ref="E27:J27" si="16">$S8/E8-1</f>
        <v>-6.8618841574726086E-2</v>
      </c>
      <c r="F27" s="19">
        <f t="shared" si="16"/>
        <v>-4.291212853197901E-2</v>
      </c>
      <c r="G27" s="19">
        <f t="shared" si="16"/>
        <v>-8.561468116167692E-2</v>
      </c>
      <c r="H27" s="19">
        <f t="shared" si="16"/>
        <v>-6.5863932405914039E-2</v>
      </c>
      <c r="I27" s="19">
        <f t="shared" si="16"/>
        <v>-3.6564532261026628E-2</v>
      </c>
      <c r="J27" s="19">
        <f t="shared" si="16"/>
        <v>-6.0256605973175614E-2</v>
      </c>
      <c r="K27" s="19">
        <f t="shared" ref="K27:Q27" si="17">$S8/K8-1</f>
        <v>8.0113872173597445E-2</v>
      </c>
      <c r="L27" s="19">
        <f t="shared" si="17"/>
        <v>0.15284400953191968</v>
      </c>
      <c r="M27" s="19">
        <f t="shared" si="17"/>
        <v>-1.4172994213073165E-2</v>
      </c>
      <c r="N27" s="19">
        <f t="shared" si="17"/>
        <v>-9.7902738930124467E-2</v>
      </c>
      <c r="O27" s="19">
        <f t="shared" si="17"/>
        <v>-1.6725506891128727E-2</v>
      </c>
      <c r="P27" s="19">
        <f t="shared" si="17"/>
        <v>2.0307328014798731E-2</v>
      </c>
      <c r="Q27" s="19">
        <f t="shared" si="17"/>
        <v>1.4668746972350322E-2</v>
      </c>
      <c r="R27" s="46">
        <f t="shared" si="11"/>
        <v>-3.846153846153888E-2</v>
      </c>
    </row>
    <row r="28" spans="1:19" x14ac:dyDescent="0.2">
      <c r="A28" s="10" t="str">
        <f t="shared" ref="A28:D28" si="18">A9</f>
        <v>ATEC</v>
      </c>
      <c r="B28" s="10" t="str">
        <f t="shared" si="18"/>
        <v>US Revenue</v>
      </c>
      <c r="C28" s="10" t="str">
        <f t="shared" si="18"/>
        <v>2018Q4</v>
      </c>
      <c r="D28" s="10">
        <f t="shared" si="18"/>
        <v>20190228</v>
      </c>
      <c r="E28" s="19">
        <f t="shared" ref="E28:J28" si="19">$S9/E9-1</f>
        <v>5.111317663192505E-2</v>
      </c>
      <c r="F28" s="19">
        <f t="shared" si="19"/>
        <v>7.0658601038538826E-2</v>
      </c>
      <c r="G28" s="19">
        <f t="shared" si="19"/>
        <v>4.1443594107503312E-2</v>
      </c>
      <c r="H28" s="19">
        <f t="shared" si="19"/>
        <v>0.13038551626761774</v>
      </c>
      <c r="I28" s="19">
        <f t="shared" si="19"/>
        <v>0.13144806004413634</v>
      </c>
      <c r="J28" s="19">
        <f t="shared" si="19"/>
        <v>8.3644430761439903E-2</v>
      </c>
      <c r="K28" s="19">
        <f t="shared" ref="K28:Q28" si="20">$S9/K9-1</f>
        <v>0.12855318912515612</v>
      </c>
      <c r="L28" s="19">
        <f t="shared" si="20"/>
        <v>0.11866280302593157</v>
      </c>
      <c r="M28" s="19">
        <f t="shared" si="20"/>
        <v>0.13895485048972644</v>
      </c>
      <c r="N28" s="19">
        <f t="shared" si="20"/>
        <v>0.21008657676496956</v>
      </c>
      <c r="O28" s="19">
        <f t="shared" si="20"/>
        <v>0.17438904621132689</v>
      </c>
      <c r="P28" s="19">
        <f t="shared" si="20"/>
        <v>0.15312801095413486</v>
      </c>
      <c r="Q28" s="19">
        <f t="shared" si="20"/>
        <v>0.15315586567823103</v>
      </c>
      <c r="R28" s="46">
        <f t="shared" si="11"/>
        <v>0.11847922192749727</v>
      </c>
    </row>
    <row r="29" spans="1:19" x14ac:dyDescent="0.2">
      <c r="A29" s="10" t="str">
        <f t="shared" ref="A29:D29" si="21">A10</f>
        <v>ATEC</v>
      </c>
      <c r="B29" s="10" t="str">
        <f t="shared" si="21"/>
        <v>US Revenue</v>
      </c>
      <c r="C29" s="10" t="str">
        <f t="shared" si="21"/>
        <v>2019Q1</v>
      </c>
      <c r="D29" s="10">
        <f t="shared" si="21"/>
        <v>20190502</v>
      </c>
      <c r="E29" s="19">
        <f t="shared" ref="E29:J29" si="22">$S10/E10-1</f>
        <v>-2.3794665479261456E-2</v>
      </c>
      <c r="F29" s="19">
        <f t="shared" si="22"/>
        <v>-4.4645867709963705E-3</v>
      </c>
      <c r="G29" s="19">
        <f t="shared" si="22"/>
        <v>-9.5641708658381286E-2</v>
      </c>
      <c r="H29" s="19">
        <f t="shared" si="22"/>
        <v>-5.2290997922333382E-2</v>
      </c>
      <c r="I29" s="19">
        <f t="shared" si="22"/>
        <v>-3.3251077010840957E-2</v>
      </c>
      <c r="J29" s="19">
        <f t="shared" si="22"/>
        <v>-4.2913216372279295E-2</v>
      </c>
      <c r="K29" s="19">
        <f t="shared" ref="K29:Q29" si="23">$S10/K10-1</f>
        <v>-7.1265248858560781E-2</v>
      </c>
      <c r="L29" s="19">
        <f t="shared" si="23"/>
        <v>-7.0165398883141439E-2</v>
      </c>
      <c r="M29" s="19">
        <f t="shared" si="23"/>
        <v>-0.13163007919153213</v>
      </c>
      <c r="N29" s="19">
        <f t="shared" si="23"/>
        <v>-0.16160549791289325</v>
      </c>
      <c r="O29" s="19">
        <f t="shared" si="23"/>
        <v>-0.14556491178972242</v>
      </c>
      <c r="P29" s="19">
        <f t="shared" si="23"/>
        <v>-0.11678890560512667</v>
      </c>
      <c r="Q29" s="19">
        <f t="shared" si="23"/>
        <v>-0.11753398956987415</v>
      </c>
      <c r="R29" s="46">
        <f t="shared" si="11"/>
        <v>2.5000000000000133E-2</v>
      </c>
    </row>
    <row r="30" spans="1:19" x14ac:dyDescent="0.2">
      <c r="A30" s="10" t="str">
        <f t="shared" ref="A30:D30" si="24">A11</f>
        <v>ATEC</v>
      </c>
      <c r="B30" s="10" t="str">
        <f t="shared" si="24"/>
        <v>US Revenue</v>
      </c>
      <c r="C30" s="10" t="str">
        <f t="shared" si="24"/>
        <v>2019Q2</v>
      </c>
      <c r="D30" s="10">
        <f t="shared" si="24"/>
        <v>20190718</v>
      </c>
      <c r="E30" s="19">
        <f t="shared" ref="E30:J30" si="25">$S11/E11-1</f>
        <v>-3.1867509028484453E-2</v>
      </c>
      <c r="F30" s="19">
        <f t="shared" si="25"/>
        <v>-1.7400703256909011E-3</v>
      </c>
      <c r="G30" s="19">
        <f t="shared" si="25"/>
        <v>0.16056418893771562</v>
      </c>
      <c r="H30" s="19">
        <f t="shared" si="25"/>
        <v>6.9486987170745529E-2</v>
      </c>
      <c r="I30" s="19">
        <f t="shared" si="25"/>
        <v>5.2562964478479746E-3</v>
      </c>
      <c r="J30" s="19">
        <f t="shared" si="25"/>
        <v>3.603143467037051E-2</v>
      </c>
      <c r="K30" s="19">
        <f t="shared" ref="K30:Q30" si="26">$S11/K11-1</f>
        <v>-8.2696163027898839E-3</v>
      </c>
      <c r="L30" s="19">
        <f t="shared" si="26"/>
        <v>2.7367348354476739E-3</v>
      </c>
      <c r="M30" s="19">
        <f t="shared" si="26"/>
        <v>0.28330131989613827</v>
      </c>
      <c r="N30" s="19">
        <f t="shared" si="26"/>
        <v>0.12849723367204979</v>
      </c>
      <c r="O30" s="19">
        <f t="shared" si="26"/>
        <v>3.9831824523398618E-2</v>
      </c>
      <c r="P30" s="19">
        <f t="shared" si="26"/>
        <v>8.2484318447507698E-2</v>
      </c>
      <c r="Q30" s="19">
        <f t="shared" si="26"/>
        <v>7.982058666154046E-2</v>
      </c>
      <c r="R30" s="46">
        <f t="shared" si="11"/>
        <v>7.6074103271579041E-2</v>
      </c>
    </row>
    <row r="31" spans="1:19" x14ac:dyDescent="0.2">
      <c r="A31" s="10" t="str">
        <f t="shared" ref="A31:D31" si="27">A12</f>
        <v>ATEC</v>
      </c>
      <c r="B31" s="10" t="str">
        <f t="shared" si="27"/>
        <v>US Revenue</v>
      </c>
      <c r="C31" s="10" t="str">
        <f t="shared" si="27"/>
        <v>2019Q3</v>
      </c>
      <c r="D31" s="10">
        <f t="shared" si="27"/>
        <v>20191024</v>
      </c>
      <c r="E31" s="19">
        <f t="shared" ref="E31:J31" si="28">$S12/E12-1</f>
        <v>-1.1108802525255035E-2</v>
      </c>
      <c r="F31" s="19">
        <f t="shared" si="28"/>
        <v>-1.9988742077079791E-2</v>
      </c>
      <c r="G31" s="19">
        <f t="shared" si="28"/>
        <v>0.18572730339660248</v>
      </c>
      <c r="H31" s="19">
        <f t="shared" si="28"/>
        <v>5.5170311998465671E-2</v>
      </c>
      <c r="I31" s="19">
        <f t="shared" si="28"/>
        <v>2.8648746141240133E-2</v>
      </c>
      <c r="J31" s="19">
        <f t="shared" si="28"/>
        <v>4.2783809125526595E-2</v>
      </c>
      <c r="K31" s="19">
        <f t="shared" ref="K31:Q31" si="29">$S12/K12-1</f>
        <v>2.1442009948863916E-2</v>
      </c>
      <c r="L31" s="19">
        <f t="shared" si="29"/>
        <v>-1.8280481074045118E-2</v>
      </c>
      <c r="M31" s="19">
        <f t="shared" si="29"/>
        <v>2.1681794681187805E-2</v>
      </c>
      <c r="N31" s="19">
        <f t="shared" si="29"/>
        <v>-1.3386488422971743E-2</v>
      </c>
      <c r="O31" s="19">
        <f t="shared" si="29"/>
        <v>2.3270134965631462E-2</v>
      </c>
      <c r="P31" s="19">
        <f t="shared" si="29"/>
        <v>6.5175382031767981E-3</v>
      </c>
      <c r="Q31" s="19">
        <f t="shared" si="29"/>
        <v>6.5831983141031447E-3</v>
      </c>
      <c r="R31" s="46">
        <f t="shared" si="11"/>
        <v>8.9147286821705363E-2</v>
      </c>
    </row>
    <row r="32" spans="1:19" x14ac:dyDescent="0.2">
      <c r="A32" s="10" t="str">
        <f t="shared" ref="A32:D32" si="30">A13</f>
        <v>ATEC</v>
      </c>
      <c r="B32" s="10" t="str">
        <f t="shared" si="30"/>
        <v>US Revenue</v>
      </c>
      <c r="C32" s="10" t="str">
        <f t="shared" si="30"/>
        <v>2019Q4</v>
      </c>
      <c r="D32" s="10">
        <f t="shared" si="30"/>
        <v>20200227</v>
      </c>
      <c r="E32" s="19">
        <f t="shared" ref="E32:J32" si="31">$S13/E13-1</f>
        <v>7.8958869220574934E-2</v>
      </c>
      <c r="F32" s="19">
        <f t="shared" si="31"/>
        <v>5.4352266143735006E-2</v>
      </c>
      <c r="G32" s="19">
        <f t="shared" si="31"/>
        <v>3.1912165759999667E-2</v>
      </c>
      <c r="H32" s="19">
        <f t="shared" si="31"/>
        <v>7.9388466390637014E-2</v>
      </c>
      <c r="I32" s="19">
        <f t="shared" si="31"/>
        <v>0.10714634844266535</v>
      </c>
      <c r="J32" s="19">
        <f t="shared" si="31"/>
        <v>6.9743602408704808E-2</v>
      </c>
      <c r="K32" s="19">
        <f t="shared" ref="K32:Q32" si="32">$S13/K13-1</f>
        <v>9.1079455430313372E-2</v>
      </c>
      <c r="L32" s="19">
        <f t="shared" si="32"/>
        <v>7.5857300229771329E-2</v>
      </c>
      <c r="M32" s="19">
        <f t="shared" si="32"/>
        <v>-0.12972218586515472</v>
      </c>
      <c r="N32" s="19">
        <f t="shared" si="32"/>
        <v>2.2951891383584222E-2</v>
      </c>
      <c r="O32" s="19">
        <f t="shared" si="32"/>
        <v>7.6311377033114747E-2</v>
      </c>
      <c r="P32" s="19">
        <f t="shared" si="32"/>
        <v>2.585367460373833E-2</v>
      </c>
      <c r="Q32" s="19">
        <f t="shared" si="32"/>
        <v>2.1010119623997348E-2</v>
      </c>
      <c r="R32" s="46">
        <f t="shared" si="11"/>
        <v>5.7823129251700855E-2</v>
      </c>
    </row>
    <row r="33" spans="1:18" x14ac:dyDescent="0.2">
      <c r="A33" s="10" t="str">
        <f t="shared" ref="A33:D33" si="33">A14</f>
        <v>ATEC</v>
      </c>
      <c r="B33" s="10" t="str">
        <f t="shared" si="33"/>
        <v>US Revenue</v>
      </c>
      <c r="C33" s="10" t="str">
        <f t="shared" si="33"/>
        <v>2020Q1</v>
      </c>
      <c r="D33" s="10">
        <f t="shared" si="33"/>
        <v>20200507</v>
      </c>
      <c r="E33" s="19">
        <f t="shared" ref="E33:J33" si="34">$S14/E14-1</f>
        <v>-0.13601165760765488</v>
      </c>
      <c r="F33" s="19">
        <f t="shared" si="34"/>
        <v>-0.16304722941741157</v>
      </c>
      <c r="G33" s="19">
        <f t="shared" si="34"/>
        <v>0.29054707088611398</v>
      </c>
      <c r="H33" s="19">
        <f t="shared" si="34"/>
        <v>5.1403097433525113E-2</v>
      </c>
      <c r="I33" s="19">
        <f t="shared" si="34"/>
        <v>9.5754936178299666E-2</v>
      </c>
      <c r="J33" s="19">
        <f t="shared" si="34"/>
        <v>1.8390597811346332E-3</v>
      </c>
      <c r="K33" s="19">
        <f t="shared" ref="K33:Q33" si="35">$S14/K14-1</f>
        <v>-0.19923885234246375</v>
      </c>
      <c r="L33" s="19">
        <f t="shared" si="35"/>
        <v>-0.20619246768091992</v>
      </c>
      <c r="M33" s="19">
        <f t="shared" si="35"/>
        <v>0.25063654999709239</v>
      </c>
      <c r="N33" s="19">
        <f t="shared" si="35"/>
        <v>-2.5927059467933944E-2</v>
      </c>
      <c r="O33" s="19">
        <f t="shared" si="35"/>
        <v>-1.0288985083488744E-2</v>
      </c>
      <c r="P33" s="19">
        <f t="shared" si="35"/>
        <v>-6.3477400074814172E-2</v>
      </c>
      <c r="Q33" s="19">
        <f t="shared" si="35"/>
        <v>-6.4392976835074944E-2</v>
      </c>
      <c r="R33" s="46">
        <f t="shared" si="11"/>
        <v>6.9204152249136008E-3</v>
      </c>
    </row>
    <row r="34" spans="1:18" x14ac:dyDescent="0.2">
      <c r="A34" s="10" t="str">
        <f t="shared" ref="A34:D34" si="36">A15</f>
        <v>ATEC</v>
      </c>
      <c r="B34" s="10" t="str">
        <f t="shared" si="36"/>
        <v>US Revenue</v>
      </c>
      <c r="C34" s="10" t="str">
        <f t="shared" si="36"/>
        <v>2020Q2</v>
      </c>
      <c r="D34" s="10">
        <f t="shared" si="36"/>
        <v>20200730</v>
      </c>
      <c r="E34" s="19">
        <f t="shared" ref="E34:J34" si="37">$S15/E15-1</f>
        <v>2.1232835028690555E-3</v>
      </c>
      <c r="F34" s="19">
        <f t="shared" si="37"/>
        <v>-5.5447441157857602E-3</v>
      </c>
      <c r="G34" s="19">
        <f t="shared" si="37"/>
        <v>0.2347208651963486</v>
      </c>
      <c r="H34" s="19">
        <f t="shared" si="37"/>
        <v>1.8471033092458011E-2</v>
      </c>
      <c r="I34" s="19">
        <f t="shared" si="37"/>
        <v>0.14147767614486839</v>
      </c>
      <c r="J34" s="19">
        <f t="shared" si="37"/>
        <v>7.0370911171969697E-2</v>
      </c>
      <c r="K34" s="19">
        <f t="shared" ref="K34:Q34" si="38">$S15/K15-1</f>
        <v>0.15988056126779959</v>
      </c>
      <c r="L34" s="19">
        <f t="shared" si="38"/>
        <v>0.18818563106254027</v>
      </c>
      <c r="M34" s="19">
        <f t="shared" si="38"/>
        <v>-4.3257783423144791E-2</v>
      </c>
      <c r="N34" s="19">
        <f t="shared" si="38"/>
        <v>-3.1322015715432361E-2</v>
      </c>
      <c r="O34" s="19">
        <f t="shared" si="38"/>
        <v>4.1727158561600586E-2</v>
      </c>
      <c r="P34" s="19">
        <f t="shared" si="38"/>
        <v>6.8406048578108614E-2</v>
      </c>
      <c r="Q34" s="19">
        <f t="shared" si="38"/>
        <v>5.6850918610089174E-2</v>
      </c>
      <c r="R34" s="46">
        <f t="shared" ref="R34" si="39">$S15/R15-1</f>
        <v>0.83439490445859876</v>
      </c>
    </row>
    <row r="35" spans="1:18" x14ac:dyDescent="0.2">
      <c r="A35" s="10" t="str">
        <f t="shared" ref="A35:D35" si="40">A16</f>
        <v>ATEC</v>
      </c>
      <c r="B35" s="10" t="str">
        <f t="shared" si="40"/>
        <v>US Revenue</v>
      </c>
      <c r="C35" s="10" t="str">
        <f t="shared" si="40"/>
        <v>2020Q3</v>
      </c>
      <c r="D35" s="10">
        <f t="shared" si="40"/>
        <v>20201029</v>
      </c>
      <c r="E35" s="19">
        <f t="shared" ref="E35:J35" si="41">$S16/E16-1</f>
        <v>0.11880944390120662</v>
      </c>
      <c r="F35" s="19">
        <f t="shared" si="41"/>
        <v>0.13760524054166368</v>
      </c>
      <c r="G35" s="19">
        <f t="shared" si="41"/>
        <v>0.14683867912211657</v>
      </c>
      <c r="H35" s="19">
        <f t="shared" si="41"/>
        <v>0.1614250482599624</v>
      </c>
      <c r="I35" s="19">
        <f t="shared" si="41"/>
        <v>0.32110310330084046</v>
      </c>
      <c r="J35" s="19">
        <f t="shared" si="41"/>
        <v>0.17294803447079565</v>
      </c>
      <c r="K35" s="19">
        <f t="shared" ref="K35:Q35" si="42">$S16/K16-1</f>
        <v>0.11643892754439089</v>
      </c>
      <c r="L35" s="19">
        <f t="shared" si="42"/>
        <v>0.14394814026114044</v>
      </c>
      <c r="M35" s="19">
        <f t="shared" si="42"/>
        <v>-7.1175751986872537E-2</v>
      </c>
      <c r="N35" s="19">
        <f t="shared" si="42"/>
        <v>0.1403613951920093</v>
      </c>
      <c r="O35" s="19">
        <f t="shared" si="42"/>
        <v>0.15736219017670505</v>
      </c>
      <c r="P35" s="19">
        <f t="shared" si="42"/>
        <v>9.5833250164200079E-2</v>
      </c>
      <c r="Q35" s="19">
        <f t="shared" si="42"/>
        <v>9.0909715084175557E-2</v>
      </c>
      <c r="R35" s="46">
        <f>$S16/R16-1</f>
        <v>6.9333333333333469E-2</v>
      </c>
    </row>
    <row r="36" spans="1:18" x14ac:dyDescent="0.2">
      <c r="A36" s="10" t="str">
        <f t="shared" ref="A36:D36" si="43">A17</f>
        <v>ATEC</v>
      </c>
      <c r="B36" s="10" t="str">
        <f t="shared" si="43"/>
        <v>US Revenue</v>
      </c>
      <c r="C36" s="10" t="str">
        <f t="shared" si="43"/>
        <v>2020Q4</v>
      </c>
      <c r="D36" s="10">
        <f t="shared" si="43"/>
        <v>20210225</v>
      </c>
      <c r="E36" s="19">
        <f t="shared" ref="E36:J36" si="44">$S17/E17-1</f>
        <v>-9.4922454068837037E-2</v>
      </c>
      <c r="F36" s="19">
        <f t="shared" si="44"/>
        <v>-6.5051118384333639E-2</v>
      </c>
      <c r="G36" s="19">
        <f t="shared" si="44"/>
        <v>-0.15688729283023795</v>
      </c>
      <c r="H36" s="19">
        <f t="shared" si="44"/>
        <v>-8.6894465078475314E-3</v>
      </c>
      <c r="I36" s="19">
        <f t="shared" si="44"/>
        <v>0.24926185580660243</v>
      </c>
      <c r="J36" s="19">
        <f t="shared" si="44"/>
        <v>-3.2839779430023475E-2</v>
      </c>
      <c r="K36" s="19">
        <f t="shared" ref="K36:Q36" si="45">$S17/K17-1</f>
        <v>-0.19103512142762769</v>
      </c>
      <c r="L36" s="19">
        <f t="shared" si="45"/>
        <v>-0.17814295478236697</v>
      </c>
      <c r="M36" s="19">
        <f t="shared" si="45"/>
        <v>-0.26483757260859997</v>
      </c>
      <c r="N36" s="19">
        <f t="shared" si="45"/>
        <v>-0.14647048901061155</v>
      </c>
      <c r="O36" s="19">
        <f t="shared" si="45"/>
        <v>-5.4379743196983799E-2</v>
      </c>
      <c r="P36" s="19">
        <f t="shared" si="45"/>
        <v>-0.17544495395626414</v>
      </c>
      <c r="Q36" s="19">
        <f t="shared" si="45"/>
        <v>-0.17298822562493998</v>
      </c>
      <c r="R36" s="46">
        <f>$S17/R17-1</f>
        <v>0</v>
      </c>
    </row>
    <row r="37" spans="1:18" x14ac:dyDescent="0.2">
      <c r="A37" s="10" t="str">
        <f t="shared" ref="A37:D37" si="46">A18</f>
        <v>ATEC</v>
      </c>
      <c r="B37" s="10" t="str">
        <f t="shared" si="46"/>
        <v>US Revenue</v>
      </c>
      <c r="C37" s="10" t="str">
        <f t="shared" si="46"/>
        <v>2021Q1</v>
      </c>
      <c r="D37" s="10">
        <f t="shared" si="46"/>
        <v>20210429</v>
      </c>
      <c r="E37" s="19">
        <f t="shared" ref="E37:J37" si="47">$S18/E18-1</f>
        <v>-0.1610063392978679</v>
      </c>
      <c r="F37" s="19">
        <f t="shared" si="47"/>
        <v>-0.15857141446051426</v>
      </c>
      <c r="G37" s="19">
        <f t="shared" si="47"/>
        <v>-0.19489141839552981</v>
      </c>
      <c r="H37" s="19">
        <f t="shared" si="47"/>
        <v>-0.17832478700232401</v>
      </c>
      <c r="I37" s="19">
        <f t="shared" si="47"/>
        <v>-2.2367493490969781E-2</v>
      </c>
      <c r="J37" s="19">
        <f t="shared" si="47"/>
        <v>-0.14709719898913254</v>
      </c>
      <c r="K37" s="19">
        <f t="shared" ref="K37:Q37" si="48">$S18/K18-1</f>
        <v>-7.3014611318240608E-2</v>
      </c>
      <c r="L37" s="19">
        <f t="shared" si="48"/>
        <v>-0.10002717572598219</v>
      </c>
      <c r="M37" s="19">
        <f t="shared" si="48"/>
        <v>-4.5075972929963015E-2</v>
      </c>
      <c r="N37" s="19">
        <f t="shared" si="48"/>
        <v>-0.17112229855406191</v>
      </c>
      <c r="O37" s="19">
        <f t="shared" si="48"/>
        <v>-0.21743187629961769</v>
      </c>
      <c r="P37" s="19">
        <f t="shared" si="48"/>
        <v>-0.11813701300884116</v>
      </c>
      <c r="Q37" s="19">
        <f t="shared" si="48"/>
        <v>-0.12477393069146214</v>
      </c>
      <c r="R37" s="46">
        <f>$S18/R18-1</f>
        <v>0.12339331619537286</v>
      </c>
    </row>
    <row r="38" spans="1:18" x14ac:dyDescent="0.2">
      <c r="A38" s="10" t="str">
        <f t="shared" ref="A38:D38" si="49">A19</f>
        <v>ATEC</v>
      </c>
      <c r="B38" s="10" t="str">
        <f t="shared" si="49"/>
        <v>US Revenue</v>
      </c>
      <c r="C38" s="10" t="str">
        <f t="shared" si="49"/>
        <v>2021Q2</v>
      </c>
      <c r="D38" s="10">
        <f t="shared" si="49"/>
        <v>20210729</v>
      </c>
      <c r="E38" s="19">
        <f>$S19/E19-1</f>
        <v>0.15708871991779616</v>
      </c>
      <c r="F38" s="19">
        <f t="shared" ref="F38:J38" si="50">$S19/F19-1</f>
        <v>0.20455795389076692</v>
      </c>
      <c r="G38" s="19">
        <f t="shared" si="50"/>
        <v>0.12106206123505392</v>
      </c>
      <c r="H38" s="19">
        <f t="shared" si="50"/>
        <v>0.21694674823866622</v>
      </c>
      <c r="I38" s="19">
        <f t="shared" si="50"/>
        <v>0.49526681623199797</v>
      </c>
      <c r="J38" s="19">
        <f t="shared" si="50"/>
        <v>0.22641153439295203</v>
      </c>
      <c r="K38" s="19">
        <f t="shared" ref="K38:Q38" si="51">$S19/K19-1</f>
        <v>0.37913881131051519</v>
      </c>
      <c r="L38" s="19">
        <f t="shared" si="51"/>
        <v>0.43156290930912355</v>
      </c>
      <c r="M38" s="19">
        <f t="shared" si="51"/>
        <v>0.39243586126101437</v>
      </c>
      <c r="N38" s="19">
        <f t="shared" si="51"/>
        <v>0.48105568841360213</v>
      </c>
      <c r="O38" s="19">
        <f t="shared" si="51"/>
        <v>0.52947739183853182</v>
      </c>
      <c r="P38" s="19">
        <f t="shared" si="51"/>
        <v>0.43792649401479156</v>
      </c>
      <c r="Q38" s="19">
        <f t="shared" si="51"/>
        <v>0.44014355061521337</v>
      </c>
      <c r="R38" s="46">
        <f>$S19/R19-1</f>
        <v>0.36946902654867242</v>
      </c>
    </row>
    <row r="39" spans="1:18" x14ac:dyDescent="0.2">
      <c r="A39" s="158" t="s">
        <v>78</v>
      </c>
      <c r="B39" s="158"/>
      <c r="C39" s="154" t="s">
        <v>167</v>
      </c>
      <c r="D39" s="155"/>
      <c r="E39" s="87" cm="1">
        <f t="array" ref="E39">SUM(ABS(E25:E33),ABS(E35:E38))/COUNT(E25:E33,E35:E38)</f>
        <v>9.2885073126981937E-2</v>
      </c>
      <c r="F39" s="87" cm="1">
        <f t="array" ref="F39">SUM(ABS(F25:F33),ABS(F35:F38))/COUNT(F25:F33,F35:F38)</f>
        <v>9.3303184629476232E-2</v>
      </c>
      <c r="G39" s="87" cm="1">
        <f t="array" ref="G39">SUM(ABS(G25:G33),ABS(G35:G38))/COUNT(G25:G33,G35:G38)</f>
        <v>0.12517122965954455</v>
      </c>
      <c r="H39" s="87" cm="1">
        <f t="array" ref="H39">SUM(ABS(H25:H33),ABS(H35:H38))/COUNT(H25:H33,H35:H38)</f>
        <v>8.7634665747825025E-2</v>
      </c>
      <c r="I39" s="87" cm="1">
        <f t="array" ref="I39">SUM(ABS(I25:I33),ABS(I35:I38))/COUNT(I25:I33,I35:I38)</f>
        <v>0.12465945352381286</v>
      </c>
      <c r="J39" s="89" cm="1">
        <f t="array" ref="J39">SUM(ABS(J25:J33),ABS(J35:J38))/COUNT(J25:J33,J35:J38)</f>
        <v>8.185818467788876E-2</v>
      </c>
      <c r="K39" s="87" cm="1">
        <f t="array" ref="K39">SUM(ABS(K25:K33),ABS(K35:K38))/COUNT(K25:K33,K35:K38)</f>
        <v>0.11341460801157847</v>
      </c>
      <c r="L39" s="87" cm="1">
        <f t="array" ref="L39">SUM(ABS(L25:L33),ABS(L35:L38))/COUNT(L25:L33,L35:L38)</f>
        <v>0.12956762775228381</v>
      </c>
      <c r="M39" s="87" cm="1">
        <f t="array" ref="M39">SUM(ABS(M25:M33),ABS(M35:M38))/COUNT(M25:M33,M35:M38)</f>
        <v>0.15457229732856781</v>
      </c>
      <c r="N39" s="87" cm="1">
        <f t="array" ref="N39">SUM(ABS(N25:N33),ABS(N35:N38))/COUNT(N25:N33,N35:N38)</f>
        <v>0.1393107479046245</v>
      </c>
      <c r="O39" s="87" cm="1">
        <f t="array" ref="O39">SUM(ABS(O25:O33),ABS(O35:O38))/COUNT(O25:O33,O35:O38)</f>
        <v>0.12529430706436104</v>
      </c>
      <c r="P39" s="87" cm="1">
        <f t="array" ref="P39">SUM(ABS(P25:P33),ABS(P35:P38))/COUNT(P25:P33,P35:P38)</f>
        <v>0.10891081592107098</v>
      </c>
      <c r="Q39" s="87" cm="1">
        <f t="array" ref="Q39">SUM(ABS(Q25:Q33),ABS(Q35:Q38))/COUNT(Q25:Q33,Q35:Q38)</f>
        <v>0.1081901509927448</v>
      </c>
      <c r="R39" s="91" cm="1">
        <f t="array" ref="R39">SUM(ABS(R25:R33),ABS(R35:R38))/COUNT(R25:R33,R35:R38)</f>
        <v>8.6261503017722715E-2</v>
      </c>
    </row>
    <row r="40" spans="1:18" x14ac:dyDescent="0.2">
      <c r="A40" s="159" t="s">
        <v>79</v>
      </c>
      <c r="B40" s="159"/>
      <c r="C40" s="156" t="s">
        <v>167</v>
      </c>
      <c r="D40" s="157"/>
      <c r="E40" s="88" cm="1">
        <f t="array" ref="E40">SQRT(SUM(POWER(E25:E33,2),POWER(E35:E38,2))/COUNT(E25:E33,E35:E38))</f>
        <v>0.10564119442865612</v>
      </c>
      <c r="F40" s="88" cm="1">
        <f t="array" ref="F40">SQRT(SUM(POWER(F25:F33,2),POWER(F35:F38,2))/COUNT(F25:F33,F35:F38))</f>
        <v>0.11443147531828346</v>
      </c>
      <c r="G40" s="88" cm="1">
        <f t="array" ref="G40">SQRT(SUM(POWER(G25:G33,2),POWER(G35:G38,2))/COUNT(G25:G33,G35:G38))</f>
        <v>0.14408203043416012</v>
      </c>
      <c r="H40" s="88" cm="1">
        <f t="array" ref="H40">SQRT(SUM(POWER(H25:H33,2),POWER(H35:H38,2))/COUNT(H25:H33,H35:H38))</f>
        <v>0.10681793394009366</v>
      </c>
      <c r="I40" s="88" cm="1">
        <f t="array" ref="I40">SQRT(SUM(POWER(I25:I33,2),POWER(I35:I38,2))/COUNT(I25:I33,I35:I38))</f>
        <v>0.18773523363118583</v>
      </c>
      <c r="J40" s="90" cm="1">
        <f t="array" ref="J40">SQRT(SUM(POWER(J25:J33,2),POWER(J35:J38,2))/COUNT(J25:J33,J35:J38))</f>
        <v>0.10202073593937937</v>
      </c>
      <c r="K40" s="88" cm="1">
        <f t="array" ref="K40">SQRT(SUM(POWER(K25:K33,2),POWER(K35:K38,2))/COUNT(K25:K33,K35:K38))</f>
        <v>0.15156801484257268</v>
      </c>
      <c r="L40" s="88" cm="1">
        <f t="array" ref="L40">SQRT(SUM(POWER(L25:L33,2),POWER(L35:L38,2))/COUNT(L25:L33,L35:L38))</f>
        <v>0.16903268603246635</v>
      </c>
      <c r="M40" s="88" cm="1">
        <f t="array" ref="M40">SQRT(SUM(POWER(M25:M33,2),POWER(M35:M38,2))/COUNT(M25:M33,M35:M38))</f>
        <v>0.19166586934053079</v>
      </c>
      <c r="N40" s="88" cm="1">
        <f t="array" ref="N40">SQRT(SUM(POWER(N25:N33,2),POWER(N35:N38,2))/COUNT(N25:N33,N35:N38))</f>
        <v>0.18366997969851973</v>
      </c>
      <c r="O40" s="88" cm="1">
        <f t="array" ref="O40">SQRT(SUM(POWER(O25:O33,2),POWER(O35:O38,2))/COUNT(O25:O33,O35:O38))</f>
        <v>0.18679374335037502</v>
      </c>
      <c r="P40" s="88" cm="1">
        <f t="array" ref="P40">SQRT(SUM(POWER(P25:P33,2),POWER(P35:P38,2))/COUNT(P25:P33,P35:P38))</f>
        <v>0.15675531629441181</v>
      </c>
      <c r="Q40" s="88" cm="1">
        <f t="array" ref="Q40">SQRT(SUM(POWER(Q25:Q33,2),POWER(Q35:Q38,2))/COUNT(Q25:Q33,Q35:Q38))</f>
        <v>0.15708924451438971</v>
      </c>
      <c r="R40" s="92" cm="1">
        <f t="array" ref="R40">SQRT(SUM(POWER(R25:R33,2),POWER(R35:R38,2))/COUNT(R25:R33,R35:R38))</f>
        <v>0.12731493349309825</v>
      </c>
    </row>
    <row r="42" spans="1:18" x14ac:dyDescent="0.2">
      <c r="B42" t="s">
        <v>168</v>
      </c>
    </row>
  </sheetData>
  <mergeCells count="7">
    <mergeCell ref="A21:D21"/>
    <mergeCell ref="A4:B4"/>
    <mergeCell ref="A23:B23"/>
    <mergeCell ref="C39:D39"/>
    <mergeCell ref="C40:D40"/>
    <mergeCell ref="A39:B39"/>
    <mergeCell ref="A40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AA41"/>
  <sheetViews>
    <sheetView zoomScale="85" zoomScaleNormal="85" workbookViewId="0">
      <selection activeCell="B18" sqref="A14:XFD18"/>
    </sheetView>
  </sheetViews>
  <sheetFormatPr defaultRowHeight="12.75" x14ac:dyDescent="0.2"/>
  <cols>
    <col min="1" max="1" width="9.140625" style="78"/>
    <col min="3" max="3" width="12.85546875" bestFit="1" customWidth="1"/>
    <col min="4" max="4" width="8.85546875" customWidth="1"/>
    <col min="5" max="5" width="6.42578125" customWidth="1"/>
    <col min="6" max="6" width="8.42578125" bestFit="1" customWidth="1"/>
    <col min="7" max="7" width="14.42578125" bestFit="1" customWidth="1"/>
    <col min="8" max="8" width="8.140625" bestFit="1" customWidth="1"/>
    <col min="9" max="9" width="7.42578125" bestFit="1" customWidth="1"/>
    <col min="10" max="10" width="11.85546875" bestFit="1" customWidth="1"/>
    <col min="11" max="11" width="12.42578125" bestFit="1" customWidth="1"/>
    <col min="12" max="12" width="6.42578125" bestFit="1" customWidth="1"/>
    <col min="13" max="13" width="7.42578125" bestFit="1" customWidth="1"/>
    <col min="15" max="25" width="9.140625" style="6"/>
  </cols>
  <sheetData>
    <row r="1" spans="1:27" x14ac:dyDescent="0.2">
      <c r="A1" s="78" t="s">
        <v>105</v>
      </c>
      <c r="B1" t="s">
        <v>85</v>
      </c>
    </row>
    <row r="2" spans="1:27" x14ac:dyDescent="0.2">
      <c r="A2" s="78" t="s">
        <v>100</v>
      </c>
      <c r="B2" t="s">
        <v>82</v>
      </c>
    </row>
    <row r="3" spans="1:27" x14ac:dyDescent="0.2">
      <c r="A3" s="78" t="s">
        <v>101</v>
      </c>
      <c r="B3" t="s">
        <v>154</v>
      </c>
    </row>
    <row r="4" spans="1:27" x14ac:dyDescent="0.2">
      <c r="A4" s="78" t="s">
        <v>102</v>
      </c>
      <c r="B4" t="s">
        <v>153</v>
      </c>
      <c r="O4" s="164"/>
      <c r="Z4" s="6"/>
      <c r="AA4" s="6"/>
    </row>
    <row r="5" spans="1:27" x14ac:dyDescent="0.2">
      <c r="A5" s="78" t="s">
        <v>103</v>
      </c>
      <c r="B5" t="s">
        <v>83</v>
      </c>
      <c r="Z5" s="6"/>
      <c r="AA5" s="6"/>
    </row>
    <row r="6" spans="1:27" x14ac:dyDescent="0.2">
      <c r="P6" s="165"/>
      <c r="Q6" s="165"/>
      <c r="Z6" s="6"/>
      <c r="AA6" s="6"/>
    </row>
    <row r="7" spans="1:27" x14ac:dyDescent="0.2">
      <c r="P7" s="80"/>
      <c r="Q7" s="80"/>
      <c r="Z7" s="6"/>
      <c r="AA7" s="6"/>
    </row>
    <row r="8" spans="1:27" x14ac:dyDescent="0.2">
      <c r="A8" s="78" t="s">
        <v>104</v>
      </c>
      <c r="B8" s="141" t="s">
        <v>84</v>
      </c>
      <c r="C8" s="141"/>
      <c r="D8" s="141" t="s">
        <v>116</v>
      </c>
      <c r="E8" s="141"/>
      <c r="F8" s="141"/>
      <c r="G8" s="141"/>
      <c r="H8" s="141"/>
      <c r="I8" s="141"/>
      <c r="J8" s="141"/>
      <c r="K8" s="141"/>
      <c r="L8" s="141"/>
      <c r="M8" s="141"/>
      <c r="N8" s="141"/>
      <c r="P8" s="80"/>
      <c r="Q8" s="80"/>
      <c r="Z8" s="6"/>
      <c r="AA8" s="6"/>
    </row>
    <row r="9" spans="1:27" ht="15" x14ac:dyDescent="0.2">
      <c r="A9" s="78" t="s">
        <v>97</v>
      </c>
      <c r="C9" s="83" t="s">
        <v>86</v>
      </c>
      <c r="D9" s="83" t="s">
        <v>87</v>
      </c>
      <c r="E9" s="83" t="s">
        <v>88</v>
      </c>
      <c r="F9" s="83" t="s">
        <v>89</v>
      </c>
      <c r="G9" s="83" t="s">
        <v>90</v>
      </c>
      <c r="H9" s="83" t="s">
        <v>91</v>
      </c>
      <c r="I9" s="83" t="s">
        <v>92</v>
      </c>
      <c r="J9" s="83" t="s">
        <v>93</v>
      </c>
      <c r="K9" s="83" t="s">
        <v>94</v>
      </c>
      <c r="L9" s="83" t="s">
        <v>95</v>
      </c>
      <c r="M9" s="83" t="s">
        <v>96</v>
      </c>
      <c r="P9" s="80"/>
      <c r="Q9" s="80"/>
      <c r="Z9" s="6"/>
      <c r="AA9" s="6"/>
    </row>
    <row r="10" spans="1:27" ht="15" x14ac:dyDescent="0.2">
      <c r="B10" s="83" t="s">
        <v>97</v>
      </c>
      <c r="C10" s="2">
        <v>0.1137767056352415</v>
      </c>
      <c r="D10" s="2">
        <v>7.9211065651753995E-2</v>
      </c>
      <c r="E10" s="2">
        <v>0.1054181472905361</v>
      </c>
      <c r="F10" s="2">
        <v>0.1634182107797825</v>
      </c>
      <c r="G10" s="2">
        <v>0.1232810087024054</v>
      </c>
      <c r="H10" s="2">
        <v>0.1098227228826659</v>
      </c>
      <c r="I10" s="2">
        <v>0.1116862537198013</v>
      </c>
      <c r="J10" s="2">
        <v>0.1347999380686479</v>
      </c>
      <c r="K10" s="2">
        <v>0.1230487554856219</v>
      </c>
      <c r="L10" s="2">
        <v>0.23684913537619309</v>
      </c>
      <c r="M10" s="2">
        <v>0.7442672640196728</v>
      </c>
      <c r="P10" s="80"/>
      <c r="Q10" s="80"/>
      <c r="Z10" s="6"/>
      <c r="AA10" s="6"/>
    </row>
    <row r="11" spans="1:27" ht="15" x14ac:dyDescent="0.2">
      <c r="B11" s="83" t="s">
        <v>98</v>
      </c>
      <c r="C11" s="2">
        <v>0.17638749918834321</v>
      </c>
      <c r="D11" s="2">
        <v>9.9817264602949027E-2</v>
      </c>
      <c r="E11" s="2">
        <v>0.13567286996933831</v>
      </c>
      <c r="F11" s="2">
        <v>0.208077020649689</v>
      </c>
      <c r="G11" s="2">
        <v>0.14668198744150271</v>
      </c>
      <c r="H11" s="2">
        <v>0.1368100858542742</v>
      </c>
      <c r="I11" s="2">
        <v>0.13944198786703921</v>
      </c>
      <c r="J11" s="2">
        <v>0.15369019265246689</v>
      </c>
      <c r="K11" s="2">
        <v>0.14343378671420379</v>
      </c>
      <c r="L11" s="2">
        <v>0.40345224187720719</v>
      </c>
      <c r="M11" s="2">
        <v>1.2942099568774781</v>
      </c>
      <c r="P11" s="80"/>
      <c r="Q11" s="80"/>
      <c r="Z11" s="6"/>
      <c r="AA11" s="6"/>
    </row>
    <row r="12" spans="1:27" ht="15" x14ac:dyDescent="0.2">
      <c r="B12" s="83" t="s">
        <v>99</v>
      </c>
      <c r="C12" s="2">
        <v>-6.6901711239143569E-2</v>
      </c>
      <c r="D12" s="2">
        <v>-3.8593692477604691E-2</v>
      </c>
      <c r="E12" s="2">
        <v>-3.6073118890854128E-2</v>
      </c>
      <c r="F12" s="2">
        <v>-0.12896536104614231</v>
      </c>
      <c r="G12" s="2">
        <v>-4.7606673237119368E-2</v>
      </c>
      <c r="H12" s="2">
        <v>-3.8740460647995467E-2</v>
      </c>
      <c r="I12" s="2">
        <v>-3.7956329084247183E-2</v>
      </c>
      <c r="J12" s="2">
        <v>-8.8990924531956228E-2</v>
      </c>
      <c r="K12" s="2">
        <v>-5.6311771520995528E-2</v>
      </c>
      <c r="L12" s="2">
        <v>-8.0296007110244871E-3</v>
      </c>
      <c r="M12" s="2">
        <v>5.3769599322215263E-2</v>
      </c>
      <c r="Z12" s="6"/>
      <c r="AA12" s="6"/>
    </row>
    <row r="13" spans="1:27" x14ac:dyDescent="0.2">
      <c r="C13" s="77"/>
      <c r="D13" s="2"/>
      <c r="E13" s="2"/>
      <c r="F13" s="77"/>
      <c r="G13" s="2"/>
      <c r="H13" s="2"/>
      <c r="I13" s="2"/>
      <c r="J13" s="2"/>
      <c r="K13" s="2"/>
      <c r="L13" s="2"/>
      <c r="M13" s="2"/>
      <c r="Z13" s="6"/>
      <c r="AA13" s="6"/>
    </row>
    <row r="14" spans="1:27" x14ac:dyDescent="0.2">
      <c r="P14" s="166"/>
      <c r="Q14" s="166"/>
      <c r="R14" s="166"/>
      <c r="S14" s="166"/>
      <c r="T14" s="166"/>
      <c r="U14" s="166"/>
      <c r="V14" s="166"/>
      <c r="W14" s="166"/>
      <c r="X14" s="166"/>
      <c r="Z14" s="6"/>
      <c r="AA14" s="6"/>
    </row>
    <row r="15" spans="1:27" x14ac:dyDescent="0.2">
      <c r="A15" s="78" t="s">
        <v>106</v>
      </c>
      <c r="B15" t="s">
        <v>107</v>
      </c>
      <c r="P15" s="80"/>
      <c r="Q15" s="80"/>
      <c r="R15" s="80"/>
      <c r="S15" s="80"/>
      <c r="T15" s="80"/>
      <c r="U15" s="80"/>
      <c r="V15" s="80"/>
      <c r="W15" s="80"/>
      <c r="X15" s="80"/>
      <c r="Z15" s="6"/>
      <c r="AA15" s="6"/>
    </row>
    <row r="16" spans="1:27" x14ac:dyDescent="0.2">
      <c r="B16" t="s">
        <v>145</v>
      </c>
      <c r="H16" s="79" t="s">
        <v>108</v>
      </c>
      <c r="P16" s="80"/>
      <c r="Q16" s="80"/>
      <c r="R16" s="80"/>
      <c r="S16" s="80"/>
      <c r="T16" s="80"/>
      <c r="U16" s="80"/>
      <c r="V16" s="80"/>
      <c r="W16" s="80"/>
      <c r="X16" s="80"/>
      <c r="Z16" s="6"/>
      <c r="AA16" s="6"/>
    </row>
    <row r="17" spans="1:27" x14ac:dyDescent="0.2">
      <c r="B17" t="s">
        <v>146</v>
      </c>
      <c r="H17" s="79"/>
      <c r="Z17" s="6"/>
      <c r="AA17" s="6"/>
    </row>
    <row r="18" spans="1:27" x14ac:dyDescent="0.2">
      <c r="Z18" s="6"/>
      <c r="AA18" s="6"/>
    </row>
    <row r="19" spans="1:27" x14ac:dyDescent="0.2">
      <c r="A19" s="78" t="s">
        <v>109</v>
      </c>
      <c r="B19" t="s">
        <v>117</v>
      </c>
      <c r="Z19" s="6"/>
      <c r="AA19" s="6"/>
    </row>
    <row r="20" spans="1:27" x14ac:dyDescent="0.2">
      <c r="Z20" s="6"/>
      <c r="AA20" s="6"/>
    </row>
    <row r="21" spans="1:27" x14ac:dyDescent="0.2">
      <c r="A21" s="78" t="s">
        <v>110</v>
      </c>
      <c r="B21" s="160" t="s">
        <v>111</v>
      </c>
      <c r="C21" s="160"/>
      <c r="D21" s="160"/>
      <c r="E21" s="160"/>
      <c r="F21" s="73">
        <f>Q15+Q16*'2. Past Proj &amp; Candidate Model'!R19</f>
        <v>0</v>
      </c>
      <c r="G21" s="81" t="s">
        <v>112</v>
      </c>
      <c r="H21" s="2" t="e">
        <f>'2. Past Proj &amp; Candidate Model'!S19/'3. Improved Alpha Model'!F21-1</f>
        <v>#DIV/0!</v>
      </c>
      <c r="Z21" s="6"/>
      <c r="AA21" s="6"/>
    </row>
    <row r="22" spans="1:27" x14ac:dyDescent="0.2">
      <c r="B22" t="s">
        <v>169</v>
      </c>
      <c r="P22" s="166"/>
      <c r="Q22" s="166"/>
      <c r="R22" s="166"/>
      <c r="Z22" s="6"/>
      <c r="AA22" s="6"/>
    </row>
    <row r="23" spans="1:27" x14ac:dyDescent="0.2">
      <c r="B23" t="s">
        <v>115</v>
      </c>
      <c r="P23" s="80"/>
      <c r="Q23" s="80"/>
      <c r="R23" s="80"/>
      <c r="Z23" s="6"/>
      <c r="AA23" s="6"/>
    </row>
    <row r="24" spans="1:27" x14ac:dyDescent="0.2">
      <c r="B24" t="s">
        <v>170</v>
      </c>
      <c r="P24" s="80"/>
      <c r="Q24" s="80"/>
      <c r="R24" s="80"/>
      <c r="Z24" s="6"/>
      <c r="AA24" s="6"/>
    </row>
    <row r="25" spans="1:27" x14ac:dyDescent="0.2">
      <c r="B25" s="161" t="s">
        <v>171</v>
      </c>
      <c r="C25" s="161"/>
      <c r="D25" s="161"/>
      <c r="E25" s="3">
        <f>C11</f>
        <v>0.17638749918834321</v>
      </c>
      <c r="F25" t="s">
        <v>113</v>
      </c>
      <c r="G25" s="161" t="s">
        <v>114</v>
      </c>
      <c r="H25" s="161"/>
      <c r="I25" s="3">
        <f>F11</f>
        <v>0.208077020649689</v>
      </c>
      <c r="P25" s="80"/>
      <c r="Q25" s="80"/>
      <c r="R25" s="80"/>
      <c r="Z25" s="6"/>
      <c r="AA25" s="6"/>
    </row>
    <row r="26" spans="1:27" x14ac:dyDescent="0.2">
      <c r="P26" s="80"/>
      <c r="Q26" s="80"/>
      <c r="R26" s="80"/>
      <c r="Z26" s="6"/>
      <c r="AA26" s="6"/>
    </row>
    <row r="27" spans="1:27" x14ac:dyDescent="0.2">
      <c r="P27" s="80"/>
      <c r="Q27" s="80"/>
      <c r="R27" s="80"/>
      <c r="Z27" s="6"/>
      <c r="AA27" s="6"/>
    </row>
    <row r="28" spans="1:27" x14ac:dyDescent="0.2">
      <c r="A28" s="78" t="s">
        <v>118</v>
      </c>
      <c r="B28" t="s">
        <v>119</v>
      </c>
      <c r="P28" s="80"/>
      <c r="Q28" s="80"/>
      <c r="R28" s="80"/>
      <c r="Z28" s="6"/>
      <c r="AA28" s="6"/>
    </row>
    <row r="29" spans="1:27" x14ac:dyDescent="0.2">
      <c r="B29" t="s">
        <v>120</v>
      </c>
      <c r="P29" s="80"/>
      <c r="Q29" s="80"/>
      <c r="R29" s="80"/>
      <c r="Z29" s="6"/>
      <c r="AA29" s="6"/>
    </row>
    <row r="30" spans="1:27" x14ac:dyDescent="0.2">
      <c r="B30" t="s">
        <v>121</v>
      </c>
      <c r="P30" s="80"/>
      <c r="Q30" s="80"/>
      <c r="R30" s="80"/>
      <c r="Z30" s="6"/>
      <c r="AA30" s="6"/>
    </row>
    <row r="31" spans="1:27" x14ac:dyDescent="0.2">
      <c r="B31" t="s">
        <v>122</v>
      </c>
      <c r="P31" s="80"/>
      <c r="Q31" s="80"/>
      <c r="R31" s="80"/>
      <c r="Z31" s="6"/>
      <c r="AA31" s="6"/>
    </row>
    <row r="32" spans="1:27" x14ac:dyDescent="0.2">
      <c r="B32" t="s">
        <v>123</v>
      </c>
      <c r="P32" s="80"/>
      <c r="Q32" s="80"/>
      <c r="R32" s="80"/>
      <c r="Z32" s="6"/>
      <c r="AA32" s="6"/>
    </row>
    <row r="33" spans="2:27" x14ac:dyDescent="0.2">
      <c r="B33" t="s">
        <v>124</v>
      </c>
      <c r="P33" s="80"/>
      <c r="Q33" s="80"/>
      <c r="R33" s="80"/>
      <c r="Z33" s="6"/>
      <c r="AA33" s="6"/>
    </row>
    <row r="34" spans="2:27" x14ac:dyDescent="0.2">
      <c r="B34" t="s">
        <v>125</v>
      </c>
      <c r="P34" s="80"/>
      <c r="Q34" s="80"/>
      <c r="R34" s="80"/>
      <c r="Z34" s="6"/>
      <c r="AA34" s="6"/>
    </row>
    <row r="35" spans="2:27" x14ac:dyDescent="0.2">
      <c r="B35" t="s">
        <v>126</v>
      </c>
      <c r="P35" s="80"/>
      <c r="Q35" s="80"/>
      <c r="R35" s="80"/>
      <c r="Z35" s="6"/>
      <c r="AA35" s="6"/>
    </row>
    <row r="36" spans="2:27" x14ac:dyDescent="0.2">
      <c r="B36" t="s">
        <v>127</v>
      </c>
      <c r="P36" s="80"/>
      <c r="Q36" s="80"/>
      <c r="R36" s="80"/>
      <c r="Z36" s="6"/>
      <c r="AA36" s="6"/>
    </row>
    <row r="37" spans="2:27" x14ac:dyDescent="0.2">
      <c r="B37" t="s">
        <v>128</v>
      </c>
      <c r="Q37" s="80"/>
      <c r="R37" s="80"/>
      <c r="Z37" s="6"/>
      <c r="AA37" s="6"/>
    </row>
    <row r="38" spans="2:27" x14ac:dyDescent="0.2">
      <c r="Q38" s="80"/>
      <c r="R38" s="80"/>
      <c r="Z38" s="6"/>
      <c r="AA38" s="6"/>
    </row>
    <row r="39" spans="2:27" x14ac:dyDescent="0.2">
      <c r="P39" s="80"/>
      <c r="Q39" s="80"/>
      <c r="R39" s="80"/>
      <c r="Z39" s="6"/>
      <c r="AA39" s="6"/>
    </row>
    <row r="40" spans="2:27" x14ac:dyDescent="0.2">
      <c r="Z40" s="6"/>
    </row>
    <row r="41" spans="2:27" x14ac:dyDescent="0.2">
      <c r="Z41" s="6"/>
    </row>
  </sheetData>
  <mergeCells count="5">
    <mergeCell ref="D8:N8"/>
    <mergeCell ref="B8:C8"/>
    <mergeCell ref="B21:E21"/>
    <mergeCell ref="B25:D25"/>
    <mergeCell ref="G25:H25"/>
  </mergeCells>
  <conditionalFormatting sqref="C10:K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7"/>
  <sheetViews>
    <sheetView tabSelected="1" zoomScale="85" zoomScaleNormal="85" workbookViewId="0">
      <selection activeCell="C44" sqref="C44"/>
    </sheetView>
  </sheetViews>
  <sheetFormatPr defaultRowHeight="12.75" x14ac:dyDescent="0.2"/>
  <cols>
    <col min="1" max="1" width="9.140625" style="78"/>
    <col min="3" max="3" width="18.5703125" customWidth="1"/>
    <col min="4" max="13" width="14.7109375" customWidth="1"/>
  </cols>
  <sheetData>
    <row r="1" spans="1:25" x14ac:dyDescent="0.2">
      <c r="A1" s="78" t="s">
        <v>130</v>
      </c>
      <c r="B1" t="s">
        <v>85</v>
      </c>
    </row>
    <row r="2" spans="1:25" x14ac:dyDescent="0.2">
      <c r="A2" s="78" t="s">
        <v>100</v>
      </c>
      <c r="B2" s="93" t="s">
        <v>172</v>
      </c>
      <c r="C2" s="94" t="str">
        <f>'3. Improved Alpha Model'!A9</f>
        <v>AVG</v>
      </c>
      <c r="E2" s="94" t="s">
        <v>86</v>
      </c>
      <c r="F2" t="s">
        <v>173</v>
      </c>
    </row>
    <row r="4" spans="1:25" x14ac:dyDescent="0.2">
      <c r="A4" s="78" t="s">
        <v>101</v>
      </c>
      <c r="B4" t="s">
        <v>129</v>
      </c>
    </row>
    <row r="5" spans="1:25" ht="15" x14ac:dyDescent="0.2">
      <c r="C5" s="83" t="s">
        <v>86</v>
      </c>
      <c r="D5" s="83" t="s">
        <v>87</v>
      </c>
      <c r="E5" s="83" t="s">
        <v>88</v>
      </c>
      <c r="F5" s="83" t="s">
        <v>89</v>
      </c>
      <c r="G5" s="83" t="s">
        <v>90</v>
      </c>
      <c r="H5" s="83" t="s">
        <v>91</v>
      </c>
      <c r="I5" s="83" t="s">
        <v>92</v>
      </c>
      <c r="J5" s="83" t="s">
        <v>93</v>
      </c>
      <c r="K5" s="83" t="s">
        <v>94</v>
      </c>
      <c r="L5" s="83" t="s">
        <v>95</v>
      </c>
      <c r="M5" s="83" t="s">
        <v>96</v>
      </c>
    </row>
    <row r="6" spans="1:25" ht="15" x14ac:dyDescent="0.2">
      <c r="B6" s="83" t="s">
        <v>97</v>
      </c>
      <c r="C6" s="2">
        <v>0.1034333687593105</v>
      </c>
      <c r="D6" s="2">
        <v>8.5768332062374761E-2</v>
      </c>
      <c r="E6" s="2">
        <v>0.1068978864856082</v>
      </c>
      <c r="F6" s="2">
        <v>0.1606200595893035</v>
      </c>
      <c r="G6" s="2">
        <v>0.1146815811775877</v>
      </c>
      <c r="H6" s="2">
        <v>0.11107358481565539</v>
      </c>
      <c r="I6" s="2">
        <v>0.1127954763476548</v>
      </c>
      <c r="J6" s="2">
        <v>0.12503669809218021</v>
      </c>
      <c r="K6" s="2">
        <v>0.11496708726201101</v>
      </c>
      <c r="L6" s="2">
        <v>0.2248218378840651</v>
      </c>
      <c r="M6" s="2">
        <v>0.68645022698175329</v>
      </c>
    </row>
    <row r="7" spans="1:25" ht="15" x14ac:dyDescent="0.2">
      <c r="B7" s="83" t="s">
        <v>98</v>
      </c>
      <c r="C7" s="2">
        <v>0.1681788816866725</v>
      </c>
      <c r="D7" s="2">
        <v>0.10554575063555501</v>
      </c>
      <c r="E7" s="2">
        <v>0.13446223439074409</v>
      </c>
      <c r="F7" s="2">
        <v>0.2023842990578181</v>
      </c>
      <c r="G7" s="2">
        <v>0.14012300308183101</v>
      </c>
      <c r="H7" s="2">
        <v>0.13566085959815419</v>
      </c>
      <c r="I7" s="2">
        <v>0.13810037280744569</v>
      </c>
      <c r="J7" s="2">
        <v>0.14677061532211241</v>
      </c>
      <c r="K7" s="2">
        <v>0.13714582878195761</v>
      </c>
      <c r="L7" s="2">
        <v>0.38596603471669938</v>
      </c>
      <c r="M7" s="2">
        <v>1.2344125821309031</v>
      </c>
    </row>
    <row r="8" spans="1:25" ht="15" x14ac:dyDescent="0.2">
      <c r="B8" s="83" t="s">
        <v>99</v>
      </c>
      <c r="C8" s="2">
        <v>-6.48379052369078E-2</v>
      </c>
      <c r="D8" s="2">
        <v>-4.2704626334519658E-2</v>
      </c>
      <c r="E8" s="2">
        <v>-4.0456789389164083E-2</v>
      </c>
      <c r="F8" s="2">
        <v>-0.11656426246495399</v>
      </c>
      <c r="G8" s="2">
        <v>-2.9977115882550479E-2</v>
      </c>
      <c r="H8" s="2">
        <v>-4.5669069214985258E-2</v>
      </c>
      <c r="I8" s="2">
        <v>-4.359825225416003E-2</v>
      </c>
      <c r="J8" s="2">
        <v>-8.3719083942214056E-2</v>
      </c>
      <c r="K8" s="2">
        <v>-4.7299806930408687E-2</v>
      </c>
      <c r="L8" s="2">
        <v>-4.661279840937349E-2</v>
      </c>
      <c r="M8" s="2">
        <v>4.1519097698939238E-2</v>
      </c>
    </row>
    <row r="10" spans="1:25" ht="15" x14ac:dyDescent="0.2">
      <c r="A10" s="78" t="s">
        <v>102</v>
      </c>
      <c r="B10" s="84" t="s">
        <v>174</v>
      </c>
    </row>
    <row r="12" spans="1:25" x14ac:dyDescent="0.2">
      <c r="A12" s="78" t="s">
        <v>103</v>
      </c>
      <c r="B12" t="s">
        <v>144</v>
      </c>
    </row>
    <row r="13" spans="1:25" ht="15" x14ac:dyDescent="0.2">
      <c r="B13" s="83" t="s">
        <v>131</v>
      </c>
      <c r="C13" s="83" t="s">
        <v>132</v>
      </c>
      <c r="D13" s="83" t="s">
        <v>86</v>
      </c>
      <c r="E13" s="83" t="s">
        <v>87</v>
      </c>
      <c r="F13" s="83" t="s">
        <v>88</v>
      </c>
      <c r="G13" s="83" t="s">
        <v>89</v>
      </c>
      <c r="H13" s="83" t="s">
        <v>90</v>
      </c>
      <c r="I13" s="83" t="s">
        <v>91</v>
      </c>
      <c r="J13" s="83" t="s">
        <v>92</v>
      </c>
      <c r="K13" s="83" t="s">
        <v>93</v>
      </c>
      <c r="L13" s="83" t="s">
        <v>94</v>
      </c>
      <c r="M13" s="83" t="s">
        <v>95</v>
      </c>
      <c r="N13" s="83" t="s">
        <v>96</v>
      </c>
      <c r="O13" s="83" t="s">
        <v>133</v>
      </c>
      <c r="P13" s="83" t="s">
        <v>134</v>
      </c>
      <c r="Q13" s="83" t="s">
        <v>135</v>
      </c>
      <c r="R13" s="83" t="s">
        <v>136</v>
      </c>
      <c r="S13" s="83" t="s">
        <v>137</v>
      </c>
      <c r="T13" s="83" t="s">
        <v>138</v>
      </c>
      <c r="U13" s="83" t="s">
        <v>139</v>
      </c>
      <c r="V13" s="83" t="s">
        <v>140</v>
      </c>
      <c r="W13" s="83" t="s">
        <v>141</v>
      </c>
      <c r="X13" s="83" t="s">
        <v>142</v>
      </c>
      <c r="Y13" s="83" t="s">
        <v>143</v>
      </c>
    </row>
    <row r="14" spans="1:25" x14ac:dyDescent="0.2">
      <c r="B14" t="s">
        <v>42</v>
      </c>
      <c r="C14">
        <v>19.2</v>
      </c>
      <c r="D14">
        <v>22.4</v>
      </c>
      <c r="E14">
        <v>20.6</v>
      </c>
      <c r="O14" s="2"/>
      <c r="P14" s="2">
        <f>E14/C14-1</f>
        <v>7.2916666666666741E-2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43</v>
      </c>
      <c r="C15">
        <v>20.399999999999999</v>
      </c>
      <c r="D15">
        <v>20.5</v>
      </c>
      <c r="E15">
        <v>22.1</v>
      </c>
      <c r="O15" s="2"/>
      <c r="P15" s="2">
        <f t="shared" ref="P15:P17" si="0">E15/C15-1</f>
        <v>8.3333333333333481E-2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44</v>
      </c>
      <c r="C16">
        <v>21</v>
      </c>
      <c r="D16">
        <v>21.8</v>
      </c>
      <c r="E16">
        <v>22.3</v>
      </c>
      <c r="O16" s="2"/>
      <c r="P16" s="2">
        <f t="shared" si="0"/>
        <v>6.1904761904761907E-2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45</v>
      </c>
      <c r="C17">
        <v>23.1</v>
      </c>
      <c r="D17">
        <v>20.7</v>
      </c>
      <c r="E17">
        <v>21.3</v>
      </c>
      <c r="O17" s="2"/>
      <c r="P17" s="2">
        <f t="shared" si="0"/>
        <v>-7.7922077922077948E-2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46</v>
      </c>
      <c r="C18">
        <v>23</v>
      </c>
      <c r="D18">
        <v>22.4</v>
      </c>
      <c r="E18">
        <v>24</v>
      </c>
      <c r="F18">
        <v>22.06949384404923</v>
      </c>
      <c r="G18">
        <v>19.748571428571399</v>
      </c>
      <c r="H18">
        <v>19.319681908548699</v>
      </c>
      <c r="I18">
        <v>21.101988576264009</v>
      </c>
      <c r="J18">
        <v>20.925000000000001</v>
      </c>
      <c r="K18">
        <v>20.831956402200941</v>
      </c>
      <c r="L18">
        <v>20.005714285714291</v>
      </c>
      <c r="M18">
        <v>-3.031171388199255</v>
      </c>
      <c r="N18">
        <v>109.9917857840628</v>
      </c>
      <c r="O18" s="2">
        <v>-2.6086956521739198E-2</v>
      </c>
      <c r="P18" s="2">
        <v>4.3478260869565188E-2</v>
      </c>
      <c r="Q18" s="2">
        <v>-4.0456789389164083E-2</v>
      </c>
      <c r="R18" s="2">
        <v>-0.14136645962733049</v>
      </c>
      <c r="S18" s="2">
        <v>-0.16001383006309991</v>
      </c>
      <c r="T18" s="2">
        <v>-8.2522235814608158E-2</v>
      </c>
      <c r="U18" s="2">
        <v>-9.0217391304347916E-2</v>
      </c>
      <c r="V18" s="2">
        <v>-9.42627651216984E-2</v>
      </c>
      <c r="W18" s="2">
        <v>-0.13018633540372659</v>
      </c>
      <c r="X18" s="2">
        <v>-1.131790060356489</v>
      </c>
      <c r="Y18" s="2">
        <v>3.7822515558288181</v>
      </c>
    </row>
    <row r="19" spans="2:25" x14ac:dyDescent="0.2">
      <c r="B19" t="s">
        <v>47</v>
      </c>
      <c r="C19">
        <v>26.1</v>
      </c>
      <c r="D19">
        <v>24.3</v>
      </c>
      <c r="E19">
        <v>25.2</v>
      </c>
      <c r="F19">
        <v>23.68971218616047</v>
      </c>
      <c r="G19">
        <v>20.516026410564251</v>
      </c>
      <c r="H19">
        <v>22.417954892061449</v>
      </c>
      <c r="I19">
        <v>23.686120452460258</v>
      </c>
      <c r="J19">
        <v>23.521463563992651</v>
      </c>
      <c r="K19">
        <v>22.016502480625181</v>
      </c>
      <c r="L19">
        <v>22.536905237850959</v>
      </c>
      <c r="M19">
        <v>23.580311877154902</v>
      </c>
      <c r="N19">
        <v>53.921170116704161</v>
      </c>
      <c r="O19" s="2">
        <v>-6.8965517241379337E-2</v>
      </c>
      <c r="P19" s="2">
        <v>-3.4482758620689717E-2</v>
      </c>
      <c r="Q19" s="2">
        <v>-9.2348192101131432E-2</v>
      </c>
      <c r="R19" s="2">
        <v>-0.2139453482542433</v>
      </c>
      <c r="S19" s="2">
        <v>-0.14107452520837371</v>
      </c>
      <c r="T19" s="2">
        <v>-9.2485806419147276E-2</v>
      </c>
      <c r="U19" s="2">
        <v>-9.8794499463883301E-2</v>
      </c>
      <c r="V19" s="2">
        <v>-0.15645584365420781</v>
      </c>
      <c r="W19" s="2">
        <v>-0.1365170406953656</v>
      </c>
      <c r="X19" s="2">
        <v>-9.6539774821651436E-2</v>
      </c>
      <c r="Y19" s="2">
        <v>1.0659452151993929</v>
      </c>
    </row>
    <row r="20" spans="2:25" x14ac:dyDescent="0.2">
      <c r="B20" t="s">
        <v>48</v>
      </c>
      <c r="C20">
        <v>28.1</v>
      </c>
      <c r="D20">
        <v>25.8</v>
      </c>
      <c r="E20">
        <v>26.9</v>
      </c>
      <c r="F20">
        <v>27.20952650016951</v>
      </c>
      <c r="G20">
        <v>26.026490526681709</v>
      </c>
      <c r="H20">
        <v>27.25764304370033</v>
      </c>
      <c r="I20">
        <v>27.206086956523741</v>
      </c>
      <c r="J20">
        <v>27.19196519380721</v>
      </c>
      <c r="K20">
        <v>25.747493741223781</v>
      </c>
      <c r="L20">
        <v>26.946106904735</v>
      </c>
      <c r="M20">
        <v>30.2528473169221</v>
      </c>
      <c r="N20">
        <v>41.918677443724853</v>
      </c>
      <c r="O20" s="2">
        <v>-8.1850533807829251E-2</v>
      </c>
      <c r="P20" s="2">
        <v>-4.2704626334519658E-2</v>
      </c>
      <c r="Q20" s="2">
        <v>-3.1689448392544173E-2</v>
      </c>
      <c r="R20" s="2">
        <v>-7.3790372715953567E-2</v>
      </c>
      <c r="S20" s="2">
        <v>-2.9977115882550479E-2</v>
      </c>
      <c r="T20" s="2">
        <v>-3.1811852081005683E-2</v>
      </c>
      <c r="U20" s="2">
        <v>-3.2314405914334321E-2</v>
      </c>
      <c r="V20" s="2">
        <v>-8.3719083942214056E-2</v>
      </c>
      <c r="W20" s="2">
        <v>-4.1063811219395167E-2</v>
      </c>
      <c r="X20" s="2">
        <v>7.6613783520359302E-2</v>
      </c>
      <c r="Y20" s="2">
        <v>0.49176788055960308</v>
      </c>
    </row>
    <row r="21" spans="2:25" x14ac:dyDescent="0.2">
      <c r="B21" t="s">
        <v>49</v>
      </c>
      <c r="C21">
        <v>31.1</v>
      </c>
      <c r="D21">
        <v>29.4</v>
      </c>
      <c r="E21">
        <v>29.1</v>
      </c>
      <c r="F21">
        <v>30.556612723214261</v>
      </c>
      <c r="G21">
        <v>32.132333333333357</v>
      </c>
      <c r="H21">
        <v>30.859171031270009</v>
      </c>
      <c r="I21">
        <v>30.55414904002081</v>
      </c>
      <c r="J21">
        <v>30.54316871279762</v>
      </c>
      <c r="K21">
        <v>30.651811254300888</v>
      </c>
      <c r="L21">
        <v>29.628976004464288</v>
      </c>
      <c r="M21">
        <v>33.258463082723097</v>
      </c>
      <c r="N21">
        <v>32.391243938437007</v>
      </c>
      <c r="O21" s="2">
        <v>-5.4662379421221978E-2</v>
      </c>
      <c r="P21" s="2">
        <v>-6.4308681672025747E-2</v>
      </c>
      <c r="Q21" s="2">
        <v>-1.7472259703721679E-2</v>
      </c>
      <c r="R21" s="2">
        <v>3.3193997856378221E-2</v>
      </c>
      <c r="S21" s="2">
        <v>-7.7436967437295454E-3</v>
      </c>
      <c r="T21" s="2">
        <v>-1.7551477812835729E-2</v>
      </c>
      <c r="U21" s="2">
        <v>-1.7904542996861061E-2</v>
      </c>
      <c r="V21" s="2">
        <v>-1.44112136880743E-2</v>
      </c>
      <c r="W21" s="2">
        <v>-4.7299806930408687E-2</v>
      </c>
      <c r="X21" s="2">
        <v>6.940395764382945E-2</v>
      </c>
      <c r="Y21" s="2">
        <v>4.1519097698939238E-2</v>
      </c>
    </row>
    <row r="22" spans="2:25" x14ac:dyDescent="0.2">
      <c r="B22" t="s">
        <v>50</v>
      </c>
      <c r="C22">
        <v>29.1</v>
      </c>
      <c r="D22">
        <v>28.9</v>
      </c>
      <c r="E22">
        <v>29</v>
      </c>
      <c r="F22">
        <v>30.728347261099639</v>
      </c>
      <c r="G22">
        <v>30.795097785647481</v>
      </c>
      <c r="H22">
        <v>30.836265284988741</v>
      </c>
      <c r="I22">
        <v>30.72724765579931</v>
      </c>
      <c r="J22">
        <v>30.721727315448589</v>
      </c>
      <c r="K22">
        <v>30.57829461902276</v>
      </c>
      <c r="L22">
        <v>30.352270301109051</v>
      </c>
      <c r="M22">
        <v>31.18370311417679</v>
      </c>
      <c r="N22">
        <v>31.021184937513791</v>
      </c>
      <c r="O22" s="2">
        <v>-6.8728522336770634E-3</v>
      </c>
      <c r="P22" s="2">
        <v>-3.4364261168385868E-3</v>
      </c>
      <c r="Q22" s="2">
        <v>5.5956950553252227E-2</v>
      </c>
      <c r="R22" s="2">
        <v>5.8250783011940983E-2</v>
      </c>
      <c r="S22" s="2">
        <v>5.966547371095321E-2</v>
      </c>
      <c r="T22" s="2">
        <v>5.5919163429529517E-2</v>
      </c>
      <c r="U22" s="2">
        <v>5.5729461011978947E-2</v>
      </c>
      <c r="V22" s="2">
        <v>5.0800502371916252E-2</v>
      </c>
      <c r="W22" s="2">
        <v>4.3033343680723313E-2</v>
      </c>
      <c r="X22" s="2">
        <v>7.1604918012947882E-2</v>
      </c>
      <c r="Y22" s="2">
        <v>6.6020100945491267E-2</v>
      </c>
    </row>
    <row r="23" spans="2:25" x14ac:dyDescent="0.2">
      <c r="B23" t="s">
        <v>55</v>
      </c>
      <c r="C23">
        <v>28.8</v>
      </c>
      <c r="D23">
        <v>15.7</v>
      </c>
      <c r="E23">
        <v>26.9</v>
      </c>
      <c r="F23">
        <v>27.546942988724791</v>
      </c>
      <c r="G23">
        <v>15.029385138151699</v>
      </c>
      <c r="H23">
        <v>26.92119655895938</v>
      </c>
      <c r="I23">
        <v>27.484730806608429</v>
      </c>
      <c r="J23">
        <v>27.544370335080188</v>
      </c>
      <c r="K23">
        <v>22.922513647873579</v>
      </c>
      <c r="L23">
        <v>26.918676399986431</v>
      </c>
      <c r="M23">
        <v>27.45755140581004</v>
      </c>
      <c r="N23">
        <v>28.03505557617984</v>
      </c>
      <c r="O23" s="2">
        <v>-0.45486111111111122</v>
      </c>
      <c r="P23" s="2">
        <v>-6.5972222222222321E-2</v>
      </c>
      <c r="Q23" s="2">
        <v>-4.3508924002611422E-2</v>
      </c>
      <c r="R23" s="2">
        <v>-0.47814634936973283</v>
      </c>
      <c r="S23" s="2">
        <v>-6.523623059168826E-2</v>
      </c>
      <c r="T23" s="2">
        <v>-4.5669069214985258E-2</v>
      </c>
      <c r="U23" s="2">
        <v>-4.359825225416003E-2</v>
      </c>
      <c r="V23" s="2">
        <v>-0.20407938722661181</v>
      </c>
      <c r="W23" s="2">
        <v>-6.5323736111582376E-2</v>
      </c>
      <c r="X23" s="2">
        <v>-4.661279840937349E-2</v>
      </c>
      <c r="Y23" s="2">
        <v>-2.6560570271533249E-2</v>
      </c>
    </row>
    <row r="24" spans="2:25" x14ac:dyDescent="0.2">
      <c r="B24" t="s">
        <v>52</v>
      </c>
      <c r="C24">
        <v>40.1</v>
      </c>
      <c r="D24">
        <v>37.5</v>
      </c>
      <c r="E24">
        <v>34.200000000000003</v>
      </c>
      <c r="F24">
        <v>37.024481737413637</v>
      </c>
      <c r="G24">
        <v>31.674480184823171</v>
      </c>
      <c r="H24">
        <v>36.257772039293442</v>
      </c>
      <c r="I24">
        <v>36.69746491476954</v>
      </c>
      <c r="J24">
        <v>37.013869693978293</v>
      </c>
      <c r="K24">
        <v>36.257104808613413</v>
      </c>
      <c r="L24">
        <v>36.291148113935463</v>
      </c>
      <c r="M24">
        <v>36.976825162832263</v>
      </c>
      <c r="N24">
        <v>17.751663996474459</v>
      </c>
      <c r="O24" s="2">
        <v>-6.48379052369078E-2</v>
      </c>
      <c r="P24" s="2">
        <v>-0.14713216957605979</v>
      </c>
      <c r="Q24" s="2">
        <v>-7.6696216024597419E-2</v>
      </c>
      <c r="R24" s="2">
        <v>-0.21011271359543199</v>
      </c>
      <c r="S24" s="2">
        <v>-9.5816158621111147E-2</v>
      </c>
      <c r="T24" s="2">
        <v>-8.4851249008240925E-2</v>
      </c>
      <c r="U24" s="2">
        <v>-7.6960855511763349E-2</v>
      </c>
      <c r="V24" s="2">
        <v>-9.5832797790189272E-2</v>
      </c>
      <c r="W24" s="2">
        <v>-9.4983837557719109E-2</v>
      </c>
      <c r="X24" s="2">
        <v>-7.7884659280991198E-2</v>
      </c>
      <c r="Y24" s="2">
        <v>-0.55731511230737008</v>
      </c>
    </row>
    <row r="25" spans="2:25" x14ac:dyDescent="0.2">
      <c r="B25" t="s">
        <v>53</v>
      </c>
      <c r="C25">
        <v>43.1</v>
      </c>
      <c r="D25">
        <v>43.1</v>
      </c>
      <c r="E25">
        <v>44.6</v>
      </c>
      <c r="F25">
        <v>53.481818181818213</v>
      </c>
      <c r="G25">
        <v>41.08936590140307</v>
      </c>
      <c r="H25">
        <v>53.479470733294029</v>
      </c>
      <c r="I25">
        <v>53.480227765924027</v>
      </c>
      <c r="J25">
        <v>53.469560117302052</v>
      </c>
      <c r="K25">
        <v>53.477613097100999</v>
      </c>
      <c r="L25">
        <v>53.145050627648807</v>
      </c>
      <c r="M25">
        <v>63.724044018987414</v>
      </c>
      <c r="N25">
        <v>73.169321215839688</v>
      </c>
      <c r="O25" s="2">
        <v>0</v>
      </c>
      <c r="P25" s="2">
        <v>3.4802784222737859E-2</v>
      </c>
      <c r="Q25" s="2">
        <v>0.24087745201434349</v>
      </c>
      <c r="R25" s="2">
        <v>-4.6650443122898677E-2</v>
      </c>
      <c r="S25" s="2">
        <v>0.2408229868513696</v>
      </c>
      <c r="T25" s="2">
        <v>0.24084055141355051</v>
      </c>
      <c r="U25" s="2">
        <v>0.24059304216478081</v>
      </c>
      <c r="V25" s="2">
        <v>0.24077988624364249</v>
      </c>
      <c r="W25" s="2">
        <v>0.2330638196670258</v>
      </c>
      <c r="X25" s="2">
        <v>0.47851610252871041</v>
      </c>
      <c r="Y25" s="2">
        <v>0.69766406533270731</v>
      </c>
    </row>
    <row r="26" spans="2:25" x14ac:dyDescent="0.2">
      <c r="B26" t="s">
        <v>54</v>
      </c>
      <c r="C26">
        <v>43.7</v>
      </c>
      <c r="D26">
        <v>38.9</v>
      </c>
      <c r="E26">
        <v>51.2</v>
      </c>
      <c r="F26">
        <v>53.37597806215723</v>
      </c>
      <c r="G26">
        <v>38.606141730281507</v>
      </c>
      <c r="H26">
        <v>52.725591177252348</v>
      </c>
      <c r="I26">
        <v>52.875553864504198</v>
      </c>
      <c r="J26">
        <v>53.312753199268741</v>
      </c>
      <c r="K26">
        <v>51.561334288621723</v>
      </c>
      <c r="L26">
        <v>52.677240890968562</v>
      </c>
      <c r="M26">
        <v>45.035192188346088</v>
      </c>
      <c r="N26">
        <v>25.424722534414968</v>
      </c>
      <c r="O26" s="2">
        <v>-0.10983981693363851</v>
      </c>
      <c r="P26" s="2">
        <v>0.1716247139588101</v>
      </c>
      <c r="Q26" s="2">
        <v>0.2214182622919274</v>
      </c>
      <c r="R26" s="2">
        <v>-0.11656426246495399</v>
      </c>
      <c r="S26" s="2">
        <v>0.20653526721401261</v>
      </c>
      <c r="T26" s="2">
        <v>0.2099669076545583</v>
      </c>
      <c r="U26" s="2">
        <v>0.21997146909081791</v>
      </c>
      <c r="V26" s="2">
        <v>0.17989323314923841</v>
      </c>
      <c r="W26" s="2">
        <v>0.2054288533402415</v>
      </c>
      <c r="X26" s="2">
        <v>3.055359698732452E-2</v>
      </c>
      <c r="Y26" s="2">
        <v>-0.41819856900652252</v>
      </c>
    </row>
    <row r="27" spans="2:25" x14ac:dyDescent="0.2">
      <c r="B27" t="s">
        <v>55</v>
      </c>
      <c r="C27">
        <v>61.9</v>
      </c>
      <c r="D27">
        <v>45.2</v>
      </c>
      <c r="E27">
        <v>50.5</v>
      </c>
      <c r="F27">
        <v>47.430443035055013</v>
      </c>
      <c r="G27">
        <v>45.672210715482322</v>
      </c>
      <c r="H27">
        <v>47.915254747709483</v>
      </c>
      <c r="I27">
        <v>47.253908100949573</v>
      </c>
      <c r="J27">
        <v>46.995803577673243</v>
      </c>
      <c r="K27">
        <v>47.801367081831323</v>
      </c>
      <c r="L27">
        <v>47.440966541523082</v>
      </c>
      <c r="M27">
        <v>44.012651633804239</v>
      </c>
      <c r="N27">
        <v>43.612853718430941</v>
      </c>
      <c r="O27" s="2">
        <v>-0.26978998384491099</v>
      </c>
      <c r="P27" s="2">
        <v>-0.18416801292407101</v>
      </c>
      <c r="Q27" s="2">
        <v>-0.2337569784320678</v>
      </c>
      <c r="R27" s="2">
        <v>-0.26216137777896092</v>
      </c>
      <c r="S27" s="2">
        <v>-0.22592480213716509</v>
      </c>
      <c r="T27" s="2">
        <v>-0.23660891597819769</v>
      </c>
      <c r="U27" s="2">
        <v>-0.24077861748508489</v>
      </c>
      <c r="V27" s="2">
        <v>-0.22776466749868629</v>
      </c>
      <c r="W27" s="2">
        <v>-0.23358697025003089</v>
      </c>
      <c r="X27" s="2">
        <v>-0.28897170220025459</v>
      </c>
      <c r="Y27" s="2">
        <v>-0.29543047304634978</v>
      </c>
    </row>
    <row r="28" spans="2:25" x14ac:dyDescent="0.2">
      <c r="B28" t="s">
        <v>71</v>
      </c>
      <c r="C28">
        <v>52.2</v>
      </c>
      <c r="D28">
        <v>52.2</v>
      </c>
      <c r="E28">
        <v>44.3</v>
      </c>
      <c r="F28">
        <v>45.847506465623617</v>
      </c>
      <c r="G28">
        <v>59.123732189131623</v>
      </c>
      <c r="H28">
        <v>50.702522630484737</v>
      </c>
      <c r="I28">
        <v>45.749008943602263</v>
      </c>
      <c r="J28">
        <v>45.733061922912853</v>
      </c>
      <c r="K28">
        <v>50.769495627304337</v>
      </c>
      <c r="L28">
        <v>50.417348857647909</v>
      </c>
      <c r="M28">
        <v>46.742549353342639</v>
      </c>
      <c r="N28">
        <v>46.547791485346423</v>
      </c>
      <c r="O28" s="2">
        <v>0</v>
      </c>
      <c r="P28" s="2">
        <v>-0.1513409961685824</v>
      </c>
      <c r="Q28" s="2">
        <v>-0.1216952784363292</v>
      </c>
      <c r="R28" s="2">
        <v>0.13263854768451361</v>
      </c>
      <c r="S28" s="2">
        <v>-2.868730592941127E-2</v>
      </c>
      <c r="T28" s="2">
        <v>-0.1235822041455505</v>
      </c>
      <c r="U28" s="2">
        <v>-0.1238877026261906</v>
      </c>
      <c r="V28" s="2">
        <v>-2.7404298327503129E-2</v>
      </c>
      <c r="W28" s="2">
        <v>-3.4150405025902157E-2</v>
      </c>
      <c r="X28" s="2">
        <v>-0.1045488629627848</v>
      </c>
      <c r="Y28" s="2">
        <v>-0.108279856602559</v>
      </c>
    </row>
    <row r="29" spans="2:25" x14ac:dyDescent="0.2">
      <c r="B29" s="167" t="s">
        <v>155</v>
      </c>
      <c r="C29" s="167"/>
      <c r="D29" s="167"/>
      <c r="E29">
        <f>E$28/(1+P29)</f>
        <v>44.786465645520217</v>
      </c>
      <c r="L29" s="173" t="s">
        <v>147</v>
      </c>
      <c r="M29" s="173"/>
      <c r="N29" s="173"/>
      <c r="O29" s="173"/>
      <c r="P29" s="1">
        <f>AVERAGE(P14:P27)</f>
        <v>-1.086188960233068E-2</v>
      </c>
    </row>
    <row r="30" spans="2:25" x14ac:dyDescent="0.2">
      <c r="B30" s="168" t="s">
        <v>156</v>
      </c>
      <c r="C30" s="168"/>
      <c r="D30" s="168"/>
      <c r="E30">
        <f t="shared" ref="E30:E34" si="1">E$28/(1+P30)</f>
        <v>45.156142046140836</v>
      </c>
      <c r="F30">
        <f>E28/(1+F31)</f>
        <v>49.001207206829015</v>
      </c>
      <c r="L30" s="168" t="s">
        <v>149</v>
      </c>
      <c r="M30" s="168"/>
      <c r="N30" s="168"/>
      <c r="O30" s="168"/>
      <c r="P30" s="1">
        <f>MEDIAN(P14:P27)</f>
        <v>-1.8959592368764152E-2</v>
      </c>
    </row>
    <row r="31" spans="2:25" x14ac:dyDescent="0.2">
      <c r="B31" s="169" t="s">
        <v>157</v>
      </c>
      <c r="C31" s="169"/>
      <c r="D31" s="169"/>
      <c r="E31">
        <f t="shared" si="1"/>
        <v>48.0225064602188</v>
      </c>
      <c r="F31" s="3">
        <f>AVERAGE(P24,P27,P18)</f>
        <v>-9.5940640543521874E-2</v>
      </c>
      <c r="L31" s="169" t="s">
        <v>148</v>
      </c>
      <c r="M31" s="169"/>
      <c r="N31" s="169"/>
      <c r="O31" s="169"/>
      <c r="P31" s="1">
        <f>AVERAGE(P27,P19:P24,P17)</f>
        <v>-7.7515871923563101E-2</v>
      </c>
    </row>
    <row r="32" spans="2:25" x14ac:dyDescent="0.2">
      <c r="B32" s="170" t="s">
        <v>158</v>
      </c>
      <c r="C32" s="170"/>
      <c r="D32" s="170"/>
      <c r="E32">
        <f t="shared" si="1"/>
        <v>47.386797398890529</v>
      </c>
      <c r="L32" s="170" t="s">
        <v>150</v>
      </c>
      <c r="M32" s="170"/>
      <c r="N32" s="170"/>
      <c r="O32" s="170"/>
      <c r="P32" s="1">
        <f>MEDIAN(P27,P19:P24,P17)</f>
        <v>-6.5140451947124034E-2</v>
      </c>
    </row>
    <row r="33" spans="1:16" x14ac:dyDescent="0.2">
      <c r="B33" s="171" t="s">
        <v>159</v>
      </c>
      <c r="C33" s="171"/>
      <c r="D33" s="171"/>
      <c r="E33">
        <f t="shared" si="1"/>
        <v>41.094235148053166</v>
      </c>
      <c r="L33" s="171" t="s">
        <v>151</v>
      </c>
      <c r="M33" s="171"/>
      <c r="N33" s="171"/>
      <c r="O33" s="171"/>
      <c r="P33" s="1">
        <f>AVERAGE(P25:P26,P18,P14:P16)</f>
        <v>7.8010086825979208E-2</v>
      </c>
    </row>
    <row r="34" spans="1:16" x14ac:dyDescent="0.2">
      <c r="B34" s="172" t="s">
        <v>160</v>
      </c>
      <c r="C34" s="172"/>
      <c r="D34" s="172"/>
      <c r="E34">
        <f t="shared" si="1"/>
        <v>41.502300292764531</v>
      </c>
      <c r="L34" s="172" t="s">
        <v>152</v>
      </c>
      <c r="M34" s="172"/>
      <c r="N34" s="172"/>
      <c r="O34" s="172"/>
      <c r="P34" s="1">
        <f>MEDIAN(P25:P26,P18,P14:P16)</f>
        <v>6.7410714285714324E-2</v>
      </c>
    </row>
    <row r="37" spans="1:16" x14ac:dyDescent="0.2">
      <c r="A37" s="78" t="s">
        <v>104</v>
      </c>
      <c r="B37" t="s">
        <v>175</v>
      </c>
    </row>
    <row r="38" spans="1:16" x14ac:dyDescent="0.2">
      <c r="B38" t="s">
        <v>161</v>
      </c>
    </row>
    <row r="39" spans="1:16" x14ac:dyDescent="0.2">
      <c r="B39" t="s">
        <v>162</v>
      </c>
    </row>
    <row r="44" spans="1:16" x14ac:dyDescent="0.2">
      <c r="A44" s="78" t="s">
        <v>106</v>
      </c>
      <c r="B44" s="95" t="s">
        <v>163</v>
      </c>
      <c r="C44" s="96">
        <f>E31</f>
        <v>48.0225064602188</v>
      </c>
      <c r="D44" t="s">
        <v>178</v>
      </c>
    </row>
    <row r="46" spans="1:16" x14ac:dyDescent="0.2">
      <c r="B46" s="162" t="s">
        <v>177</v>
      </c>
      <c r="C46" s="162"/>
      <c r="D46" s="2">
        <f>C44/D28-1</f>
        <v>-8.0028611873203093E-2</v>
      </c>
    </row>
    <row r="47" spans="1:16" x14ac:dyDescent="0.2">
      <c r="B47" s="151" t="s">
        <v>176</v>
      </c>
      <c r="C47" s="151"/>
      <c r="D47" s="2">
        <f>'1. Data &amp; Confidence Interval'!M27</f>
        <v>-3.846153846153888E-2</v>
      </c>
    </row>
  </sheetData>
  <mergeCells count="2">
    <mergeCell ref="B47:C47"/>
    <mergeCell ref="B46:C46"/>
  </mergeCells>
  <conditionalFormatting sqref="P29:P3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2021-10-29T15:18:13Z</dcterms:modified>
</cp:coreProperties>
</file>