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TRC\"/>
    </mc:Choice>
  </mc:AlternateContent>
  <xr:revisionPtr revIDLastSave="0" documentId="13_ncr:1_{DF4C8780-28A6-49D7-92FB-CD4803A9F17F}" xr6:coauthVersionLast="46" xr6:coauthVersionMax="46" xr10:uidLastSave="{00000000-0000-0000-0000-000000000000}"/>
  <bookViews>
    <workbookView xWindow="-120" yWindow="-120" windowWidth="29040" windowHeight="15840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2" l="1" a="1"/>
  <c r="H46" i="2" s="1"/>
  <c r="H45" i="2" a="1"/>
  <c r="H45" i="2" s="1"/>
  <c r="AG28" i="1"/>
  <c r="AG27" i="1"/>
  <c r="AG22" i="1"/>
  <c r="AG26" i="1"/>
  <c r="AG25" i="1"/>
  <c r="AG24" i="1"/>
  <c r="C45" i="4"/>
  <c r="J8" i="2"/>
  <c r="W35" i="4" l="1"/>
  <c r="W34" i="4"/>
  <c r="L34" i="4" s="1"/>
  <c r="L30" i="4"/>
  <c r="Q23" i="2"/>
  <c r="P23" i="2"/>
  <c r="O23" i="2"/>
  <c r="N23" i="2"/>
  <c r="M23" i="2"/>
  <c r="L23" i="2"/>
  <c r="K23" i="2"/>
  <c r="J23" i="2"/>
  <c r="D48" i="4"/>
  <c r="W33" i="4"/>
  <c r="L33" i="4" s="1"/>
  <c r="W32" i="4"/>
  <c r="L32" i="4" s="1"/>
  <c r="W31" i="4"/>
  <c r="L31" i="4" s="1"/>
  <c r="W30" i="4"/>
  <c r="R23" i="2"/>
  <c r="I30" i="3"/>
  <c r="F26" i="3"/>
  <c r="L35" i="4" l="1"/>
  <c r="D47" i="4" l="1"/>
  <c r="E30" i="3"/>
  <c r="R44" i="2"/>
  <c r="H26" i="3"/>
  <c r="R43" i="2" l="1"/>
  <c r="R42" i="2"/>
  <c r="R40" i="2"/>
  <c r="R39" i="2"/>
  <c r="R38" i="2"/>
  <c r="R37" i="2"/>
  <c r="R36" i="2"/>
  <c r="R35" i="2"/>
  <c r="R33" i="2"/>
  <c r="R32" i="2"/>
  <c r="R31" i="2"/>
  <c r="R30" i="2"/>
  <c r="R29" i="2"/>
  <c r="R28" i="2"/>
  <c r="R34" i="2"/>
  <c r="R46" i="2" s="1" a="1"/>
  <c r="R46" i="2" s="1"/>
  <c r="R41" i="2"/>
  <c r="M29" i="2"/>
  <c r="N29" i="2"/>
  <c r="P29" i="2"/>
  <c r="L32" i="2"/>
  <c r="M32" i="2"/>
  <c r="N32" i="2"/>
  <c r="K34" i="2"/>
  <c r="L34" i="2"/>
  <c r="N34" i="2"/>
  <c r="O34" i="2"/>
  <c r="M36" i="2"/>
  <c r="N37" i="2"/>
  <c r="K38" i="2"/>
  <c r="M38" i="2"/>
  <c r="P38" i="2"/>
  <c r="K40" i="2"/>
  <c r="N40" i="2"/>
  <c r="P40" i="2"/>
  <c r="N41" i="2"/>
  <c r="N42" i="2"/>
  <c r="P42" i="2"/>
  <c r="N43" i="2"/>
  <c r="L44" i="2"/>
  <c r="M44" i="2"/>
  <c r="N44" i="2"/>
  <c r="E44" i="2"/>
  <c r="E29" i="2"/>
  <c r="F29" i="2"/>
  <c r="G29" i="2"/>
  <c r="H29" i="2"/>
  <c r="I29" i="2"/>
  <c r="J29" i="2"/>
  <c r="E30" i="2"/>
  <c r="F30" i="2"/>
  <c r="G30" i="2"/>
  <c r="G47" i="2" s="1" a="1"/>
  <c r="G47" i="2" s="1"/>
  <c r="H30" i="2"/>
  <c r="H47" i="2" s="1" a="1"/>
  <c r="H47" i="2" s="1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E38" i="2"/>
  <c r="F38" i="2"/>
  <c r="G38" i="2"/>
  <c r="H38" i="2"/>
  <c r="I38" i="2"/>
  <c r="J38" i="2"/>
  <c r="E39" i="2"/>
  <c r="F39" i="2"/>
  <c r="G39" i="2"/>
  <c r="H39" i="2"/>
  <c r="I39" i="2"/>
  <c r="J39" i="2"/>
  <c r="E40" i="2"/>
  <c r="F40" i="2"/>
  <c r="G40" i="2"/>
  <c r="H40" i="2"/>
  <c r="I40" i="2"/>
  <c r="J40" i="2"/>
  <c r="E41" i="2"/>
  <c r="F41" i="2"/>
  <c r="G41" i="2"/>
  <c r="H41" i="2"/>
  <c r="I41" i="2"/>
  <c r="J41" i="2"/>
  <c r="E42" i="2"/>
  <c r="F42" i="2"/>
  <c r="G42" i="2"/>
  <c r="H42" i="2"/>
  <c r="I42" i="2"/>
  <c r="J42" i="2"/>
  <c r="E43" i="2"/>
  <c r="F43" i="2"/>
  <c r="G43" i="2"/>
  <c r="H43" i="2"/>
  <c r="I43" i="2"/>
  <c r="J43" i="2"/>
  <c r="F44" i="2"/>
  <c r="G44" i="2"/>
  <c r="H44" i="2"/>
  <c r="I44" i="2"/>
  <c r="J44" i="2"/>
  <c r="F28" i="2"/>
  <c r="G28" i="2"/>
  <c r="H28" i="2"/>
  <c r="I28" i="2"/>
  <c r="J28" i="2"/>
  <c r="E28" i="2"/>
  <c r="R24" i="2"/>
  <c r="F24" i="2"/>
  <c r="G24" i="2"/>
  <c r="H24" i="2"/>
  <c r="I24" i="2"/>
  <c r="J24" i="2"/>
  <c r="E24" i="2"/>
  <c r="Q10" i="2"/>
  <c r="Q32" i="2" s="1"/>
  <c r="Q12" i="2"/>
  <c r="Q34" i="2" s="1"/>
  <c r="Q20" i="2"/>
  <c r="Q42" i="2" s="1"/>
  <c r="K7" i="2"/>
  <c r="K29" i="2" s="1"/>
  <c r="K8" i="2"/>
  <c r="K30" i="2" s="1"/>
  <c r="K47" i="2" s="1" a="1"/>
  <c r="K47" i="2" s="1"/>
  <c r="L8" i="2"/>
  <c r="L30" i="2" s="1"/>
  <c r="M8" i="2"/>
  <c r="M30" i="2" s="1"/>
  <c r="N8" i="2"/>
  <c r="N30" i="2" s="1"/>
  <c r="O8" i="2"/>
  <c r="O30" i="2" s="1"/>
  <c r="P8" i="2"/>
  <c r="P30" i="2" s="1"/>
  <c r="K9" i="2"/>
  <c r="K31" i="2" s="1"/>
  <c r="L9" i="2"/>
  <c r="L31" i="2" s="1"/>
  <c r="M9" i="2"/>
  <c r="M31" i="2" s="1"/>
  <c r="N9" i="2"/>
  <c r="N31" i="2" s="1"/>
  <c r="O9" i="2"/>
  <c r="O31" i="2" s="1"/>
  <c r="P9" i="2"/>
  <c r="P31" i="2" s="1"/>
  <c r="K10" i="2"/>
  <c r="K32" i="2" s="1"/>
  <c r="L10" i="2"/>
  <c r="M10" i="2"/>
  <c r="N10" i="2"/>
  <c r="O10" i="2"/>
  <c r="O32" i="2" s="1"/>
  <c r="P10" i="2"/>
  <c r="P32" i="2" s="1"/>
  <c r="K11" i="2"/>
  <c r="Q11" i="2" s="1"/>
  <c r="Q33" i="2" s="1"/>
  <c r="L11" i="2"/>
  <c r="L33" i="2" s="1"/>
  <c r="M11" i="2"/>
  <c r="M33" i="2" s="1"/>
  <c r="N11" i="2"/>
  <c r="N33" i="2" s="1"/>
  <c r="O11" i="2"/>
  <c r="O33" i="2" s="1"/>
  <c r="P11" i="2"/>
  <c r="P33" i="2" s="1"/>
  <c r="K12" i="2"/>
  <c r="L12" i="2"/>
  <c r="M12" i="2"/>
  <c r="M34" i="2" s="1"/>
  <c r="N12" i="2"/>
  <c r="O12" i="2"/>
  <c r="P12" i="2"/>
  <c r="P34" i="2" s="1"/>
  <c r="K13" i="2"/>
  <c r="K35" i="2" s="1"/>
  <c r="L13" i="2"/>
  <c r="L35" i="2" s="1"/>
  <c r="M13" i="2"/>
  <c r="Q13" i="2" s="1"/>
  <c r="Q35" i="2" s="1"/>
  <c r="N13" i="2"/>
  <c r="N35" i="2" s="1"/>
  <c r="O13" i="2"/>
  <c r="O35" i="2" s="1"/>
  <c r="P13" i="2"/>
  <c r="P35" i="2" s="1"/>
  <c r="K14" i="2"/>
  <c r="K36" i="2" s="1"/>
  <c r="L14" i="2"/>
  <c r="L36" i="2" s="1"/>
  <c r="M14" i="2"/>
  <c r="N14" i="2"/>
  <c r="N36" i="2" s="1"/>
  <c r="O14" i="2"/>
  <c r="O36" i="2" s="1"/>
  <c r="P14" i="2"/>
  <c r="P36" i="2" s="1"/>
  <c r="K15" i="2"/>
  <c r="Q15" i="2" s="1"/>
  <c r="Q37" i="2" s="1"/>
  <c r="L15" i="2"/>
  <c r="L37" i="2" s="1"/>
  <c r="M15" i="2"/>
  <c r="M37" i="2" s="1"/>
  <c r="N15" i="2"/>
  <c r="O15" i="2"/>
  <c r="O37" i="2" s="1"/>
  <c r="P15" i="2"/>
  <c r="P37" i="2" s="1"/>
  <c r="K16" i="2"/>
  <c r="Q16" i="2" s="1"/>
  <c r="Q38" i="2" s="1"/>
  <c r="L16" i="2"/>
  <c r="L38" i="2" s="1"/>
  <c r="M16" i="2"/>
  <c r="N16" i="2"/>
  <c r="N38" i="2" s="1"/>
  <c r="O16" i="2"/>
  <c r="O38" i="2" s="1"/>
  <c r="P16" i="2"/>
  <c r="K17" i="2"/>
  <c r="Q17" i="2" s="1"/>
  <c r="Q39" i="2" s="1"/>
  <c r="L17" i="2"/>
  <c r="L39" i="2" s="1"/>
  <c r="M17" i="2"/>
  <c r="M39" i="2" s="1"/>
  <c r="N17" i="2"/>
  <c r="N39" i="2" s="1"/>
  <c r="O17" i="2"/>
  <c r="O39" i="2" s="1"/>
  <c r="P17" i="2"/>
  <c r="P39" i="2" s="1"/>
  <c r="K18" i="2"/>
  <c r="L18" i="2"/>
  <c r="L40" i="2" s="1"/>
  <c r="M18" i="2"/>
  <c r="M40" i="2" s="1"/>
  <c r="N18" i="2"/>
  <c r="O18" i="2"/>
  <c r="O40" i="2" s="1"/>
  <c r="P18" i="2"/>
  <c r="K19" i="2"/>
  <c r="K41" i="2" s="1"/>
  <c r="L19" i="2"/>
  <c r="L41" i="2" s="1"/>
  <c r="M19" i="2"/>
  <c r="M41" i="2" s="1"/>
  <c r="N19" i="2"/>
  <c r="O19" i="2"/>
  <c r="O41" i="2" s="1"/>
  <c r="P19" i="2"/>
  <c r="P41" i="2" s="1"/>
  <c r="K20" i="2"/>
  <c r="K42" i="2" s="1"/>
  <c r="L20" i="2"/>
  <c r="L42" i="2" s="1"/>
  <c r="M20" i="2"/>
  <c r="M42" i="2" s="1"/>
  <c r="N20" i="2"/>
  <c r="O20" i="2"/>
  <c r="O42" i="2" s="1"/>
  <c r="P20" i="2"/>
  <c r="K21" i="2"/>
  <c r="K43" i="2" s="1"/>
  <c r="L21" i="2"/>
  <c r="L43" i="2" s="1"/>
  <c r="M21" i="2"/>
  <c r="M43" i="2" s="1"/>
  <c r="N21" i="2"/>
  <c r="O21" i="2"/>
  <c r="O43" i="2" s="1"/>
  <c r="P21" i="2"/>
  <c r="P43" i="2" s="1"/>
  <c r="K22" i="2"/>
  <c r="K44" i="2" s="1"/>
  <c r="L22" i="2"/>
  <c r="M22" i="2"/>
  <c r="N22" i="2"/>
  <c r="O22" i="2"/>
  <c r="O44" i="2" s="1"/>
  <c r="P22" i="2"/>
  <c r="P44" i="2" s="1"/>
  <c r="L7" i="2"/>
  <c r="L29" i="2" s="1"/>
  <c r="M7" i="2"/>
  <c r="N7" i="2"/>
  <c r="N24" i="2" s="1"/>
  <c r="O7" i="2"/>
  <c r="O29" i="2" s="1"/>
  <c r="P7" i="2"/>
  <c r="U20" i="1"/>
  <c r="AG20" i="1"/>
  <c r="AF20" i="1"/>
  <c r="AE20" i="1"/>
  <c r="AD20" i="1"/>
  <c r="I20" i="1"/>
  <c r="H20" i="1"/>
  <c r="G20" i="1"/>
  <c r="F20" i="1"/>
  <c r="E20" i="1"/>
  <c r="D20" i="1"/>
  <c r="C20" i="1"/>
  <c r="B20" i="1"/>
  <c r="AF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B19" i="1"/>
  <c r="A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F15" i="1"/>
  <c r="AA24" i="1"/>
  <c r="AB24" i="1"/>
  <c r="AC24" i="1"/>
  <c r="AD24" i="1"/>
  <c r="AE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E22" i="1"/>
  <c r="Y20" i="1"/>
  <c r="X20" i="1"/>
  <c r="W20" i="1"/>
  <c r="V20" i="1"/>
  <c r="T20" i="1"/>
  <c r="S20" i="1"/>
  <c r="R20" i="1"/>
  <c r="Q20" i="1"/>
  <c r="P20" i="1"/>
  <c r="O20" i="1"/>
  <c r="N20" i="1"/>
  <c r="M20" i="1"/>
  <c r="L20" i="1"/>
  <c r="K20" i="1"/>
  <c r="J20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G45" i="2" l="1" a="1"/>
  <c r="G45" i="2" s="1"/>
  <c r="G46" i="2" a="1"/>
  <c r="G46" i="2" s="1"/>
  <c r="M24" i="2"/>
  <c r="I45" i="2" a="1"/>
  <c r="I45" i="2" s="1"/>
  <c r="I47" i="2" a="1"/>
  <c r="I47" i="2" s="1"/>
  <c r="J45" i="2" a="1"/>
  <c r="J45" i="2" s="1"/>
  <c r="N46" i="2" a="1"/>
  <c r="N46" i="2" s="1"/>
  <c r="E46" i="2" a="1"/>
  <c r="E46" i="2" s="1"/>
  <c r="Q8" i="2"/>
  <c r="Q30" i="2" s="1"/>
  <c r="P45" i="2" a="1"/>
  <c r="P45" i="2" s="1"/>
  <c r="Q22" i="2"/>
  <c r="Q44" i="2" s="1"/>
  <c r="J46" i="2" a="1"/>
  <c r="J46" i="2" s="1"/>
  <c r="J47" i="2" a="1"/>
  <c r="J47" i="2" s="1"/>
  <c r="L45" i="2" a="1"/>
  <c r="L45" i="2" s="1"/>
  <c r="L46" i="2" a="1"/>
  <c r="L46" i="2" s="1"/>
  <c r="K45" i="2" a="1"/>
  <c r="K45" i="2" s="1"/>
  <c r="N45" i="2" a="1"/>
  <c r="N45" i="2" s="1"/>
  <c r="O47" i="2" a="1"/>
  <c r="O47" i="2" s="1"/>
  <c r="P46" i="2" a="1"/>
  <c r="P46" i="2" s="1"/>
  <c r="L47" i="2" a="1"/>
  <c r="L47" i="2" s="1"/>
  <c r="P47" i="2" a="1"/>
  <c r="P47" i="2" s="1"/>
  <c r="N47" i="2" a="1"/>
  <c r="N47" i="2" s="1"/>
  <c r="O46" i="2" a="1"/>
  <c r="O46" i="2" s="1"/>
  <c r="O45" i="2" a="1"/>
  <c r="O45" i="2" s="1"/>
  <c r="Q21" i="2"/>
  <c r="Q43" i="2" s="1"/>
  <c r="K39" i="2"/>
  <c r="Q19" i="2"/>
  <c r="Q41" i="2" s="1"/>
  <c r="R45" i="2" a="1"/>
  <c r="R45" i="2" s="1"/>
  <c r="E45" i="2" a="1"/>
  <c r="E45" i="2" s="1"/>
  <c r="P24" i="2"/>
  <c r="O24" i="2"/>
  <c r="Q9" i="2"/>
  <c r="Q31" i="2" s="1"/>
  <c r="Q18" i="2"/>
  <c r="Q40" i="2" s="1"/>
  <c r="K37" i="2"/>
  <c r="M35" i="2"/>
  <c r="M47" i="2" s="1" a="1"/>
  <c r="M47" i="2" s="1"/>
  <c r="L24" i="2"/>
  <c r="K24" i="2"/>
  <c r="Q14" i="2"/>
  <c r="Q36" i="2" s="1"/>
  <c r="F45" i="2" a="1"/>
  <c r="F45" i="2" s="1"/>
  <c r="K33" i="2"/>
  <c r="K46" i="2" s="1" a="1"/>
  <c r="K46" i="2" s="1"/>
  <c r="Q7" i="2"/>
  <c r="I46" i="2" a="1"/>
  <c r="I46" i="2" s="1"/>
  <c r="F46" i="2" a="1"/>
  <c r="F46" i="2" s="1"/>
  <c r="P27" i="1"/>
  <c r="P26" i="1"/>
  <c r="M26" i="1"/>
  <c r="M27" i="1"/>
  <c r="AF12" i="1"/>
  <c r="F12" i="1"/>
  <c r="AD23" i="1"/>
  <c r="S23" i="1"/>
  <c r="AE23" i="1"/>
  <c r="AA23" i="1"/>
  <c r="AE25" i="1"/>
  <c r="R23" i="1"/>
  <c r="T23" i="1"/>
  <c r="U23" i="1"/>
  <c r="V23" i="1"/>
  <c r="U25" i="1"/>
  <c r="T25" i="1"/>
  <c r="Z25" i="1"/>
  <c r="S25" i="1"/>
  <c r="R25" i="1"/>
  <c r="AA25" i="1"/>
  <c r="W25" i="1"/>
  <c r="Y25" i="1"/>
  <c r="V25" i="1"/>
  <c r="X25" i="1"/>
  <c r="P25" i="1"/>
  <c r="Q25" i="1"/>
  <c r="AD25" i="1"/>
  <c r="AC25" i="1"/>
  <c r="AB25" i="1"/>
  <c r="Q23" i="1"/>
  <c r="AC23" i="1"/>
  <c r="W23" i="1"/>
  <c r="X23" i="1"/>
  <c r="Y23" i="1"/>
  <c r="Z23" i="1"/>
  <c r="P23" i="1"/>
  <c r="AB23" i="1"/>
  <c r="M45" i="2" l="1" a="1"/>
  <c r="M45" i="2" s="1"/>
  <c r="M46" i="2" a="1"/>
  <c r="M46" i="2" s="1"/>
  <c r="Q24" i="2"/>
  <c r="Q29" i="2"/>
  <c r="Q47" i="2" s="1" a="1"/>
  <c r="Q47" i="2" s="1"/>
  <c r="C7" i="1"/>
  <c r="B7" i="1"/>
  <c r="AG23" i="1"/>
  <c r="Q45" i="2" l="1" a="1"/>
  <c r="Q45" i="2" s="1"/>
  <c r="Q46" i="2" a="1"/>
  <c r="Q46" i="2" s="1"/>
  <c r="H2" i="1"/>
  <c r="I2" i="1"/>
  <c r="H3" i="1"/>
  <c r="I3" i="1"/>
  <c r="J2" i="1" l="1"/>
  <c r="J3" i="1"/>
  <c r="K3" i="1" s="1"/>
  <c r="K2" i="1" l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<sst xmlns="http://schemas.openxmlformats.org/spreadsheetml/2006/main" count="419" uniqueCount="221">
  <si>
    <t>ATRC US</t>
  </si>
  <si>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</si>
  <si>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</si>
  <si>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</si>
  <si>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</si>
  <si>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</si>
  <si>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</si>
  <si>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</si>
  <si>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</si>
  <si>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</si>
  <si>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</si>
  <si>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</si>
  <si>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</si>
  <si>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</si>
  <si>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</si>
  <si>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</si>
  <si>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</si>
  <si>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</si>
  <si>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ATRC Total Revenue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</si>
  <si>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</si>
  <si>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</si>
  <si>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</si>
  <si>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</si>
  <si>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</si>
  <si>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</si>
  <si>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</si>
  <si>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</si>
  <si>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</si>
  <si>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</si>
  <si>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</si>
  <si>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</si>
  <si>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</si>
  <si>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</si>
  <si>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</si>
  <si>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</si>
  <si>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</si>
  <si>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</si>
  <si>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</si>
  <si>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</si>
  <si>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</si>
  <si>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</si>
  <si>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</si>
  <si>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</si>
  <si>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</si>
  <si>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Outlier Removed 2015Q3, 2017Q3, 2020Q3</t>
  </si>
  <si>
    <t>Median Removed 2018Q3, 2019Q3, 2020Q3</t>
  </si>
  <si>
    <t>ATRC</t>
  </si>
  <si>
    <t>US Revenue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</si>
  <si>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</si>
  <si>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</si>
  <si>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</si>
  <si>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</si>
  <si>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</si>
  <si>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</si>
  <si>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</si>
  <si>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</si>
  <si>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</si>
  <si>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</si>
  <si>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</si>
  <si>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</si>
  <si>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</si>
  <si>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</si>
  <si>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</si>
  <si>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</si>
  <si>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</si>
  <si>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</si>
  <si>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</si>
  <si>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</si>
  <si>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</si>
  <si>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</si>
  <si>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</si>
  <si>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</si>
  <si>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</si>
  <si>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</si>
  <si>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</si>
  <si>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</si>
  <si>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</si>
  <si>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</si>
  <si>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</si>
  <si>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</si>
  <si>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</si>
  <si>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</si>
  <si>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</si>
  <si>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</si>
  <si>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</si>
  <si>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NULL</t>
  </si>
  <si>
    <t>Historical Projections</t>
  </si>
  <si>
    <t>Projection Accuracy</t>
  </si>
  <si>
    <t>Absolute Average</t>
  </si>
  <si>
    <t>Standard Deviation from 0</t>
  </si>
  <si>
    <t>Outlier Removed 2020Q1,Q2</t>
  </si>
  <si>
    <t>NOTE:</t>
  </si>
  <si>
    <t>The Best Linear Regression Models (Linear Models) comes either from best correlations or Best (lowest) Accuracy or Best (Standard Deviation) Accuracy</t>
  </si>
  <si>
    <t>Outlier Adj Accuracy Removed 2020Q3</t>
  </si>
  <si>
    <t>From Step 2. We input the historical values for the projection methodology and add a layered forward chaining linear models regression</t>
  </si>
  <si>
    <t>Alphas directory is my personal directory where I store all the excel/csv files. It doesn't get git push so you may need to change directory output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</si>
  <si>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</si>
  <si>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</si>
  <si>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</si>
  <si>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</si>
  <si>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</si>
  <si>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</si>
  <si>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</si>
  <si>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</si>
  <si>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</si>
  <si>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</si>
  <si>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</si>
  <si>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</si>
  <si>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</si>
  <si>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</si>
  <si>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</si>
  <si>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</si>
  <si>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ATRC NSS 12_12 Removed 2020Q1,Q2 Data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</si>
  <si>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</si>
  <si>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</si>
  <si>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</si>
  <si>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</si>
  <si>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</si>
  <si>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</si>
  <si>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</si>
  <si>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</si>
  <si>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</si>
  <si>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Ex.</t>
  </si>
  <si>
    <t>7.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</si>
  <si>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</si>
  <si>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</si>
  <si>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</si>
  <si>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</si>
  <si>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</si>
  <si>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</si>
  <si>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</si>
  <si>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</si>
  <si>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</si>
  <si>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</si>
  <si>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</si>
  <si>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</si>
  <si>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</si>
  <si>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</si>
  <si>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</si>
  <si>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</si>
  <si>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</si>
  <si>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</si>
  <si>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</si>
  <si>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</si>
  <si>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</si>
  <si>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</si>
  <si>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</si>
  <si>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</si>
  <si>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</si>
  <si>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</si>
  <si>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Reported Revenue</t>
  </si>
  <si>
    <t>8.</t>
  </si>
  <si>
    <t>The predicted 2021Q2 Revenue is then:</t>
  </si>
  <si>
    <t>Acuuracy:</t>
  </si>
  <si>
    <t>Thus in results 5. it shows the average of this accuracy. For this consensus regression it was particularly large 14.6%, but it's an improvement</t>
  </si>
  <si>
    <t>to consensus which is on average:</t>
  </si>
  <si>
    <t>off</t>
  </si>
  <si>
    <t>for Removed 2020Q1,Q2 Data</t>
  </si>
  <si>
    <t xml:space="preserve">This methodology scored: </t>
  </si>
  <si>
    <t>It is an apple to apple comparison for each method. I removed 2020Q1 and 2020Q2 to be biased towards the projection that uses moa data.(12_12 projection)</t>
  </si>
  <si>
    <t>I usually start this process at 2019Q1 and repeat this backtest for all dates</t>
  </si>
  <si>
    <t>Finding the best methodology in the previous quarter. (Do not put 2021Q3 data point into the pandas data frame in LR_adj.py)</t>
  </si>
  <si>
    <t>An example of of the methodology is found in cell P2</t>
  </si>
  <si>
    <t>9.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</si>
  <si>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</si>
  <si>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</si>
  <si>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</si>
  <si>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</si>
  <si>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</si>
  <si>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</si>
  <si>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</si>
  <si>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</si>
  <si>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</si>
  <si>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</si>
  <si>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ATRC NSS_12_12_GR  Removed 2020Q3 Data</t>
  </si>
  <si>
    <t>Since ATRC NSS_12_12_GR  Removed 2020Q3 Data, LASSO_CON performed the best at 2021Q2, we use it to predicte Q3</t>
  </si>
  <si>
    <t>Overall Result</t>
  </si>
  <si>
    <t>Step</t>
  </si>
  <si>
    <t>These average are biased because it compares it to the relative the inputted reported revenue. Since we do not have 2021Q3, I leave consensus in there. See Step 4 for the regression summary.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</si>
  <si>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</si>
  <si>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</si>
  <si>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</si>
  <si>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</si>
  <si>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</si>
  <si>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</si>
  <si>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</si>
  <si>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</si>
  <si>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</si>
  <si>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</si>
  <si>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</si>
  <si>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</si>
  <si>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</si>
  <si>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</si>
  <si>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</si>
  <si>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</si>
  <si>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Since LASSO CON performed  the best in the 2021Q2 data (without 2021Q3) I look at predicted result for LASSO_CON 2021Q3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</si>
  <si>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</si>
  <si>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</si>
  <si>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</si>
  <si>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</si>
  <si>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</si>
  <si>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</si>
  <si>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C:\dev\da.research\personal\rxia\Alphas\TICKER</t>
    </r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</si>
  <si>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</si>
  <si>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</si>
  <si>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</si>
  <si>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</si>
  <si>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</si>
  <si>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</si>
  <si>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</si>
  <si>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</si>
  <si>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</si>
  <si>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</si>
  <si>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 xml:space="preserve">Average Miss is </t>
  </si>
  <si>
    <t>Improved Alpha Implied Beat/Miss:</t>
  </si>
  <si>
    <t>Historical Average Beat\Miss:</t>
  </si>
  <si>
    <t>which is inline with the confidence interval in step1. If this value is unsatisfactory, use confidence interval or average method</t>
  </si>
  <si>
    <t>For Sheet 3 Regression Removed 2020Q3</t>
  </si>
  <si>
    <t>LR:</t>
  </si>
  <si>
    <t>Example on the linear regression with consensus and projection as X</t>
  </si>
  <si>
    <t>NSS_12_12_GR RM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</si>
</sst>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0" xfId="0" applyNumberFormat="1"/>
    <xf numFmtId="9" fontId="0" fillId="0" borderId="1" xfId="0" applyNumberFormat="1" applyBorder="1"/>
    <xf numFmtId="9" fontId="0" fillId="0" borderId="0" xfId="1" applyFont="1" applyBorder="1"/>
    <xf numFmtId="9" fontId="0" fillId="0" borderId="9" xfId="1" applyFont="1" applyBorder="1"/>
    <xf numFmtId="9" fontId="0" fillId="0" borderId="8" xfId="1" applyFont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9" fontId="0" fillId="0" borderId="13" xfId="1" applyFont="1" applyFill="1" applyBorder="1" applyAlignment="1">
      <alignment horizontal="center"/>
    </xf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5" fontId="0" fillId="0" borderId="3" xfId="0" applyNumberFormat="1" applyBorder="1"/>
    <xf numFmtId="165" fontId="2" fillId="0" borderId="3" xfId="0" applyNumberFormat="1" applyFont="1" applyBorder="1"/>
    <xf numFmtId="10" fontId="4" fillId="0" borderId="11" xfId="1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165" fontId="4" fillId="0" borderId="3" xfId="0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0" borderId="0" xfId="0" applyFill="1" applyBorder="1" applyAlignment="1"/>
    <xf numFmtId="0" fontId="0" fillId="0" borderId="16" xfId="0" applyFill="1" applyBorder="1" applyAlignment="1"/>
    <xf numFmtId="0" fontId="8" fillId="0" borderId="17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Continuous"/>
    </xf>
    <xf numFmtId="0" fontId="0" fillId="9" borderId="0" xfId="0" applyFill="1"/>
    <xf numFmtId="0" fontId="0" fillId="0" borderId="14" xfId="0" applyFill="1" applyBorder="1"/>
    <xf numFmtId="0" fontId="9" fillId="0" borderId="1" xfId="0" applyFont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6" xfId="1" applyNumberFormat="1" applyFont="1" applyBorder="1"/>
    <xf numFmtId="10" fontId="2" fillId="0" borderId="6" xfId="1" applyNumberFormat="1" applyFont="1" applyBorder="1"/>
    <xf numFmtId="10" fontId="2" fillId="0" borderId="7" xfId="1" applyNumberFormat="1" applyFont="1" applyBorder="1"/>
    <xf numFmtId="10" fontId="4" fillId="0" borderId="10" xfId="1" applyNumberFormat="1" applyFont="1" applyBorder="1"/>
    <xf numFmtId="166" fontId="0" fillId="2" borderId="0" xfId="0" applyNumberFormat="1" applyFill="1"/>
    <xf numFmtId="0" fontId="0" fillId="3" borderId="0" xfId="0" applyFill="1"/>
    <xf numFmtId="166" fontId="0" fillId="0" borderId="7" xfId="0" applyNumberFormat="1" applyBorder="1"/>
    <xf numFmtId="0" fontId="0" fillId="8" borderId="13" xfId="0" applyFill="1" applyBorder="1"/>
    <xf numFmtId="166" fontId="0" fillId="0" borderId="8" xfId="0" applyNumberFormat="1" applyBorder="1"/>
    <xf numFmtId="166" fontId="0" fillId="0" borderId="10" xfId="0" applyNumberFormat="1" applyBorder="1"/>
    <xf numFmtId="0" fontId="0" fillId="0" borderId="0" xfId="0" applyAlignment="1">
      <alignment horizontal="right"/>
    </xf>
    <xf numFmtId="0" fontId="0" fillId="2" borderId="0" xfId="0" applyFill="1"/>
    <xf numFmtId="166" fontId="0" fillId="0" borderId="12" xfId="0" applyNumberFormat="1" applyBorder="1"/>
    <xf numFmtId="165" fontId="0" fillId="0" borderId="6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164" fontId="2" fillId="0" borderId="3" xfId="1" applyNumberFormat="1" applyFont="1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NSS_12_12_Estimate_GR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Reported Revenue</c:v>
          </c:tx>
          <c:spPr>
            <a:ln w="19050">
              <a:noFill/>
            </a:ln>
          </c:spPr>
          <c:xVal>
            <c:numRef>
              <c:f>'2. Past Proj &amp; Candidate Model'!$T$6:$T$19</c:f>
              <c:numCache>
                <c:formatCode>0.0</c:formatCode>
                <c:ptCount val="14"/>
                <c:pt idx="0">
                  <c:v>30.514008032346563</c:v>
                </c:pt>
                <c:pt idx="1">
                  <c:v>37.232604448137991</c:v>
                </c:pt>
                <c:pt idx="2">
                  <c:v>36.429779984292644</c:v>
                </c:pt>
                <c:pt idx="3">
                  <c:v>38.970657119693762</c:v>
                </c:pt>
                <c:pt idx="4">
                  <c:v>43.449643344039437</c:v>
                </c:pt>
                <c:pt idx="5">
                  <c:v>39.118203411689429</c:v>
                </c:pt>
                <c:pt idx="6">
                  <c:v>42.390873024343897</c:v>
                </c:pt>
                <c:pt idx="7">
                  <c:v>51.689646335128138</c:v>
                </c:pt>
                <c:pt idx="8">
                  <c:v>53.217184339278404</c:v>
                </c:pt>
                <c:pt idx="9">
                  <c:v>49.64686543931407</c:v>
                </c:pt>
                <c:pt idx="10">
                  <c:v>44.216092161838837</c:v>
                </c:pt>
                <c:pt idx="11">
                  <c:v>34.936387884879572</c:v>
                </c:pt>
                <c:pt idx="12">
                  <c:v>46.196181504758812</c:v>
                </c:pt>
                <c:pt idx="13">
                  <c:v>52.252417074494296</c:v>
                </c:pt>
              </c:numCache>
            </c:numRef>
          </c:xVal>
          <c:yVal>
            <c:numRef>
              <c:f>'2. Past Proj &amp; Candidate Model'!$V$6:$V$19</c:f>
              <c:numCache>
                <c:formatCode>0.0</c:formatCode>
                <c:ptCount val="14"/>
                <c:pt idx="0">
                  <c:v>33.393999999999998</c:v>
                </c:pt>
                <c:pt idx="1">
                  <c:v>36.191000000000003</c:v>
                </c:pt>
                <c:pt idx="2">
                  <c:v>38.436</c:v>
                </c:pt>
                <c:pt idx="3">
                  <c:v>40.834000000000003</c:v>
                </c:pt>
                <c:pt idx="4">
                  <c:v>39.799999999999997</c:v>
                </c:pt>
                <c:pt idx="5">
                  <c:v>43.1</c:v>
                </c:pt>
                <c:pt idx="6">
                  <c:v>43</c:v>
                </c:pt>
                <c:pt idx="7">
                  <c:v>47.2</c:v>
                </c:pt>
                <c:pt idx="8">
                  <c:v>46.1</c:v>
                </c:pt>
                <c:pt idx="9">
                  <c:v>49.5</c:v>
                </c:pt>
                <c:pt idx="10">
                  <c:v>43.5</c:v>
                </c:pt>
                <c:pt idx="11">
                  <c:v>44.7</c:v>
                </c:pt>
                <c:pt idx="12">
                  <c:v>47.4</c:v>
                </c:pt>
                <c:pt idx="13">
                  <c:v>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38-45DB-86F0-0AC09DE13E3A}"/>
            </c:ext>
          </c:extLst>
        </c:ser>
        <c:ser>
          <c:idx val="1"/>
          <c:order val="1"/>
          <c:tx>
            <c:v>Predicted Reported Revenue</c:v>
          </c:tx>
          <c:spPr>
            <a:ln w="19050">
              <a:noFill/>
            </a:ln>
          </c:spPr>
          <c:xVal>
            <c:numRef>
              <c:f>'2. Past Proj &amp; Candidate Model'!$T$6:$T$19</c:f>
              <c:numCache>
                <c:formatCode>0.0</c:formatCode>
                <c:ptCount val="14"/>
                <c:pt idx="0">
                  <c:v>30.514008032346563</c:v>
                </c:pt>
                <c:pt idx="1">
                  <c:v>37.232604448137991</c:v>
                </c:pt>
                <c:pt idx="2">
                  <c:v>36.429779984292644</c:v>
                </c:pt>
                <c:pt idx="3">
                  <c:v>38.970657119693762</c:v>
                </c:pt>
                <c:pt idx="4">
                  <c:v>43.449643344039437</c:v>
                </c:pt>
                <c:pt idx="5">
                  <c:v>39.118203411689429</c:v>
                </c:pt>
                <c:pt idx="6">
                  <c:v>42.390873024343897</c:v>
                </c:pt>
                <c:pt idx="7">
                  <c:v>51.689646335128138</c:v>
                </c:pt>
                <c:pt idx="8">
                  <c:v>53.217184339278404</c:v>
                </c:pt>
                <c:pt idx="9">
                  <c:v>49.64686543931407</c:v>
                </c:pt>
                <c:pt idx="10">
                  <c:v>44.216092161838837</c:v>
                </c:pt>
                <c:pt idx="11">
                  <c:v>34.936387884879572</c:v>
                </c:pt>
                <c:pt idx="12">
                  <c:v>46.196181504758812</c:v>
                </c:pt>
                <c:pt idx="13">
                  <c:v>52.252417074494296</c:v>
                </c:pt>
              </c:numCache>
            </c:numRef>
          </c:xVal>
          <c:yVal>
            <c:numRef>
              <c:f>'3. Improved Alpha Model'!$Q$29:$Q$42</c:f>
              <c:numCache>
                <c:formatCode>General</c:formatCode>
                <c:ptCount val="14"/>
                <c:pt idx="0">
                  <c:v>35.596541802579154</c:v>
                </c:pt>
                <c:pt idx="1">
                  <c:v>37.16064660933506</c:v>
                </c:pt>
                <c:pt idx="2">
                  <c:v>37.488366907844764</c:v>
                </c:pt>
                <c:pt idx="3">
                  <c:v>40.248025544996302</c:v>
                </c:pt>
                <c:pt idx="4">
                  <c:v>40.189588003181015</c:v>
                </c:pt>
                <c:pt idx="5">
                  <c:v>42.213847484438901</c:v>
                </c:pt>
                <c:pt idx="6">
                  <c:v>44.213784350723287</c:v>
                </c:pt>
                <c:pt idx="7">
                  <c:v>47.610482808226671</c:v>
                </c:pt>
                <c:pt idx="8">
                  <c:v>46.183376050071288</c:v>
                </c:pt>
                <c:pt idx="9">
                  <c:v>49.653743197807231</c:v>
                </c:pt>
                <c:pt idx="10">
                  <c:v>46.210400482893419</c:v>
                </c:pt>
                <c:pt idx="11">
                  <c:v>40.613648087424998</c:v>
                </c:pt>
                <c:pt idx="12">
                  <c:v>48.225497964955373</c:v>
                </c:pt>
                <c:pt idx="13">
                  <c:v>47.847050705522591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8-45DB-86F0-0AC09DE13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48623"/>
        <c:axId val="742550703"/>
      </c:scatterChart>
      <c:valAx>
        <c:axId val="742548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NSS_12_12_Estimate_GR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42550703"/>
        <c:crosses val="autoZero"/>
        <c:crossBetween val="midCat"/>
      </c:valAx>
      <c:valAx>
        <c:axId val="742550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Revenue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425486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Consensus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Reported Revenue</c:v>
          </c:tx>
          <c:spPr>
            <a:ln w="19050">
              <a:noFill/>
            </a:ln>
          </c:spPr>
          <c:xVal>
            <c:numRef>
              <c:f>'2. Past Proj &amp; Candidate Model'!$U$6:$U$19</c:f>
              <c:numCache>
                <c:formatCode>General</c:formatCode>
                <c:ptCount val="14"/>
                <c:pt idx="0">
                  <c:v>34.6</c:v>
                </c:pt>
                <c:pt idx="1">
                  <c:v>35.5</c:v>
                </c:pt>
                <c:pt idx="2">
                  <c:v>36</c:v>
                </c:pt>
                <c:pt idx="3">
                  <c:v>38.9</c:v>
                </c:pt>
                <c:pt idx="4">
                  <c:v>38.200000000000003</c:v>
                </c:pt>
                <c:pt idx="5">
                  <c:v>41.2</c:v>
                </c:pt>
                <c:pt idx="6">
                  <c:v>43.1</c:v>
                </c:pt>
                <c:pt idx="7">
                  <c:v>45.8</c:v>
                </c:pt>
                <c:pt idx="8">
                  <c:v>43.9</c:v>
                </c:pt>
                <c:pt idx="9">
                  <c:v>48.5</c:v>
                </c:pt>
                <c:pt idx="10">
                  <c:v>45.2</c:v>
                </c:pt>
                <c:pt idx="11">
                  <c:v>39.9</c:v>
                </c:pt>
                <c:pt idx="12">
                  <c:v>47.3</c:v>
                </c:pt>
                <c:pt idx="13">
                  <c:v>46</c:v>
                </c:pt>
              </c:numCache>
            </c:numRef>
          </c:xVal>
          <c:yVal>
            <c:numRef>
              <c:f>'2. Past Proj &amp; Candidate Model'!$V$6:$V$19</c:f>
              <c:numCache>
                <c:formatCode>0.0</c:formatCode>
                <c:ptCount val="14"/>
                <c:pt idx="0">
                  <c:v>33.393999999999998</c:v>
                </c:pt>
                <c:pt idx="1">
                  <c:v>36.191000000000003</c:v>
                </c:pt>
                <c:pt idx="2">
                  <c:v>38.436</c:v>
                </c:pt>
                <c:pt idx="3">
                  <c:v>40.834000000000003</c:v>
                </c:pt>
                <c:pt idx="4">
                  <c:v>39.799999999999997</c:v>
                </c:pt>
                <c:pt idx="5">
                  <c:v>43.1</c:v>
                </c:pt>
                <c:pt idx="6">
                  <c:v>43</c:v>
                </c:pt>
                <c:pt idx="7">
                  <c:v>47.2</c:v>
                </c:pt>
                <c:pt idx="8">
                  <c:v>46.1</c:v>
                </c:pt>
                <c:pt idx="9">
                  <c:v>49.5</c:v>
                </c:pt>
                <c:pt idx="10">
                  <c:v>43.5</c:v>
                </c:pt>
                <c:pt idx="11">
                  <c:v>44.7</c:v>
                </c:pt>
                <c:pt idx="12">
                  <c:v>47.4</c:v>
                </c:pt>
                <c:pt idx="13">
                  <c:v>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44-4972-A8BC-BDFF02894E3C}"/>
            </c:ext>
          </c:extLst>
        </c:ser>
        <c:ser>
          <c:idx val="1"/>
          <c:order val="1"/>
          <c:tx>
            <c:v>Predicted Reported Revenue</c:v>
          </c:tx>
          <c:spPr>
            <a:ln w="19050">
              <a:noFill/>
            </a:ln>
          </c:spPr>
          <c:xVal>
            <c:numRef>
              <c:f>'2. Past Proj &amp; Candidate Model'!$U$6:$U$19</c:f>
              <c:numCache>
                <c:formatCode>General</c:formatCode>
                <c:ptCount val="14"/>
                <c:pt idx="0">
                  <c:v>34.6</c:v>
                </c:pt>
                <c:pt idx="1">
                  <c:v>35.5</c:v>
                </c:pt>
                <c:pt idx="2">
                  <c:v>36</c:v>
                </c:pt>
                <c:pt idx="3">
                  <c:v>38.9</c:v>
                </c:pt>
                <c:pt idx="4">
                  <c:v>38.200000000000003</c:v>
                </c:pt>
                <c:pt idx="5">
                  <c:v>41.2</c:v>
                </c:pt>
                <c:pt idx="6">
                  <c:v>43.1</c:v>
                </c:pt>
                <c:pt idx="7">
                  <c:v>45.8</c:v>
                </c:pt>
                <c:pt idx="8">
                  <c:v>43.9</c:v>
                </c:pt>
                <c:pt idx="9">
                  <c:v>48.5</c:v>
                </c:pt>
                <c:pt idx="10">
                  <c:v>45.2</c:v>
                </c:pt>
                <c:pt idx="11">
                  <c:v>39.9</c:v>
                </c:pt>
                <c:pt idx="12">
                  <c:v>47.3</c:v>
                </c:pt>
                <c:pt idx="13">
                  <c:v>46</c:v>
                </c:pt>
              </c:numCache>
            </c:numRef>
          </c:xVal>
          <c:yVal>
            <c:numRef>
              <c:f>'3. Improved Alpha Model'!$Q$29:$Q$42</c:f>
              <c:numCache>
                <c:formatCode>General</c:formatCode>
                <c:ptCount val="14"/>
                <c:pt idx="0">
                  <c:v>35.596541802579154</c:v>
                </c:pt>
                <c:pt idx="1">
                  <c:v>37.16064660933506</c:v>
                </c:pt>
                <c:pt idx="2">
                  <c:v>37.488366907844764</c:v>
                </c:pt>
                <c:pt idx="3">
                  <c:v>40.248025544996302</c:v>
                </c:pt>
                <c:pt idx="4">
                  <c:v>40.189588003181015</c:v>
                </c:pt>
                <c:pt idx="5">
                  <c:v>42.213847484438901</c:v>
                </c:pt>
                <c:pt idx="6">
                  <c:v>44.213784350723287</c:v>
                </c:pt>
                <c:pt idx="7">
                  <c:v>47.610482808226671</c:v>
                </c:pt>
                <c:pt idx="8">
                  <c:v>46.183376050071288</c:v>
                </c:pt>
                <c:pt idx="9">
                  <c:v>49.653743197807231</c:v>
                </c:pt>
                <c:pt idx="10">
                  <c:v>46.210400482893419</c:v>
                </c:pt>
                <c:pt idx="11">
                  <c:v>40.613648087424998</c:v>
                </c:pt>
                <c:pt idx="12">
                  <c:v>48.225497964955373</c:v>
                </c:pt>
                <c:pt idx="13">
                  <c:v>47.847050705522591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44-4972-A8BC-BDFF0289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51535"/>
        <c:axId val="742538639"/>
      </c:scatterChart>
      <c:valAx>
        <c:axId val="742551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Consensus</a:t>
                </a:r>
              </a:p>
            </c:rich>
          </c:tx>
          <c:layout>
            <c:manualLayout>
              <c:xMode val="edge"/>
              <c:yMode val="edge"/>
              <c:x val="0.31369041398607639"/>
              <c:y val="0.790851759796635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42538639"/>
        <c:crosses val="autoZero"/>
        <c:crossBetween val="midCat"/>
      </c:valAx>
      <c:valAx>
        <c:axId val="742538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Reported Revenue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42551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97492</xdr:colOff>
      <xdr:row>0</xdr:row>
      <xdr:rowOff>88526</xdr:rowOff>
    </xdr:from>
    <xdr:to>
      <xdr:col>32</xdr:col>
      <xdr:colOff>56030</xdr:colOff>
      <xdr:row>16</xdr:row>
      <xdr:rowOff>100853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87BC04-308A-4A01-A31A-C05F8DDCC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366432</xdr:colOff>
      <xdr:row>24</xdr:row>
      <xdr:rowOff>32497</xdr:rowOff>
    </xdr:from>
    <xdr:to>
      <xdr:col>27</xdr:col>
      <xdr:colOff>190499</xdr:colOff>
      <xdr:row>53</xdr:row>
      <xdr:rowOff>78441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EAF931-C9D6-4951-84C5-75D6457C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K29"/>
  <sheetViews>
    <sheetView tabSelected="1" zoomScale="70" zoomScaleNormal="70" workbookViewId="0">
      <selection activeCell="P34" sqref="P34"/>
    </sheetView>
  </sheetViews>
  <sheetFormatPr defaultRowHeight="12.75" x14ac:dyDescent="0.2"/>
  <cols>
    <col min="1" max="1" width="28.85546875" customWidth="1"/>
    <col min="7" max="7" width="14.140625" customWidth="1"/>
    <col min="11" max="11" width="11.42578125" customWidth="1"/>
    <col min="15" max="15" width="10.42578125" customWidth="1"/>
    <col min="32" max="32" width="20.7109375" customWidth="1"/>
    <col min="33" max="33" width="17.85546875" customWidth="1"/>
  </cols>
  <sheetData>
    <row r="1" spans="1:33" x14ac:dyDescent="0.2">
      <c r="A1" s="134" t="s">
        <v>0</v>
      </c>
      <c r="B1" s="135"/>
      <c r="C1" s="136"/>
      <c r="F1" s="143" t="s">
        <v>37</v>
      </c>
      <c r="G1" s="144"/>
      <c r="H1" s="71" t="s">
        <v>33</v>
      </c>
      <c r="I1" s="71" t="s">
        <v>34</v>
      </c>
      <c r="J1" s="4" t="s">
        <v>41</v>
      </c>
      <c r="K1" s="145" t="s">
        <v>43</v>
      </c>
      <c r="L1" s="146"/>
    </row>
    <row r="2" spans="1:33" x14ac:dyDescent="0.2">
      <c r="A2" s="137"/>
      <c r="B2" s="138"/>
      <c r="C2" s="139"/>
      <c r="F2" s="69" t="s">
        <v>39</v>
      </c>
      <c r="G2" s="70"/>
      <c r="H2" s="72">
        <f>$B$7*($AG$27-2*$AG$28)</f>
        <v>54.038506699894157</v>
      </c>
      <c r="I2" s="72">
        <f>$B$7*($AG$27+2*$AG$28)</f>
        <v>58.472221262433351</v>
      </c>
      <c r="J2" s="75">
        <f>AVERAGE(H2:I2)</f>
        <v>56.255363981163754</v>
      </c>
      <c r="K2" s="147">
        <f>$J$2/AB16-1</f>
        <v>0.25850926132357377</v>
      </c>
      <c r="L2" s="148"/>
    </row>
    <row r="3" spans="1:33" x14ac:dyDescent="0.2">
      <c r="A3" s="140"/>
      <c r="B3" s="141"/>
      <c r="C3" s="142"/>
      <c r="F3" s="54" t="s">
        <v>40</v>
      </c>
      <c r="G3" s="20"/>
      <c r="H3" s="74">
        <f>$C$7*($AG$27-2*$AG$28)</f>
        <v>55.03921978692923</v>
      </c>
      <c r="I3" s="74">
        <f>$C$7*($AG$27+2*$AG$28)</f>
        <v>59.555040174700636</v>
      </c>
      <c r="J3" s="76">
        <f>AVERAGE(H3:I3)</f>
        <v>57.29712998081493</v>
      </c>
      <c r="K3" s="149">
        <f>$J$3/AB17-1</f>
        <v>0.28181498838512131</v>
      </c>
      <c r="L3" s="150"/>
    </row>
    <row r="4" spans="1:33" x14ac:dyDescent="0.2">
      <c r="A4" s="60"/>
      <c r="B4" s="60"/>
      <c r="C4" s="60"/>
      <c r="I4" s="4" t="s">
        <v>42</v>
      </c>
      <c r="J4" s="76">
        <f>AVERAGE(J2:J3)</f>
        <v>56.776246980989342</v>
      </c>
      <c r="K4" s="149">
        <f>$J$4/AB17-1</f>
        <v>0.27016212485434754</v>
      </c>
      <c r="L4" s="150"/>
    </row>
    <row r="5" spans="1:33" x14ac:dyDescent="0.2">
      <c r="A5" s="68" t="s">
        <v>36</v>
      </c>
      <c r="B5" s="58" t="s">
        <v>33</v>
      </c>
      <c r="C5" s="59" t="s">
        <v>34</v>
      </c>
    </row>
    <row r="6" spans="1:33" ht="15.75" x14ac:dyDescent="0.25">
      <c r="A6" s="62" t="s">
        <v>35</v>
      </c>
      <c r="B6" s="66">
        <v>270</v>
      </c>
      <c r="C6" s="67">
        <v>275</v>
      </c>
    </row>
    <row r="7" spans="1:33" ht="14.25" x14ac:dyDescent="0.2">
      <c r="A7" s="63" t="s">
        <v>38</v>
      </c>
      <c r="B7" s="64">
        <f>B6*$AG$26</f>
        <v>225.93683152548795</v>
      </c>
      <c r="C7" s="65">
        <f>C6*$AG$26</f>
        <v>230.12084692410809</v>
      </c>
    </row>
    <row r="8" spans="1:33" x14ac:dyDescent="0.2">
      <c r="A8" s="60"/>
      <c r="B8" s="60"/>
      <c r="C8" s="60"/>
    </row>
    <row r="9" spans="1:33" x14ac:dyDescent="0.2">
      <c r="A9" s="60"/>
      <c r="B9" s="60"/>
      <c r="C9" s="60"/>
    </row>
    <row r="10" spans="1:33" x14ac:dyDescent="0.2">
      <c r="A10" s="60"/>
      <c r="B10" s="60"/>
      <c r="C10" s="60"/>
    </row>
    <row r="12" spans="1:33" x14ac:dyDescent="0.2">
      <c r="D12" s="132" t="s">
        <v>16</v>
      </c>
      <c r="E12" s="132"/>
      <c r="F12" s="41">
        <f>AVERAGE(F15:AF15)</f>
        <v>1.1693616797730095</v>
      </c>
      <c r="AC12" s="133" t="s">
        <v>17</v>
      </c>
      <c r="AD12" s="133"/>
      <c r="AE12" s="133"/>
      <c r="AF12" s="40">
        <f>AVERAGE(AC15:AF15)</f>
        <v>1.2959084633838116</v>
      </c>
    </row>
    <row r="13" spans="1:33" x14ac:dyDescent="0.2">
      <c r="A13" s="61" t="s">
        <v>7</v>
      </c>
      <c r="B13" s="155">
        <v>2014</v>
      </c>
      <c r="C13" s="155"/>
      <c r="D13" s="155"/>
      <c r="E13" s="156"/>
      <c r="F13" s="157">
        <v>2015</v>
      </c>
      <c r="G13" s="158"/>
      <c r="H13" s="158"/>
      <c r="I13" s="159"/>
      <c r="J13" s="157">
        <v>2016</v>
      </c>
      <c r="K13" s="158"/>
      <c r="L13" s="158"/>
      <c r="M13" s="159"/>
      <c r="N13" s="166">
        <v>2017</v>
      </c>
      <c r="O13" s="167"/>
      <c r="P13" s="167"/>
      <c r="Q13" s="168"/>
      <c r="R13" s="161">
        <v>2018</v>
      </c>
      <c r="S13" s="162"/>
      <c r="T13" s="162"/>
      <c r="U13" s="163"/>
      <c r="V13" s="151">
        <v>2019</v>
      </c>
      <c r="W13" s="152"/>
      <c r="X13" s="152"/>
      <c r="Y13" s="153"/>
      <c r="Z13" s="154">
        <v>2020</v>
      </c>
      <c r="AA13" s="155"/>
      <c r="AB13" s="155"/>
      <c r="AC13" s="156"/>
      <c r="AD13" s="157">
        <v>2021</v>
      </c>
      <c r="AE13" s="158"/>
      <c r="AF13" s="158"/>
      <c r="AG13" s="159"/>
    </row>
    <row r="14" spans="1:33" x14ac:dyDescent="0.2">
      <c r="A14" s="15" t="s">
        <v>21</v>
      </c>
      <c r="B14" s="21" t="s">
        <v>22</v>
      </c>
      <c r="C14" s="21" t="s">
        <v>4</v>
      </c>
      <c r="D14" s="21" t="s">
        <v>5</v>
      </c>
      <c r="E14" s="21" t="s">
        <v>6</v>
      </c>
      <c r="F14" s="22" t="s">
        <v>22</v>
      </c>
      <c r="G14" s="23" t="s">
        <v>4</v>
      </c>
      <c r="H14" s="23" t="s">
        <v>5</v>
      </c>
      <c r="I14" s="23" t="s">
        <v>6</v>
      </c>
      <c r="J14" s="22" t="s">
        <v>22</v>
      </c>
      <c r="K14" s="23" t="s">
        <v>4</v>
      </c>
      <c r="L14" s="23" t="s">
        <v>5</v>
      </c>
      <c r="M14" s="23" t="s">
        <v>6</v>
      </c>
      <c r="N14" s="24" t="s">
        <v>22</v>
      </c>
      <c r="O14" s="25" t="s">
        <v>4</v>
      </c>
      <c r="P14" s="25" t="s">
        <v>5</v>
      </c>
      <c r="Q14" s="25" t="s">
        <v>6</v>
      </c>
      <c r="R14" s="26" t="s">
        <v>22</v>
      </c>
      <c r="S14" s="27" t="s">
        <v>4</v>
      </c>
      <c r="T14" s="27" t="s">
        <v>5</v>
      </c>
      <c r="U14" s="27" t="s">
        <v>6</v>
      </c>
      <c r="V14" s="28" t="s">
        <v>22</v>
      </c>
      <c r="W14" s="29" t="s">
        <v>4</v>
      </c>
      <c r="X14" s="29" t="s">
        <v>5</v>
      </c>
      <c r="Y14" s="29" t="s">
        <v>6</v>
      </c>
      <c r="Z14" s="30" t="s">
        <v>22</v>
      </c>
      <c r="AA14" s="21" t="s">
        <v>4</v>
      </c>
      <c r="AB14" s="21" t="s">
        <v>5</v>
      </c>
      <c r="AC14" s="21" t="s">
        <v>6</v>
      </c>
      <c r="AD14" s="45" t="s">
        <v>22</v>
      </c>
      <c r="AE14" s="46" t="s">
        <v>4</v>
      </c>
      <c r="AF14" s="47" t="s">
        <v>23</v>
      </c>
      <c r="AG14" s="31" t="s">
        <v>24</v>
      </c>
    </row>
    <row r="15" spans="1:33" x14ac:dyDescent="0.2">
      <c r="A15" s="39" t="s">
        <v>3</v>
      </c>
      <c r="B15" s="32"/>
      <c r="C15" s="32"/>
      <c r="D15" s="32"/>
      <c r="E15" s="32"/>
      <c r="F15" s="34">
        <f>F17/B17</f>
        <v>1.2651933701657456</v>
      </c>
      <c r="G15" s="35">
        <f t="shared" ref="G15:AE15" si="0">G17/C17</f>
        <v>1.291457286432161</v>
      </c>
      <c r="H15" s="35">
        <f t="shared" si="0"/>
        <v>1.2288557213930347</v>
      </c>
      <c r="I15" s="35">
        <f t="shared" si="0"/>
        <v>1.3076923076923075</v>
      </c>
      <c r="J15" s="34">
        <f t="shared" si="0"/>
        <v>1.2358078602620088</v>
      </c>
      <c r="K15" s="35">
        <f t="shared" si="0"/>
        <v>1.2023346303501945</v>
      </c>
      <c r="L15" s="35">
        <f t="shared" si="0"/>
        <v>1.2388663967611337</v>
      </c>
      <c r="M15" s="35">
        <f t="shared" si="0"/>
        <v>1.1314878892733566</v>
      </c>
      <c r="N15" s="34">
        <f t="shared" si="0"/>
        <v>1.1766784452296819</v>
      </c>
      <c r="O15" s="35">
        <f t="shared" si="0"/>
        <v>1.1488673139158576</v>
      </c>
      <c r="P15" s="35">
        <f t="shared" si="0"/>
        <v>1.0915032679738561</v>
      </c>
      <c r="Q15" s="35">
        <f t="shared" si="0"/>
        <v>1.107033639143731</v>
      </c>
      <c r="R15" s="34">
        <f t="shared" si="0"/>
        <v>1.1531531531531531</v>
      </c>
      <c r="S15" s="35">
        <f t="shared" si="0"/>
        <v>1.1492957746478873</v>
      </c>
      <c r="T15" s="35">
        <f t="shared" si="0"/>
        <v>1.1916167664670658</v>
      </c>
      <c r="U15" s="35">
        <f t="shared" si="0"/>
        <v>1.1906077348066297</v>
      </c>
      <c r="V15" s="34">
        <f t="shared" si="0"/>
        <v>1.1197916666666667</v>
      </c>
      <c r="W15" s="35">
        <f t="shared" si="0"/>
        <v>1.1568627450980393</v>
      </c>
      <c r="X15" s="35">
        <f t="shared" si="0"/>
        <v>1.1582914572864322</v>
      </c>
      <c r="Y15" s="35">
        <f t="shared" si="0"/>
        <v>1.148491879350348</v>
      </c>
      <c r="Z15" s="34">
        <f t="shared" si="0"/>
        <v>1.0116279069767442</v>
      </c>
      <c r="AA15" s="35">
        <f t="shared" si="0"/>
        <v>0.71398305084745761</v>
      </c>
      <c r="AB15" s="35">
        <f t="shared" si="0"/>
        <v>0.96963123644251625</v>
      </c>
      <c r="AC15" s="35">
        <f t="shared" si="0"/>
        <v>0.95757575757575752</v>
      </c>
      <c r="AD15" s="34">
        <f t="shared" si="0"/>
        <v>1.1563218390804597</v>
      </c>
      <c r="AE15" s="36">
        <f t="shared" si="0"/>
        <v>1.7833827893175074</v>
      </c>
      <c r="AF15" s="53">
        <f>AF16/AB16</f>
        <v>1.2863534675615211</v>
      </c>
      <c r="AG15" s="33"/>
    </row>
    <row r="16" spans="1:33" x14ac:dyDescent="0.2">
      <c r="A16" s="16" t="s">
        <v>1</v>
      </c>
      <c r="B16" s="8">
        <v>18.100000000000001</v>
      </c>
      <c r="C16" s="8">
        <v>19.899999999999999</v>
      </c>
      <c r="D16" s="8">
        <v>20.100000000000001</v>
      </c>
      <c r="E16" s="8">
        <v>22.1</v>
      </c>
      <c r="F16" s="10">
        <v>22.9</v>
      </c>
      <c r="G16" s="6">
        <v>25.7</v>
      </c>
      <c r="H16" s="6">
        <v>24.7</v>
      </c>
      <c r="I16" s="6">
        <v>28.9</v>
      </c>
      <c r="J16" s="10">
        <v>28.3</v>
      </c>
      <c r="K16" s="6">
        <v>30.9</v>
      </c>
      <c r="L16" s="6">
        <v>30.6</v>
      </c>
      <c r="M16" s="6">
        <v>32.700000000000003</v>
      </c>
      <c r="N16" s="10">
        <v>33.299999999999997</v>
      </c>
      <c r="O16" s="6">
        <v>35.5</v>
      </c>
      <c r="P16" s="6">
        <v>33.4</v>
      </c>
      <c r="Q16" s="6">
        <v>36.200000000000003</v>
      </c>
      <c r="R16" s="10">
        <v>38.4</v>
      </c>
      <c r="S16" s="6">
        <v>40.799999999999997</v>
      </c>
      <c r="T16" s="6">
        <v>39.799999999999997</v>
      </c>
      <c r="U16" s="6">
        <v>43.1</v>
      </c>
      <c r="V16" s="10">
        <v>43</v>
      </c>
      <c r="W16" s="6">
        <v>47.2</v>
      </c>
      <c r="X16" s="6">
        <v>46.1</v>
      </c>
      <c r="Y16" s="6">
        <v>49.5</v>
      </c>
      <c r="Z16" s="10">
        <v>43.5</v>
      </c>
      <c r="AA16" s="6">
        <v>33.700000000000003</v>
      </c>
      <c r="AB16" s="6">
        <v>44.7</v>
      </c>
      <c r="AC16" s="6">
        <v>47.4</v>
      </c>
      <c r="AD16" s="7">
        <v>50.3</v>
      </c>
      <c r="AE16" s="8">
        <v>60.1</v>
      </c>
      <c r="AF16" s="7">
        <v>57.5</v>
      </c>
      <c r="AG16" s="9">
        <v>61.3</v>
      </c>
    </row>
    <row r="17" spans="1:37" x14ac:dyDescent="0.2">
      <c r="A17" s="16" t="s">
        <v>2</v>
      </c>
      <c r="B17" s="6">
        <v>18.100000000000001</v>
      </c>
      <c r="C17" s="6">
        <v>19.899999999999999</v>
      </c>
      <c r="D17" s="6">
        <v>20.100000000000001</v>
      </c>
      <c r="E17" s="6">
        <v>22.1</v>
      </c>
      <c r="F17" s="10">
        <v>22.9</v>
      </c>
      <c r="G17" s="6">
        <v>25.7</v>
      </c>
      <c r="H17" s="6">
        <v>24.7</v>
      </c>
      <c r="I17" s="6">
        <v>28.9</v>
      </c>
      <c r="J17" s="10">
        <v>28.3</v>
      </c>
      <c r="K17" s="6">
        <v>30.9</v>
      </c>
      <c r="L17" s="6">
        <v>30.6</v>
      </c>
      <c r="M17" s="6">
        <v>32.700000000000003</v>
      </c>
      <c r="N17" s="10">
        <v>33.299999999999997</v>
      </c>
      <c r="O17" s="6">
        <v>35.5</v>
      </c>
      <c r="P17" s="6">
        <v>33.4</v>
      </c>
      <c r="Q17" s="6">
        <v>36.200000000000003</v>
      </c>
      <c r="R17" s="10">
        <v>38.4</v>
      </c>
      <c r="S17" s="6">
        <v>40.799999999999997</v>
      </c>
      <c r="T17" s="6">
        <v>39.799999999999997</v>
      </c>
      <c r="U17" s="6">
        <v>43.1</v>
      </c>
      <c r="V17" s="10">
        <v>43</v>
      </c>
      <c r="W17" s="6">
        <v>47.2</v>
      </c>
      <c r="X17" s="6">
        <v>46.1</v>
      </c>
      <c r="Y17" s="6">
        <v>49.5</v>
      </c>
      <c r="Z17" s="10">
        <v>43.5</v>
      </c>
      <c r="AA17" s="6">
        <v>33.700000000000003</v>
      </c>
      <c r="AB17" s="6">
        <v>44.7</v>
      </c>
      <c r="AC17" s="6">
        <v>47.4</v>
      </c>
      <c r="AD17" s="10">
        <v>50.3</v>
      </c>
      <c r="AE17" s="6">
        <v>60.1</v>
      </c>
      <c r="AF17" s="10"/>
      <c r="AG17" s="11"/>
    </row>
    <row r="18" spans="1:37" x14ac:dyDescent="0.2">
      <c r="A18" s="11" t="s">
        <v>18</v>
      </c>
      <c r="B18" s="10">
        <v>24.8</v>
      </c>
      <c r="C18" s="6">
        <v>26.5</v>
      </c>
      <c r="D18" s="6">
        <v>26.7</v>
      </c>
      <c r="E18" s="11">
        <v>29.4</v>
      </c>
      <c r="F18" s="10">
        <v>29.9</v>
      </c>
      <c r="G18" s="6">
        <v>32.6</v>
      </c>
      <c r="H18" s="6">
        <v>31.4</v>
      </c>
      <c r="I18" s="11">
        <v>35.9</v>
      </c>
      <c r="J18" s="10">
        <v>35.9</v>
      </c>
      <c r="K18" s="6">
        <v>39.700000000000003</v>
      </c>
      <c r="L18" s="6">
        <v>38.299999999999997</v>
      </c>
      <c r="M18" s="11">
        <v>41.2</v>
      </c>
      <c r="N18" s="10">
        <v>41.3</v>
      </c>
      <c r="O18" s="6">
        <v>45.2</v>
      </c>
      <c r="P18" s="6">
        <v>42.2</v>
      </c>
      <c r="Q18" s="11">
        <v>46.1</v>
      </c>
      <c r="R18" s="10">
        <v>47</v>
      </c>
      <c r="S18" s="6">
        <v>51.8</v>
      </c>
      <c r="T18" s="6">
        <v>49.9</v>
      </c>
      <c r="U18" s="11">
        <v>52.9</v>
      </c>
      <c r="V18" s="10">
        <v>54</v>
      </c>
      <c r="W18" s="6">
        <v>58.9</v>
      </c>
      <c r="X18" s="6">
        <v>56.6</v>
      </c>
      <c r="Y18" s="11">
        <v>61.3</v>
      </c>
      <c r="Z18" s="10">
        <v>53.2</v>
      </c>
      <c r="AA18" s="6">
        <v>40.799999999999997</v>
      </c>
      <c r="AB18" s="6">
        <v>54.8</v>
      </c>
      <c r="AC18" s="11">
        <v>57.7</v>
      </c>
      <c r="AD18" s="10">
        <v>59.3</v>
      </c>
      <c r="AE18" s="6">
        <v>71.400000000000006</v>
      </c>
      <c r="AF18" s="10">
        <v>68.8</v>
      </c>
      <c r="AG18" s="11"/>
    </row>
    <row r="19" spans="1:37" x14ac:dyDescent="0.2">
      <c r="A19" s="16" t="s">
        <v>20</v>
      </c>
      <c r="B19" s="44">
        <f>B17/B18</f>
        <v>0.72983870967741937</v>
      </c>
      <c r="C19" s="42">
        <f t="shared" ref="C19:AE19" si="1">C17/C18</f>
        <v>0.75094339622641504</v>
      </c>
      <c r="D19" s="42">
        <f t="shared" si="1"/>
        <v>0.75280898876404501</v>
      </c>
      <c r="E19" s="43">
        <f t="shared" si="1"/>
        <v>0.7517006802721089</v>
      </c>
      <c r="F19" s="42">
        <f t="shared" si="1"/>
        <v>0.76588628762541799</v>
      </c>
      <c r="G19" s="42">
        <f t="shared" si="1"/>
        <v>0.78834355828220848</v>
      </c>
      <c r="H19" s="42">
        <f t="shared" si="1"/>
        <v>0.7866242038216561</v>
      </c>
      <c r="I19" s="43">
        <f t="shared" si="1"/>
        <v>0.80501392757660162</v>
      </c>
      <c r="J19" s="42">
        <f t="shared" si="1"/>
        <v>0.78830083565459619</v>
      </c>
      <c r="K19" s="42">
        <f t="shared" si="1"/>
        <v>0.77833753148614604</v>
      </c>
      <c r="L19" s="42">
        <f t="shared" si="1"/>
        <v>0.7989556135770236</v>
      </c>
      <c r="M19" s="43">
        <f t="shared" si="1"/>
        <v>0.7936893203883495</v>
      </c>
      <c r="N19" s="42">
        <f t="shared" si="1"/>
        <v>0.80629539951573848</v>
      </c>
      <c r="O19" s="42">
        <f t="shared" si="1"/>
        <v>0.78539823008849552</v>
      </c>
      <c r="P19" s="42">
        <f t="shared" si="1"/>
        <v>0.79146919431279616</v>
      </c>
      <c r="Q19" s="43">
        <f t="shared" si="1"/>
        <v>0.7852494577006508</v>
      </c>
      <c r="R19" s="42">
        <f t="shared" si="1"/>
        <v>0.81702127659574464</v>
      </c>
      <c r="S19" s="42">
        <f t="shared" si="1"/>
        <v>0.78764478764478763</v>
      </c>
      <c r="T19" s="42">
        <f t="shared" si="1"/>
        <v>0.79759519038076154</v>
      </c>
      <c r="U19" s="43">
        <f t="shared" si="1"/>
        <v>0.81474480151228734</v>
      </c>
      <c r="V19" s="42">
        <f t="shared" si="1"/>
        <v>0.79629629629629628</v>
      </c>
      <c r="W19" s="42">
        <f t="shared" si="1"/>
        <v>0.80135823429541597</v>
      </c>
      <c r="X19" s="42">
        <f t="shared" si="1"/>
        <v>0.81448763250883394</v>
      </c>
      <c r="Y19" s="43">
        <f t="shared" si="1"/>
        <v>0.80750407830342585</v>
      </c>
      <c r="Z19" s="42">
        <f t="shared" si="1"/>
        <v>0.81766917293233077</v>
      </c>
      <c r="AA19" s="42">
        <f t="shared" si="1"/>
        <v>0.82598039215686292</v>
      </c>
      <c r="AB19" s="42">
        <f t="shared" si="1"/>
        <v>0.81569343065693445</v>
      </c>
      <c r="AC19" s="43">
        <f t="shared" si="1"/>
        <v>0.82149046793760827</v>
      </c>
      <c r="AD19" s="42">
        <f t="shared" si="1"/>
        <v>0.84822934232715008</v>
      </c>
      <c r="AE19" s="42">
        <f t="shared" si="1"/>
        <v>0.84173669467787116</v>
      </c>
      <c r="AF19" s="44">
        <f>AF16/AF18</f>
        <v>0.83575581395348841</v>
      </c>
      <c r="AG19" s="11"/>
    </row>
    <row r="20" spans="1:37" x14ac:dyDescent="0.2">
      <c r="A20" s="16" t="s">
        <v>26</v>
      </c>
      <c r="B20" s="2">
        <f>B17/SUM(B17:E17)</f>
        <v>0.22568578553615962</v>
      </c>
      <c r="C20" s="2">
        <f>C17/SUM(B17:E17)</f>
        <v>0.24812967581047379</v>
      </c>
      <c r="D20" s="2">
        <f>D17/SUM(B17:E17)</f>
        <v>0.25062344139650872</v>
      </c>
      <c r="E20" s="48">
        <f>E17/SUM(B17:E17)</f>
        <v>0.27556109725685785</v>
      </c>
      <c r="F20" s="2">
        <f>F17/SUM(F17:I17)</f>
        <v>0.22407045009784737</v>
      </c>
      <c r="G20" s="2">
        <f>G17/SUM(F17:I17)</f>
        <v>0.25146771037181997</v>
      </c>
      <c r="H20" s="2">
        <f>H17/SUM(F17:I17)</f>
        <v>0.2416829745596869</v>
      </c>
      <c r="I20" s="48">
        <f>I17/SUM(F17:I17)</f>
        <v>0.2827788649706458</v>
      </c>
      <c r="J20" s="2">
        <f>J17/SUM(J17:M17)</f>
        <v>0.23102040816326527</v>
      </c>
      <c r="K20" s="2">
        <f>K17/SUM(J17:M17)</f>
        <v>0.25224489795918364</v>
      </c>
      <c r="L20" s="2">
        <f>L17/SUM(J17:M17)</f>
        <v>0.24979591836734691</v>
      </c>
      <c r="M20" s="48">
        <f>M17/SUM(J17:M17)</f>
        <v>0.26693877551020406</v>
      </c>
      <c r="N20" s="2">
        <f>N17/SUM(N17:Q17)</f>
        <v>0.240606936416185</v>
      </c>
      <c r="O20" s="2">
        <f>O17/SUM(N17:Q17)</f>
        <v>0.25650289017341044</v>
      </c>
      <c r="P20" s="2">
        <f>P17/SUM(N17:Q17)</f>
        <v>0.24132947976878616</v>
      </c>
      <c r="Q20" s="48">
        <f>Q17/SUM(N17:Q17)</f>
        <v>0.26156069364161855</v>
      </c>
      <c r="R20" s="2">
        <f>R17/SUM(R17:U17)</f>
        <v>0.23689080814312152</v>
      </c>
      <c r="S20" s="2">
        <f>S17/SUM(R17:U17)</f>
        <v>0.25169648365206659</v>
      </c>
      <c r="T20" s="2">
        <f>T17/SUM(R17:U17)</f>
        <v>0.24552745219000616</v>
      </c>
      <c r="U20" s="48">
        <f>U17/SUM(R17:U17)</f>
        <v>0.26588525601480567</v>
      </c>
      <c r="V20" s="2">
        <f>V17/SUM(V17:Y17)</f>
        <v>0.23143164693218513</v>
      </c>
      <c r="W20" s="2">
        <f>W17/SUM(V17:Y17)</f>
        <v>0.25403659849300325</v>
      </c>
      <c r="X20" s="2">
        <f>X17/SUM(V17:Y17)</f>
        <v>0.24811625403659848</v>
      </c>
      <c r="Y20" s="48">
        <f>Y17/SUM(V17:Y17)</f>
        <v>0.26641550053821311</v>
      </c>
      <c r="Z20" s="42"/>
      <c r="AA20" s="42"/>
      <c r="AB20" s="42"/>
      <c r="AC20" s="43"/>
      <c r="AD20" s="19">
        <f>AD17/SUM(AD17:AE17,AF16:AG16)</f>
        <v>0.2194589877835951</v>
      </c>
      <c r="AE20" s="19">
        <f>AE17/SUM(AD17:AE17,AF16:AG16)</f>
        <v>0.26221640488656195</v>
      </c>
      <c r="AF20" s="55">
        <f>AF16/SUM(AD17:AE17,AF16:AG16)</f>
        <v>0.25087260034904013</v>
      </c>
      <c r="AG20" s="48">
        <f>AG16/SUM(AD17:AE17,AF16:AG16)</f>
        <v>0.26745200698080279</v>
      </c>
      <c r="AH20" s="1"/>
    </row>
    <row r="21" spans="1:37" x14ac:dyDescent="0.2">
      <c r="A21" s="17" t="s">
        <v>19</v>
      </c>
      <c r="B21" s="13"/>
      <c r="C21" s="13"/>
      <c r="D21" s="13"/>
      <c r="E21" s="13"/>
      <c r="F21" s="12"/>
      <c r="G21" s="13"/>
      <c r="H21" s="13"/>
      <c r="I21" s="13"/>
      <c r="J21" s="12"/>
      <c r="K21" s="13"/>
      <c r="L21" s="13"/>
      <c r="M21" s="13">
        <v>34.299999999999997</v>
      </c>
      <c r="N21" s="12">
        <v>31.2</v>
      </c>
      <c r="O21" s="13">
        <v>34.700000000000003</v>
      </c>
      <c r="P21" s="13">
        <v>34.6</v>
      </c>
      <c r="Q21" s="13">
        <v>35.5</v>
      </c>
      <c r="R21" s="12">
        <v>36</v>
      </c>
      <c r="S21" s="13">
        <v>38.9</v>
      </c>
      <c r="T21" s="13">
        <v>38.200000000000003</v>
      </c>
      <c r="U21" s="13">
        <v>41.2</v>
      </c>
      <c r="V21" s="12">
        <v>43.1</v>
      </c>
      <c r="W21" s="13">
        <v>45.8</v>
      </c>
      <c r="X21" s="13">
        <v>43.9</v>
      </c>
      <c r="Y21" s="13">
        <v>48.5</v>
      </c>
      <c r="Z21" s="12">
        <v>45.2</v>
      </c>
      <c r="AA21" s="13">
        <v>27.7</v>
      </c>
      <c r="AB21" s="13">
        <v>39.9</v>
      </c>
      <c r="AC21" s="13">
        <v>47.3</v>
      </c>
      <c r="AD21" s="12">
        <v>46</v>
      </c>
      <c r="AE21" s="13">
        <v>50.4</v>
      </c>
      <c r="AF21" s="12">
        <v>52.9</v>
      </c>
      <c r="AG21" s="14">
        <v>57.3</v>
      </c>
    </row>
    <row r="22" spans="1:37" x14ac:dyDescent="0.2">
      <c r="K22" s="126" t="s">
        <v>8</v>
      </c>
      <c r="L22" s="160"/>
      <c r="M22" s="8">
        <f t="shared" ref="M22:AE22" si="2">IF(M17&gt;M21,1,0)</f>
        <v>0</v>
      </c>
      <c r="N22" s="8">
        <f t="shared" si="2"/>
        <v>1</v>
      </c>
      <c r="O22" s="8">
        <f t="shared" si="2"/>
        <v>1</v>
      </c>
      <c r="P22" s="8">
        <f t="shared" si="2"/>
        <v>0</v>
      </c>
      <c r="Q22" s="8">
        <f t="shared" si="2"/>
        <v>1</v>
      </c>
      <c r="R22" s="8">
        <f t="shared" si="2"/>
        <v>1</v>
      </c>
      <c r="S22" s="8">
        <f t="shared" si="2"/>
        <v>1</v>
      </c>
      <c r="T22" s="8">
        <f t="shared" si="2"/>
        <v>1</v>
      </c>
      <c r="U22" s="8">
        <f t="shared" si="2"/>
        <v>1</v>
      </c>
      <c r="V22" s="8">
        <f t="shared" si="2"/>
        <v>0</v>
      </c>
      <c r="W22" s="8">
        <f t="shared" si="2"/>
        <v>1</v>
      </c>
      <c r="X22" s="8">
        <f t="shared" si="2"/>
        <v>1</v>
      </c>
      <c r="Y22" s="8">
        <f t="shared" si="2"/>
        <v>1</v>
      </c>
      <c r="Z22" s="8">
        <f t="shared" si="2"/>
        <v>0</v>
      </c>
      <c r="AA22" s="8">
        <f t="shared" si="2"/>
        <v>1</v>
      </c>
      <c r="AB22" s="8">
        <f t="shared" si="2"/>
        <v>1</v>
      </c>
      <c r="AC22" s="8">
        <f t="shared" si="2"/>
        <v>1</v>
      </c>
      <c r="AD22" s="8">
        <f t="shared" si="2"/>
        <v>1</v>
      </c>
      <c r="AE22" s="9">
        <f t="shared" si="2"/>
        <v>1</v>
      </c>
      <c r="AF22" s="54" t="s">
        <v>9</v>
      </c>
      <c r="AG22" s="50">
        <f>AVERAGE(M22:AE22)</f>
        <v>0.78947368421052633</v>
      </c>
    </row>
    <row r="23" spans="1:37" x14ac:dyDescent="0.2">
      <c r="K23" s="130" t="s">
        <v>10</v>
      </c>
      <c r="L23" s="131"/>
      <c r="M23" s="6"/>
      <c r="N23" s="6"/>
      <c r="O23" s="6"/>
      <c r="P23" s="6">
        <f t="shared" ref="P23:AE23" si="3">AVERAGE(M22:P22)</f>
        <v>0.5</v>
      </c>
      <c r="Q23" s="6">
        <f t="shared" si="3"/>
        <v>0.75</v>
      </c>
      <c r="R23" s="6">
        <f t="shared" si="3"/>
        <v>0.75</v>
      </c>
      <c r="S23" s="6">
        <f t="shared" si="3"/>
        <v>0.75</v>
      </c>
      <c r="T23" s="6">
        <f t="shared" si="3"/>
        <v>1</v>
      </c>
      <c r="U23" s="6">
        <f t="shared" si="3"/>
        <v>1</v>
      </c>
      <c r="V23" s="6">
        <f t="shared" si="3"/>
        <v>0.75</v>
      </c>
      <c r="W23" s="6">
        <f t="shared" si="3"/>
        <v>0.75</v>
      </c>
      <c r="X23" s="6">
        <f t="shared" si="3"/>
        <v>0.75</v>
      </c>
      <c r="Y23" s="6">
        <f t="shared" si="3"/>
        <v>0.75</v>
      </c>
      <c r="Z23" s="6">
        <f t="shared" si="3"/>
        <v>0.75</v>
      </c>
      <c r="AA23" s="6">
        <f t="shared" si="3"/>
        <v>0.75</v>
      </c>
      <c r="AB23" s="6">
        <f t="shared" si="3"/>
        <v>0.75</v>
      </c>
      <c r="AC23" s="6">
        <f t="shared" si="3"/>
        <v>0.75</v>
      </c>
      <c r="AD23" s="6">
        <f t="shared" si="3"/>
        <v>1</v>
      </c>
      <c r="AE23" s="11">
        <f t="shared" si="3"/>
        <v>1</v>
      </c>
      <c r="AF23" s="49" t="s">
        <v>11</v>
      </c>
      <c r="AG23" s="50">
        <f>AVERAGE(P23:AE23)</f>
        <v>0.796875</v>
      </c>
    </row>
    <row r="24" spans="1:37" x14ac:dyDescent="0.2">
      <c r="K24" s="164" t="s">
        <v>12</v>
      </c>
      <c r="L24" s="165"/>
      <c r="M24" s="19">
        <f t="shared" ref="M24:AE24" si="4">M17/M21-1</f>
        <v>-4.6647230320699506E-2</v>
      </c>
      <c r="N24" s="19">
        <f t="shared" si="4"/>
        <v>6.7307692307692291E-2</v>
      </c>
      <c r="O24" s="19">
        <f t="shared" si="4"/>
        <v>2.3054755043227626E-2</v>
      </c>
      <c r="P24" s="19">
        <f t="shared" si="4"/>
        <v>-3.4682080924855585E-2</v>
      </c>
      <c r="Q24" s="19">
        <f t="shared" si="4"/>
        <v>1.9718309859154903E-2</v>
      </c>
      <c r="R24" s="19">
        <f t="shared" si="4"/>
        <v>6.6666666666666652E-2</v>
      </c>
      <c r="S24" s="19">
        <f t="shared" si="4"/>
        <v>4.8843187660668308E-2</v>
      </c>
      <c r="T24" s="19">
        <f t="shared" si="4"/>
        <v>4.1884816753926524E-2</v>
      </c>
      <c r="U24" s="19">
        <f t="shared" si="4"/>
        <v>4.6116504854368801E-2</v>
      </c>
      <c r="V24" s="19">
        <f t="shared" si="4"/>
        <v>-2.3201856148492572E-3</v>
      </c>
      <c r="W24" s="19">
        <f t="shared" si="4"/>
        <v>3.0567685589519833E-2</v>
      </c>
      <c r="X24" s="19">
        <f t="shared" si="4"/>
        <v>5.0113895216401083E-2</v>
      </c>
      <c r="Y24" s="19">
        <f t="shared" si="4"/>
        <v>2.0618556701030855E-2</v>
      </c>
      <c r="Z24" s="19">
        <f t="shared" si="4"/>
        <v>-3.7610619469026663E-2</v>
      </c>
      <c r="AA24" s="19">
        <f t="shared" si="4"/>
        <v>0.21660649819494604</v>
      </c>
      <c r="AB24" s="19">
        <f t="shared" si="4"/>
        <v>0.12030075187969946</v>
      </c>
      <c r="AC24" s="19">
        <f t="shared" si="4"/>
        <v>2.1141649048626032E-3</v>
      </c>
      <c r="AD24" s="19">
        <f t="shared" si="4"/>
        <v>9.3478260869565233E-2</v>
      </c>
      <c r="AE24" s="48">
        <f t="shared" si="4"/>
        <v>0.19246031746031744</v>
      </c>
      <c r="AF24" s="49" t="s">
        <v>14</v>
      </c>
      <c r="AG24" s="51">
        <f>MEDIAN(M24:AE24)</f>
        <v>4.1884816753926524E-2</v>
      </c>
    </row>
    <row r="25" spans="1:37" x14ac:dyDescent="0.2">
      <c r="K25" s="130" t="s">
        <v>13</v>
      </c>
      <c r="L25" s="131"/>
      <c r="M25" s="13"/>
      <c r="N25" s="13"/>
      <c r="O25" s="13"/>
      <c r="P25" s="37">
        <f>AVERAGE(M24:P24)</f>
        <v>2.2582840263412063E-3</v>
      </c>
      <c r="Q25" s="37">
        <f t="shared" ref="Q25:AE25" si="5">AVERAGE(N24:Q24)</f>
        <v>1.8849669071304809E-2</v>
      </c>
      <c r="R25" s="37">
        <f t="shared" si="5"/>
        <v>1.8689412661048399E-2</v>
      </c>
      <c r="S25" s="37">
        <f t="shared" si="5"/>
        <v>2.513652081540857E-2</v>
      </c>
      <c r="T25" s="37">
        <f t="shared" si="5"/>
        <v>4.4278245235104097E-2</v>
      </c>
      <c r="U25" s="37">
        <f t="shared" si="5"/>
        <v>5.0877793983907571E-2</v>
      </c>
      <c r="V25" s="37">
        <f t="shared" si="5"/>
        <v>3.3631080913528594E-2</v>
      </c>
      <c r="W25" s="37">
        <f t="shared" si="5"/>
        <v>2.9062205395741475E-2</v>
      </c>
      <c r="X25" s="37">
        <f t="shared" si="5"/>
        <v>3.1119475011360115E-2</v>
      </c>
      <c r="Y25" s="37">
        <f t="shared" si="5"/>
        <v>2.4744987973025628E-2</v>
      </c>
      <c r="Z25" s="37">
        <f t="shared" si="5"/>
        <v>1.5922379509481277E-2</v>
      </c>
      <c r="AA25" s="37">
        <f t="shared" si="5"/>
        <v>6.2432082660837829E-2</v>
      </c>
      <c r="AB25" s="37">
        <f t="shared" si="5"/>
        <v>7.9978796826662424E-2</v>
      </c>
      <c r="AC25" s="37">
        <f t="shared" si="5"/>
        <v>7.5352698877620361E-2</v>
      </c>
      <c r="AD25" s="37">
        <f t="shared" si="5"/>
        <v>0.10812491896226833</v>
      </c>
      <c r="AE25" s="38">
        <f t="shared" si="5"/>
        <v>0.10208837377861119</v>
      </c>
      <c r="AF25" s="20" t="s">
        <v>15</v>
      </c>
      <c r="AG25" s="38">
        <f>MEDIAN(P25:AE25)</f>
        <v>3.2375277962444354E-2</v>
      </c>
    </row>
    <row r="26" spans="1:37" x14ac:dyDescent="0.2">
      <c r="K26" s="126" t="s">
        <v>27</v>
      </c>
      <c r="L26" s="127"/>
      <c r="M26" s="56">
        <f>AVERAGE(N24:O24,Q24:U24,W24:Y24,AA24:AE24)</f>
        <v>6.9323470930803183E-2</v>
      </c>
      <c r="N26" s="126" t="s">
        <v>31</v>
      </c>
      <c r="O26" s="127"/>
      <c r="P26" s="56">
        <f>MEDIAN(N24:O24,Q24:U24,W24:Y24,AA24:AE24)</f>
        <v>4.8843187660668308E-2</v>
      </c>
      <c r="AC26" s="119" t="s">
        <v>25</v>
      </c>
      <c r="AD26" s="120"/>
      <c r="AE26" s="120"/>
      <c r="AF26" s="121"/>
      <c r="AG26" s="52">
        <f>AVERAGE(AC19:AF19)</f>
        <v>0.83680307972402945</v>
      </c>
    </row>
    <row r="27" spans="1:37" x14ac:dyDescent="0.2">
      <c r="K27" s="128" t="s">
        <v>28</v>
      </c>
      <c r="L27" s="129"/>
      <c r="M27" s="38">
        <f>AVERAGE(M24,P24,Z24)</f>
        <v>-3.9646643571527251E-2</v>
      </c>
      <c r="N27" s="128" t="s">
        <v>32</v>
      </c>
      <c r="O27" s="129"/>
      <c r="P27" s="38">
        <f>MEDIAN(M24,P24,Z24)</f>
        <v>-3.7610619469026663E-2</v>
      </c>
      <c r="AC27" s="122" t="s">
        <v>29</v>
      </c>
      <c r="AD27" s="123"/>
      <c r="AE27" s="123"/>
      <c r="AF27" s="123"/>
      <c r="AG27" s="56">
        <f>AVERAGE(D20,L20,T20,X20,AF20)</f>
        <v>0.24898713326790006</v>
      </c>
      <c r="AH27" s="117" t="s">
        <v>44</v>
      </c>
      <c r="AI27" s="118"/>
      <c r="AJ27" s="118"/>
      <c r="AK27" s="118"/>
    </row>
    <row r="28" spans="1:37" x14ac:dyDescent="0.2">
      <c r="AC28" s="124" t="s">
        <v>30</v>
      </c>
      <c r="AD28" s="125"/>
      <c r="AE28" s="125"/>
      <c r="AF28" s="125"/>
      <c r="AG28" s="57">
        <f>_xlfn.STDEV.S(D20,H20,L20,P20,AF20)</f>
        <v>4.9059227446488982E-3</v>
      </c>
      <c r="AH28" s="117" t="s">
        <v>45</v>
      </c>
      <c r="AI28" s="118"/>
      <c r="AJ28" s="118"/>
      <c r="AK28" s="118"/>
    </row>
    <row r="29" spans="1:37" ht="18" customHeight="1" x14ac:dyDescent="0.2"/>
  </sheetData>
  <mergeCells count="29">
    <mergeCell ref="K24:L24"/>
    <mergeCell ref="B13:E13"/>
    <mergeCell ref="F13:I13"/>
    <mergeCell ref="J13:M13"/>
    <mergeCell ref="N13:Q13"/>
    <mergeCell ref="V13:Y13"/>
    <mergeCell ref="Z13:AC13"/>
    <mergeCell ref="AD13:AG13"/>
    <mergeCell ref="K22:L22"/>
    <mergeCell ref="K23:L23"/>
    <mergeCell ref="R13:U13"/>
    <mergeCell ref="D12:E12"/>
    <mergeCell ref="AC12:AE12"/>
    <mergeCell ref="A1:C3"/>
    <mergeCell ref="F1:G1"/>
    <mergeCell ref="K1:L1"/>
    <mergeCell ref="K2:L2"/>
    <mergeCell ref="K3:L3"/>
    <mergeCell ref="K4:L4"/>
    <mergeCell ref="K26:L26"/>
    <mergeCell ref="K27:L27"/>
    <mergeCell ref="N26:O26"/>
    <mergeCell ref="N27:O27"/>
    <mergeCell ref="K25:L25"/>
    <mergeCell ref="AH27:AK27"/>
    <mergeCell ref="AH28:AK28"/>
    <mergeCell ref="AC26:AF26"/>
    <mergeCell ref="AC27:AF27"/>
    <mergeCell ref="AC28:AF28"/>
  </mergeCells>
  <conditionalFormatting sqref="M22:AE22 AG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:AE23 AG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AE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P25:AE2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G24:AG2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2:AG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2:AG23 AG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M24:AE24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P25:AE25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AG24:AG25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 AG26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7"/>
  <sheetViews>
    <sheetView zoomScale="85" zoomScaleNormal="85" workbookViewId="0">
      <selection activeCell="H46" sqref="H46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  <col min="20" max="20" width="16.140625" customWidth="1"/>
  </cols>
  <sheetData>
    <row r="1" spans="1:22" x14ac:dyDescent="0.2">
      <c r="A1" t="s">
        <v>91</v>
      </c>
      <c r="B1" t="s">
        <v>92</v>
      </c>
    </row>
    <row r="4" spans="1:22" x14ac:dyDescent="0.2">
      <c r="A4" s="174" t="s">
        <v>86</v>
      </c>
      <c r="B4" s="174"/>
      <c r="T4" s="96" t="s">
        <v>217</v>
      </c>
    </row>
    <row r="5" spans="1:22" x14ac:dyDescent="0.2">
      <c r="A5" s="18" t="s">
        <v>65</v>
      </c>
      <c r="B5" s="18" t="s">
        <v>66</v>
      </c>
      <c r="C5" s="18" t="s">
        <v>77</v>
      </c>
      <c r="D5" s="18" t="s">
        <v>67</v>
      </c>
      <c r="E5" s="18" t="s">
        <v>68</v>
      </c>
      <c r="F5" s="18" t="s">
        <v>78</v>
      </c>
      <c r="G5" s="18" t="s">
        <v>69</v>
      </c>
      <c r="H5" s="18" t="s">
        <v>70</v>
      </c>
      <c r="I5" s="18" t="s">
        <v>79</v>
      </c>
      <c r="J5" s="18" t="s">
        <v>71</v>
      </c>
      <c r="K5" s="18" t="s">
        <v>72</v>
      </c>
      <c r="L5" s="18" t="s">
        <v>82</v>
      </c>
      <c r="M5" s="18" t="s">
        <v>73</v>
      </c>
      <c r="N5" s="18" t="s">
        <v>74</v>
      </c>
      <c r="O5" s="18" t="s">
        <v>83</v>
      </c>
      <c r="P5" s="18" t="s">
        <v>75</v>
      </c>
      <c r="Q5" s="18" t="s">
        <v>76</v>
      </c>
      <c r="R5" s="18" t="s">
        <v>1</v>
      </c>
      <c r="S5" s="18" t="s">
        <v>81</v>
      </c>
      <c r="T5" s="107" t="s">
        <v>74</v>
      </c>
      <c r="U5" s="107" t="s">
        <v>1</v>
      </c>
      <c r="V5" s="107" t="s">
        <v>81</v>
      </c>
    </row>
    <row r="6" spans="1:22" x14ac:dyDescent="0.2">
      <c r="A6" s="7" t="s">
        <v>46</v>
      </c>
      <c r="B6" s="8" t="s">
        <v>47</v>
      </c>
      <c r="C6" s="8" t="s">
        <v>48</v>
      </c>
      <c r="D6" s="8">
        <v>20170720</v>
      </c>
      <c r="E6" s="113">
        <v>43.577084999999997</v>
      </c>
      <c r="F6" s="113">
        <v>42.872605999999998</v>
      </c>
      <c r="G6" s="113">
        <v>38.630619000000003</v>
      </c>
      <c r="H6" s="113">
        <v>39.193278999999997</v>
      </c>
      <c r="I6" s="113">
        <v>38.475765000000003</v>
      </c>
      <c r="J6" s="113">
        <v>40.549870799999994</v>
      </c>
      <c r="K6" s="113"/>
      <c r="L6" s="113"/>
      <c r="M6" s="113"/>
      <c r="N6" s="113"/>
      <c r="O6" s="113"/>
      <c r="P6" s="113"/>
      <c r="Q6" s="113"/>
      <c r="R6" s="8">
        <v>34.700000000000003</v>
      </c>
      <c r="S6" s="106">
        <v>35.533999999999999</v>
      </c>
      <c r="T6" s="108">
        <v>30.514008032346563</v>
      </c>
      <c r="U6" s="6">
        <v>34.6</v>
      </c>
      <c r="V6" s="73">
        <v>33.393999999999998</v>
      </c>
    </row>
    <row r="7" spans="1:22" x14ac:dyDescent="0.2">
      <c r="A7" s="10" t="s">
        <v>46</v>
      </c>
      <c r="B7" s="6" t="s">
        <v>47</v>
      </c>
      <c r="C7" s="6" t="s">
        <v>49</v>
      </c>
      <c r="D7" s="6">
        <v>20171026</v>
      </c>
      <c r="E7" s="114">
        <v>35.908164999999997</v>
      </c>
      <c r="F7" s="114">
        <v>35.554031999999999</v>
      </c>
      <c r="G7" s="114">
        <v>33.296140999999999</v>
      </c>
      <c r="H7" s="114">
        <v>33.656329999999997</v>
      </c>
      <c r="I7" s="114">
        <v>32.940120999999998</v>
      </c>
      <c r="J7" s="114">
        <v>34.270957800000005</v>
      </c>
      <c r="K7" s="114">
        <f>(E7/E6)*$S6</f>
        <v>29.280543549666067</v>
      </c>
      <c r="L7" s="114">
        <f t="shared" ref="L7:P7" si="0">(F7/F6)*$S6</f>
        <v>29.468163728792227</v>
      </c>
      <c r="M7" s="114">
        <f t="shared" si="0"/>
        <v>30.627132179631911</v>
      </c>
      <c r="N7" s="114">
        <f t="shared" si="0"/>
        <v>30.514008032346563</v>
      </c>
      <c r="O7" s="114">
        <f t="shared" si="0"/>
        <v>30.421598105040921</v>
      </c>
      <c r="P7" s="114">
        <f t="shared" si="0"/>
        <v>30.031765587406021</v>
      </c>
      <c r="Q7" s="114">
        <f>AVERAGE(K7:P7)</f>
        <v>30.057201863813955</v>
      </c>
      <c r="R7" s="6">
        <v>34.6</v>
      </c>
      <c r="S7" s="73">
        <v>33.393999999999998</v>
      </c>
      <c r="T7" s="108">
        <v>37.232604448137991</v>
      </c>
      <c r="U7" s="6">
        <v>35.5</v>
      </c>
      <c r="V7" s="73">
        <v>36.191000000000003</v>
      </c>
    </row>
    <row r="8" spans="1:22" x14ac:dyDescent="0.2">
      <c r="A8" s="10" t="s">
        <v>46</v>
      </c>
      <c r="B8" s="6" t="s">
        <v>47</v>
      </c>
      <c r="C8" s="6" t="s">
        <v>50</v>
      </c>
      <c r="D8">
        <v>20180222</v>
      </c>
      <c r="E8" s="114">
        <v>37.968628000000002</v>
      </c>
      <c r="F8" s="114">
        <v>37.236218000000001</v>
      </c>
      <c r="G8" s="114">
        <v>34.790464999999998</v>
      </c>
      <c r="H8" s="114">
        <v>39.961077000000003</v>
      </c>
      <c r="I8" s="114">
        <v>26.769535999999999</v>
      </c>
      <c r="J8" s="114">
        <f>AVERAGE(E8:I8)</f>
        <v>35.345184799999998</v>
      </c>
      <c r="K8" s="114">
        <f t="shared" ref="K8:K22" si="1">(E8/E7)*$S7</f>
        <v>35.310196536971468</v>
      </c>
      <c r="L8" s="114">
        <f t="shared" ref="L8:L22" si="2">(F8/F7)*$S7</f>
        <v>34.973987307318616</v>
      </c>
      <c r="M8" s="114">
        <f t="shared" ref="M8:M22" si="3">(G8/G7)*$S7</f>
        <v>34.892715891910719</v>
      </c>
      <c r="N8" s="114">
        <f t="shared" ref="N8:N22" si="4">(H8/H7)*$S7</f>
        <v>39.64960544830646</v>
      </c>
      <c r="O8" s="114">
        <f t="shared" ref="O8:O22" si="5">(I8/I7)*$S7</f>
        <v>27.138391057640618</v>
      </c>
      <c r="P8" s="114">
        <f t="shared" ref="P8:P22" si="6">(J8/J7)*$S7</f>
        <v>34.440738659810663</v>
      </c>
      <c r="Q8" s="114">
        <f t="shared" ref="Q8:Q22" si="7">AVERAGE(K8:P8)</f>
        <v>34.400939150326423</v>
      </c>
      <c r="R8" s="6">
        <v>35.5</v>
      </c>
      <c r="S8" s="73">
        <v>36.191000000000003</v>
      </c>
      <c r="T8" s="108">
        <v>36.429779984292644</v>
      </c>
      <c r="U8" s="6">
        <v>36</v>
      </c>
      <c r="V8" s="73">
        <v>38.436</v>
      </c>
    </row>
    <row r="9" spans="1:22" x14ac:dyDescent="0.2">
      <c r="A9" s="10" t="s">
        <v>46</v>
      </c>
      <c r="B9" s="6" t="s">
        <v>47</v>
      </c>
      <c r="C9" s="6" t="s">
        <v>51</v>
      </c>
      <c r="D9" s="6">
        <v>20180419</v>
      </c>
      <c r="E9" s="114">
        <v>39.564188999999999</v>
      </c>
      <c r="F9" s="114">
        <v>39.318651000000003</v>
      </c>
      <c r="G9" s="114">
        <v>38.696620000000003</v>
      </c>
      <c r="H9" s="114">
        <v>37.772671000000003</v>
      </c>
      <c r="I9" s="114">
        <v>39.016331999999998</v>
      </c>
      <c r="J9" s="114">
        <v>38.873692600000005</v>
      </c>
      <c r="K9" s="114">
        <f t="shared" si="1"/>
        <v>37.711859488285953</v>
      </c>
      <c r="L9" s="114">
        <f t="shared" si="2"/>
        <v>38.214979253290437</v>
      </c>
      <c r="M9" s="114">
        <f t="shared" si="3"/>
        <v>40.25440230304482</v>
      </c>
      <c r="N9" s="114">
        <f t="shared" si="4"/>
        <v>34.209056381563492</v>
      </c>
      <c r="O9" s="114">
        <f t="shared" si="5"/>
        <v>52.748021908635252</v>
      </c>
      <c r="P9" s="114">
        <f t="shared" si="6"/>
        <v>39.803945483589615</v>
      </c>
      <c r="Q9" s="114">
        <f t="shared" si="7"/>
        <v>40.490377469734931</v>
      </c>
      <c r="R9" s="6">
        <v>36</v>
      </c>
      <c r="S9" s="73">
        <v>38.436</v>
      </c>
      <c r="T9" s="108">
        <v>38.970657119693762</v>
      </c>
      <c r="U9" s="6">
        <v>38.9</v>
      </c>
      <c r="V9" s="73">
        <v>40.834000000000003</v>
      </c>
    </row>
    <row r="10" spans="1:22" x14ac:dyDescent="0.2">
      <c r="A10" s="10" t="s">
        <v>46</v>
      </c>
      <c r="B10" s="6" t="s">
        <v>47</v>
      </c>
      <c r="C10" s="6" t="s">
        <v>52</v>
      </c>
      <c r="D10" s="6">
        <v>20180726</v>
      </c>
      <c r="E10" s="114">
        <v>38.508651</v>
      </c>
      <c r="F10" s="114">
        <v>39.589503000000001</v>
      </c>
      <c r="G10" s="114">
        <v>36.913170000000001</v>
      </c>
      <c r="H10" s="114">
        <v>38.298101000000003</v>
      </c>
      <c r="I10" s="114">
        <v>40.298301000000002</v>
      </c>
      <c r="J10" s="114">
        <v>38.721545200000001</v>
      </c>
      <c r="K10" s="114">
        <f t="shared" si="1"/>
        <v>37.410561096955632</v>
      </c>
      <c r="L10" s="114">
        <f t="shared" si="2"/>
        <v>38.700771735734264</v>
      </c>
      <c r="M10" s="114">
        <f t="shared" si="3"/>
        <v>36.664561455755049</v>
      </c>
      <c r="N10" s="114">
        <f t="shared" si="4"/>
        <v>38.970657119693762</v>
      </c>
      <c r="O10" s="114">
        <f t="shared" si="5"/>
        <v>39.698900891964932</v>
      </c>
      <c r="P10" s="114">
        <f t="shared" si="6"/>
        <v>38.285565681177403</v>
      </c>
      <c r="Q10" s="114">
        <f t="shared" si="7"/>
        <v>38.288502996880176</v>
      </c>
      <c r="R10" s="6">
        <v>38.9</v>
      </c>
      <c r="S10" s="73">
        <v>40.834000000000003</v>
      </c>
      <c r="T10" s="108">
        <v>43.449643344039437</v>
      </c>
      <c r="U10" s="6">
        <v>38.200000000000003</v>
      </c>
      <c r="V10" s="73">
        <v>39.799999999999997</v>
      </c>
    </row>
    <row r="11" spans="1:22" x14ac:dyDescent="0.2">
      <c r="A11" s="10" t="s">
        <v>46</v>
      </c>
      <c r="B11" s="6" t="s">
        <v>47</v>
      </c>
      <c r="C11" s="6" t="s">
        <v>53</v>
      </c>
      <c r="D11" s="6">
        <v>20181025</v>
      </c>
      <c r="E11" s="114">
        <v>40.730367999999999</v>
      </c>
      <c r="F11" s="114">
        <v>40.565247999999997</v>
      </c>
      <c r="G11" s="114">
        <v>38.381619000000001</v>
      </c>
      <c r="H11" s="114">
        <v>40.751306</v>
      </c>
      <c r="I11" s="114">
        <v>41.402515999999999</v>
      </c>
      <c r="J11" s="114">
        <v>40.366211399999997</v>
      </c>
      <c r="K11" s="114">
        <f t="shared" si="1"/>
        <v>43.189875618130586</v>
      </c>
      <c r="L11" s="114">
        <f t="shared" si="2"/>
        <v>41.840417568060907</v>
      </c>
      <c r="M11" s="114">
        <f t="shared" si="3"/>
        <v>42.45842419510435</v>
      </c>
      <c r="N11" s="114">
        <f t="shared" si="4"/>
        <v>43.449643344039437</v>
      </c>
      <c r="O11" s="114">
        <f t="shared" si="5"/>
        <v>41.952893704972823</v>
      </c>
      <c r="P11" s="114">
        <f t="shared" si="6"/>
        <v>42.568391002836321</v>
      </c>
      <c r="Q11" s="114">
        <f t="shared" si="7"/>
        <v>42.576607572190738</v>
      </c>
      <c r="R11" s="6">
        <v>38.200000000000003</v>
      </c>
      <c r="S11" s="73">
        <v>39.799999999999997</v>
      </c>
      <c r="T11" s="108">
        <v>39.118203411689429</v>
      </c>
      <c r="U11" s="6">
        <v>41.2</v>
      </c>
      <c r="V11" s="73">
        <v>43.1</v>
      </c>
    </row>
    <row r="12" spans="1:22" x14ac:dyDescent="0.2">
      <c r="A12" s="10" t="s">
        <v>46</v>
      </c>
      <c r="B12" s="6" t="s">
        <v>47</v>
      </c>
      <c r="C12" s="6" t="s">
        <v>54</v>
      </c>
      <c r="D12" s="6">
        <v>20190221</v>
      </c>
      <c r="E12" s="114">
        <v>42.131287999999998</v>
      </c>
      <c r="F12" s="114">
        <v>42.196922999999998</v>
      </c>
      <c r="G12" s="114">
        <v>40.018132000000001</v>
      </c>
      <c r="H12" s="114">
        <v>40.053213</v>
      </c>
      <c r="I12" s="114">
        <v>36.603658000000003</v>
      </c>
      <c r="J12" s="114">
        <v>40.200642799999997</v>
      </c>
      <c r="K12" s="114">
        <f t="shared" si="1"/>
        <v>41.16892001565023</v>
      </c>
      <c r="L12" s="114">
        <f t="shared" si="2"/>
        <v>41.400894070708006</v>
      </c>
      <c r="M12" s="114">
        <f t="shared" si="3"/>
        <v>41.496989837765824</v>
      </c>
      <c r="N12" s="114">
        <f t="shared" si="4"/>
        <v>39.118203411689429</v>
      </c>
      <c r="O12" s="114">
        <f t="shared" si="5"/>
        <v>35.186885463675686</v>
      </c>
      <c r="P12" s="114">
        <f t="shared" si="6"/>
        <v>39.636753808409175</v>
      </c>
      <c r="Q12" s="114">
        <f t="shared" si="7"/>
        <v>39.668107767983052</v>
      </c>
      <c r="R12" s="6">
        <v>41.2</v>
      </c>
      <c r="S12" s="73">
        <v>43.1</v>
      </c>
      <c r="T12" s="108">
        <v>42.390873024343897</v>
      </c>
      <c r="U12" s="6">
        <v>43.1</v>
      </c>
      <c r="V12" s="73">
        <v>43</v>
      </c>
    </row>
    <row r="13" spans="1:22" x14ac:dyDescent="0.2">
      <c r="A13" s="10" t="s">
        <v>46</v>
      </c>
      <c r="B13" s="6" t="s">
        <v>47</v>
      </c>
      <c r="C13" s="6" t="s">
        <v>55</v>
      </c>
      <c r="D13" s="6">
        <v>20190418</v>
      </c>
      <c r="E13" s="114">
        <v>38.337846999999996</v>
      </c>
      <c r="F13" s="114">
        <v>38.056353000000001</v>
      </c>
      <c r="G13" s="114">
        <v>34.797128000000001</v>
      </c>
      <c r="H13" s="114">
        <v>39.394215000000003</v>
      </c>
      <c r="I13" s="114">
        <v>32.711002999999998</v>
      </c>
      <c r="J13" s="114">
        <v>36.659309200000003</v>
      </c>
      <c r="K13" s="114">
        <f t="shared" si="1"/>
        <v>39.219337555025611</v>
      </c>
      <c r="L13" s="114">
        <f t="shared" si="2"/>
        <v>38.870815635064197</v>
      </c>
      <c r="M13" s="114">
        <f t="shared" si="3"/>
        <v>37.476917133463402</v>
      </c>
      <c r="N13" s="114">
        <f t="shared" si="4"/>
        <v>42.390873024343897</v>
      </c>
      <c r="O13" s="114">
        <f t="shared" si="5"/>
        <v>38.516484590146696</v>
      </c>
      <c r="P13" s="114">
        <f t="shared" si="6"/>
        <v>39.303257770793664</v>
      </c>
      <c r="Q13" s="114">
        <f t="shared" si="7"/>
        <v>39.296280951472909</v>
      </c>
      <c r="R13" s="6">
        <v>43.1</v>
      </c>
      <c r="S13" s="73">
        <v>43</v>
      </c>
      <c r="T13" s="108">
        <v>51.689646335128138</v>
      </c>
      <c r="U13" s="6">
        <v>45.8</v>
      </c>
      <c r="V13" s="73">
        <v>47.2</v>
      </c>
    </row>
    <row r="14" spans="1:22" x14ac:dyDescent="0.2">
      <c r="A14" s="10" t="s">
        <v>46</v>
      </c>
      <c r="B14" s="6" t="s">
        <v>47</v>
      </c>
      <c r="C14" s="6" t="s">
        <v>56</v>
      </c>
      <c r="D14" s="6">
        <v>20190725</v>
      </c>
      <c r="E14" s="114">
        <v>48.722526000000002</v>
      </c>
      <c r="F14" s="114">
        <v>49.993858000000003</v>
      </c>
      <c r="G14" s="114">
        <v>51.324688999999999</v>
      </c>
      <c r="H14" s="114">
        <v>47.355187000000001</v>
      </c>
      <c r="I14" s="114">
        <v>38.325822000000002</v>
      </c>
      <c r="J14" s="114">
        <v>47.144416399999997</v>
      </c>
      <c r="K14" s="114">
        <f t="shared" si="1"/>
        <v>54.647529320047639</v>
      </c>
      <c r="L14" s="114">
        <f t="shared" si="2"/>
        <v>56.488226656926372</v>
      </c>
      <c r="M14" s="114">
        <f t="shared" si="3"/>
        <v>63.423671832916789</v>
      </c>
      <c r="N14" s="114">
        <f t="shared" si="4"/>
        <v>51.689646335128138</v>
      </c>
      <c r="O14" s="114">
        <f t="shared" si="5"/>
        <v>50.380917576877735</v>
      </c>
      <c r="P14" s="114">
        <f t="shared" si="6"/>
        <v>55.29863899344835</v>
      </c>
      <c r="Q14" s="114">
        <f t="shared" si="7"/>
        <v>55.321438452557494</v>
      </c>
      <c r="R14" s="6">
        <v>45.8</v>
      </c>
      <c r="S14" s="73">
        <v>47.2</v>
      </c>
      <c r="T14" s="108">
        <v>53.217184339278404</v>
      </c>
      <c r="U14" s="6">
        <v>43.9</v>
      </c>
      <c r="V14" s="73">
        <v>46.1</v>
      </c>
    </row>
    <row r="15" spans="1:22" x14ac:dyDescent="0.2">
      <c r="A15" s="10" t="s">
        <v>46</v>
      </c>
      <c r="B15" s="6" t="s">
        <v>47</v>
      </c>
      <c r="C15" s="6" t="s">
        <v>57</v>
      </c>
      <c r="D15" s="6">
        <v>20191024</v>
      </c>
      <c r="E15" s="114">
        <v>56.160859000000002</v>
      </c>
      <c r="F15" s="114">
        <v>56.375771999999998</v>
      </c>
      <c r="G15" s="114">
        <v>57.765428</v>
      </c>
      <c r="H15" s="114">
        <v>53.392155000000002</v>
      </c>
      <c r="I15" s="114">
        <v>40.897128000000002</v>
      </c>
      <c r="J15" s="114">
        <v>52.918268400000002</v>
      </c>
      <c r="K15" s="114">
        <f t="shared" si="1"/>
        <v>54.4058931755714</v>
      </c>
      <c r="L15" s="114">
        <f t="shared" si="2"/>
        <v>53.225266959793338</v>
      </c>
      <c r="M15" s="114">
        <f t="shared" si="3"/>
        <v>53.123131473821509</v>
      </c>
      <c r="N15" s="114">
        <f t="shared" si="4"/>
        <v>53.217184339278404</v>
      </c>
      <c r="O15" s="114">
        <f t="shared" si="5"/>
        <v>50.366680761602453</v>
      </c>
      <c r="P15" s="114">
        <f t="shared" si="6"/>
        <v>52.980659412298941</v>
      </c>
      <c r="Q15" s="114">
        <f t="shared" si="7"/>
        <v>52.886469353727676</v>
      </c>
      <c r="R15" s="6">
        <v>43.9</v>
      </c>
      <c r="S15" s="73">
        <v>46.1</v>
      </c>
      <c r="T15" s="108">
        <v>49.64686543931407</v>
      </c>
      <c r="U15" s="6">
        <v>48.5</v>
      </c>
      <c r="V15" s="73">
        <v>49.5</v>
      </c>
    </row>
    <row r="16" spans="1:22" x14ac:dyDescent="0.2">
      <c r="A16" s="10" t="s">
        <v>46</v>
      </c>
      <c r="B16" s="6" t="s">
        <v>47</v>
      </c>
      <c r="C16" s="6" t="s">
        <v>58</v>
      </c>
      <c r="D16" s="6">
        <v>20200213</v>
      </c>
      <c r="E16" s="114">
        <v>59.387197</v>
      </c>
      <c r="F16" s="114">
        <v>57.637391000000001</v>
      </c>
      <c r="G16" s="114">
        <v>59.677692999999998</v>
      </c>
      <c r="H16" s="114">
        <v>57.500067999999999</v>
      </c>
      <c r="I16" s="114">
        <v>42.972869000000003</v>
      </c>
      <c r="J16" s="114">
        <v>55.435043599999993</v>
      </c>
      <c r="K16" s="114">
        <f t="shared" si="1"/>
        <v>48.748360164861445</v>
      </c>
      <c r="L16" s="114">
        <f t="shared" si="2"/>
        <v>47.131660123430336</v>
      </c>
      <c r="M16" s="114">
        <f t="shared" si="3"/>
        <v>47.626093020552013</v>
      </c>
      <c r="N16" s="114">
        <f t="shared" si="4"/>
        <v>49.64686543931407</v>
      </c>
      <c r="O16" s="114">
        <f t="shared" si="5"/>
        <v>48.439813693029983</v>
      </c>
      <c r="P16" s="114">
        <f t="shared" si="6"/>
        <v>48.292500628384126</v>
      </c>
      <c r="Q16" s="114">
        <f t="shared" si="7"/>
        <v>48.314215511595329</v>
      </c>
      <c r="R16" s="6">
        <v>48.5</v>
      </c>
      <c r="S16" s="73">
        <v>49.5</v>
      </c>
      <c r="T16" s="108">
        <v>44.216092161838837</v>
      </c>
      <c r="U16" s="6">
        <v>45.2</v>
      </c>
      <c r="V16" s="73">
        <v>43.5</v>
      </c>
    </row>
    <row r="17" spans="1:22" x14ac:dyDescent="0.2">
      <c r="A17" s="10" t="s">
        <v>46</v>
      </c>
      <c r="B17" s="6" t="s">
        <v>47</v>
      </c>
      <c r="C17" s="6" t="s">
        <v>59</v>
      </c>
      <c r="D17" s="6">
        <v>20200423</v>
      </c>
      <c r="E17" s="114">
        <v>54.046219000000001</v>
      </c>
      <c r="F17" s="114">
        <v>53.205494000000002</v>
      </c>
      <c r="G17" s="114">
        <v>49.824444999999997</v>
      </c>
      <c r="H17" s="114">
        <v>51.362188000000003</v>
      </c>
      <c r="I17" s="114">
        <v>41.776733999999998</v>
      </c>
      <c r="J17" s="114">
        <v>50.043016000000001</v>
      </c>
      <c r="K17" s="114">
        <f t="shared" si="1"/>
        <v>45.048225470213723</v>
      </c>
      <c r="L17" s="114">
        <f t="shared" si="2"/>
        <v>45.693809301673632</v>
      </c>
      <c r="M17" s="114">
        <f t="shared" si="3"/>
        <v>41.327167715749333</v>
      </c>
      <c r="N17" s="114">
        <f t="shared" si="4"/>
        <v>44.216092161838837</v>
      </c>
      <c r="O17" s="114">
        <f t="shared" si="5"/>
        <v>48.122184557889298</v>
      </c>
      <c r="P17" s="114">
        <f t="shared" si="6"/>
        <v>44.685259199471439</v>
      </c>
      <c r="Q17" s="114">
        <f t="shared" si="7"/>
        <v>44.84878973447271</v>
      </c>
      <c r="R17" s="6">
        <v>45.2</v>
      </c>
      <c r="S17" s="73">
        <v>43.5</v>
      </c>
      <c r="T17" s="108">
        <v>34.936387884879572</v>
      </c>
      <c r="U17" s="6">
        <v>39.9</v>
      </c>
      <c r="V17" s="73">
        <v>44.7</v>
      </c>
    </row>
    <row r="18" spans="1:22" x14ac:dyDescent="0.2">
      <c r="A18" s="10" t="s">
        <v>46</v>
      </c>
      <c r="B18" s="6" t="s">
        <v>47</v>
      </c>
      <c r="C18" s="6" t="s">
        <v>60</v>
      </c>
      <c r="D18" s="6">
        <v>20200723</v>
      </c>
      <c r="E18" s="114">
        <v>42.713030000000003</v>
      </c>
      <c r="F18" s="114">
        <v>42.543334999999999</v>
      </c>
      <c r="G18" s="114">
        <v>35.627243</v>
      </c>
      <c r="H18" s="114">
        <v>41.148910000000001</v>
      </c>
      <c r="I18" s="114">
        <v>35.83343</v>
      </c>
      <c r="J18" s="114">
        <v>39.573189599999999</v>
      </c>
      <c r="K18" s="114">
        <f t="shared" si="1"/>
        <v>34.378293974644187</v>
      </c>
      <c r="L18" s="114">
        <f t="shared" si="2"/>
        <v>34.782781501850167</v>
      </c>
      <c r="M18" s="114">
        <f t="shared" si="3"/>
        <v>31.104913873099839</v>
      </c>
      <c r="N18" s="114">
        <f t="shared" si="4"/>
        <v>34.850103835140352</v>
      </c>
      <c r="O18" s="114">
        <f t="shared" si="5"/>
        <v>37.311538163801892</v>
      </c>
      <c r="P18" s="114">
        <f t="shared" si="6"/>
        <v>34.399080734862181</v>
      </c>
      <c r="Q18" s="114">
        <f t="shared" si="7"/>
        <v>34.471118680566434</v>
      </c>
      <c r="R18" s="6">
        <v>27.7</v>
      </c>
      <c r="S18" s="73">
        <v>33.700000000000003</v>
      </c>
      <c r="T18" s="108">
        <v>46.196181504758812</v>
      </c>
      <c r="U18" s="6">
        <v>47.3</v>
      </c>
      <c r="V18" s="73">
        <v>47.4</v>
      </c>
    </row>
    <row r="19" spans="1:22" x14ac:dyDescent="0.2">
      <c r="A19" s="10" t="s">
        <v>46</v>
      </c>
      <c r="B19" s="6" t="s">
        <v>47</v>
      </c>
      <c r="C19" s="6" t="s">
        <v>61</v>
      </c>
      <c r="D19" s="6">
        <v>20201029</v>
      </c>
      <c r="E19" s="114">
        <v>44.180988999999997</v>
      </c>
      <c r="F19" s="114">
        <v>46.027507</v>
      </c>
      <c r="G19" s="114">
        <v>44.221057000000002</v>
      </c>
      <c r="H19" s="114">
        <v>42.658583999999998</v>
      </c>
      <c r="I19" s="114">
        <v>39.994886999999999</v>
      </c>
      <c r="J19" s="114">
        <v>43.416604800000002</v>
      </c>
      <c r="K19" s="114">
        <f t="shared" si="1"/>
        <v>34.858199694566267</v>
      </c>
      <c r="L19" s="114">
        <f t="shared" si="2"/>
        <v>36.459929290921835</v>
      </c>
      <c r="M19" s="114">
        <f t="shared" si="3"/>
        <v>41.828934697529085</v>
      </c>
      <c r="N19" s="114">
        <f t="shared" si="4"/>
        <v>34.936387884879572</v>
      </c>
      <c r="O19" s="114">
        <f t="shared" si="5"/>
        <v>37.613694583521585</v>
      </c>
      <c r="P19" s="114">
        <f t="shared" si="6"/>
        <v>36.973001078487755</v>
      </c>
      <c r="Q19" s="114">
        <f t="shared" si="7"/>
        <v>37.111691204984346</v>
      </c>
      <c r="R19" s="6">
        <v>39.9</v>
      </c>
      <c r="S19" s="73">
        <v>44.7</v>
      </c>
      <c r="T19" s="109">
        <v>52.252417074494296</v>
      </c>
      <c r="U19" s="13">
        <v>46</v>
      </c>
      <c r="V19" s="112">
        <v>50.3</v>
      </c>
    </row>
    <row r="20" spans="1:22" x14ac:dyDescent="0.2">
      <c r="A20" s="10" t="s">
        <v>46</v>
      </c>
      <c r="B20" s="6" t="s">
        <v>47</v>
      </c>
      <c r="C20" s="6" t="s">
        <v>62</v>
      </c>
      <c r="D20" s="6">
        <v>20210218</v>
      </c>
      <c r="E20" s="114">
        <v>43.460197999999998</v>
      </c>
      <c r="F20" s="114">
        <v>43.850312000000002</v>
      </c>
      <c r="G20" s="114">
        <v>46.233929000000003</v>
      </c>
      <c r="H20" s="114">
        <v>44.086435999999999</v>
      </c>
      <c r="I20" s="114">
        <v>39.189649000000003</v>
      </c>
      <c r="J20" s="114">
        <v>43.3641048</v>
      </c>
      <c r="K20" s="114">
        <f t="shared" si="1"/>
        <v>43.9707415920454</v>
      </c>
      <c r="L20" s="114">
        <f t="shared" si="2"/>
        <v>42.585598789871462</v>
      </c>
      <c r="M20" s="114">
        <f t="shared" si="3"/>
        <v>46.734672721640287</v>
      </c>
      <c r="N20" s="114">
        <f t="shared" si="4"/>
        <v>46.196181504758812</v>
      </c>
      <c r="O20" s="114">
        <f t="shared" si="5"/>
        <v>43.800031496526046</v>
      </c>
      <c r="P20" s="114">
        <f t="shared" si="6"/>
        <v>44.645948099562133</v>
      </c>
      <c r="Q20" s="114">
        <f t="shared" si="7"/>
        <v>44.655529034067364</v>
      </c>
      <c r="R20" s="6">
        <v>47.3</v>
      </c>
      <c r="S20" s="73">
        <v>47.4</v>
      </c>
    </row>
    <row r="21" spans="1:22" x14ac:dyDescent="0.2">
      <c r="A21" s="10" t="s">
        <v>46</v>
      </c>
      <c r="B21" s="6" t="s">
        <v>47</v>
      </c>
      <c r="C21" s="6" t="s">
        <v>63</v>
      </c>
      <c r="D21" s="6">
        <v>20210422</v>
      </c>
      <c r="E21" s="114">
        <v>50.520099999999999</v>
      </c>
      <c r="F21" s="114">
        <v>49.706088000000001</v>
      </c>
      <c r="G21" s="114">
        <v>49.909892999999997</v>
      </c>
      <c r="H21" s="114">
        <v>48.599637999999999</v>
      </c>
      <c r="I21" s="114">
        <v>41.633600000000001</v>
      </c>
      <c r="J21" s="114">
        <v>48.073863799999998</v>
      </c>
      <c r="K21" s="114">
        <f t="shared" si="1"/>
        <v>55.09990405473993</v>
      </c>
      <c r="L21" s="114">
        <f t="shared" si="2"/>
        <v>53.729801767430978</v>
      </c>
      <c r="M21" s="114">
        <f t="shared" si="3"/>
        <v>51.16867589168119</v>
      </c>
      <c r="N21" s="114">
        <f t="shared" si="4"/>
        <v>52.252417074494296</v>
      </c>
      <c r="O21" s="114">
        <f t="shared" si="5"/>
        <v>50.355966188929116</v>
      </c>
      <c r="P21" s="114">
        <f t="shared" si="6"/>
        <v>52.548096049246702</v>
      </c>
      <c r="Q21" s="114">
        <f t="shared" si="7"/>
        <v>52.525810171087038</v>
      </c>
      <c r="R21" s="6">
        <v>46</v>
      </c>
      <c r="S21" s="73">
        <v>50.3</v>
      </c>
      <c r="T21" s="72"/>
    </row>
    <row r="22" spans="1:22" x14ac:dyDescent="0.2">
      <c r="A22" s="10" t="s">
        <v>46</v>
      </c>
      <c r="B22" s="6" t="s">
        <v>47</v>
      </c>
      <c r="C22" s="6" t="s">
        <v>64</v>
      </c>
      <c r="D22" s="6">
        <v>20210729</v>
      </c>
      <c r="E22" s="114">
        <v>59.479835999999999</v>
      </c>
      <c r="F22" s="114">
        <v>57.337924000000001</v>
      </c>
      <c r="G22" s="114">
        <v>57.893822999999998</v>
      </c>
      <c r="H22" s="114">
        <v>57.648046999999998</v>
      </c>
      <c r="I22" s="114">
        <v>48.447149000000003</v>
      </c>
      <c r="J22" s="114">
        <v>56.161355800000003</v>
      </c>
      <c r="K22" s="114">
        <f t="shared" si="1"/>
        <v>59.220701281272198</v>
      </c>
      <c r="L22" s="114">
        <f t="shared" si="2"/>
        <v>58.023024809355341</v>
      </c>
      <c r="M22" s="114">
        <f t="shared" si="3"/>
        <v>58.34633420071647</v>
      </c>
      <c r="N22" s="114">
        <f t="shared" si="4"/>
        <v>59.664986889408517</v>
      </c>
      <c r="O22" s="114">
        <f t="shared" si="5"/>
        <v>58.531849148284074</v>
      </c>
      <c r="P22" s="114">
        <f t="shared" si="6"/>
        <v>58.76199609193884</v>
      </c>
      <c r="Q22" s="114">
        <f t="shared" si="7"/>
        <v>58.758148736829241</v>
      </c>
      <c r="R22" s="6">
        <v>50.4</v>
      </c>
      <c r="S22" s="73">
        <v>60.1</v>
      </c>
    </row>
    <row r="23" spans="1:22" x14ac:dyDescent="0.2">
      <c r="A23" s="78" t="s">
        <v>46</v>
      </c>
      <c r="B23" s="79" t="s">
        <v>47</v>
      </c>
      <c r="C23" s="13" t="s">
        <v>80</v>
      </c>
      <c r="D23" s="13">
        <v>20101028</v>
      </c>
      <c r="E23">
        <v>64.932148999999995</v>
      </c>
      <c r="F23">
        <v>63.118170999999997</v>
      </c>
      <c r="G23">
        <v>56.994658000000001</v>
      </c>
      <c r="H23">
        <v>60.967632000000002</v>
      </c>
      <c r="I23">
        <v>52.064720000000001</v>
      </c>
      <c r="J23" s="115">
        <f>AVERAGE(E23:I23)</f>
        <v>59.615466000000005</v>
      </c>
      <c r="K23" s="115">
        <f t="shared" ref="K23:P23" si="8">(E23/E22)*$S22</f>
        <v>65.609161311406439</v>
      </c>
      <c r="L23" s="115">
        <f t="shared" si="8"/>
        <v>66.158692405745285</v>
      </c>
      <c r="M23" s="115">
        <f t="shared" si="8"/>
        <v>59.166570253963023</v>
      </c>
      <c r="N23" s="115">
        <f t="shared" si="8"/>
        <v>63.560777405000387</v>
      </c>
      <c r="O23" s="115">
        <f t="shared" si="8"/>
        <v>64.587694768168916</v>
      </c>
      <c r="P23" s="115">
        <f t="shared" si="8"/>
        <v>63.796349920028106</v>
      </c>
      <c r="Q23" s="115">
        <f>AVERAGE(K23:P23)</f>
        <v>63.813207677385357</v>
      </c>
      <c r="R23" s="13">
        <f>'1. Data &amp; Confidence Interval'!AF16</f>
        <v>57.5</v>
      </c>
      <c r="S23" s="14" t="s">
        <v>85</v>
      </c>
      <c r="T23" s="6"/>
    </row>
    <row r="24" spans="1:22" x14ac:dyDescent="0.2">
      <c r="A24" s="172" t="s">
        <v>84</v>
      </c>
      <c r="B24" s="173"/>
      <c r="C24" s="173"/>
      <c r="D24" s="173"/>
      <c r="E24" s="80">
        <f t="shared" ref="E24:R24" si="9">CORREL(E$6:E$22,$S$6:$S$22)</f>
        <v>0.76514806489629417</v>
      </c>
      <c r="F24" s="80">
        <f t="shared" si="9"/>
        <v>0.7702944769958483</v>
      </c>
      <c r="G24" s="81">
        <f t="shared" si="9"/>
        <v>0.82921407160711147</v>
      </c>
      <c r="H24" s="81">
        <f t="shared" si="9"/>
        <v>0.81437799601849292</v>
      </c>
      <c r="I24" s="80">
        <f t="shared" si="9"/>
        <v>0.71384005431416109</v>
      </c>
      <c r="J24" s="80">
        <f t="shared" si="9"/>
        <v>0.81882909125536152</v>
      </c>
      <c r="K24" s="80">
        <f t="shared" si="9"/>
        <v>0.85854894683788752</v>
      </c>
      <c r="L24" s="80">
        <f t="shared" si="9"/>
        <v>0.85005102823981937</v>
      </c>
      <c r="M24" s="80">
        <f t="shared" si="9"/>
        <v>0.83289576371335594</v>
      </c>
      <c r="N24" s="81">
        <f t="shared" si="9"/>
        <v>0.87076939206559867</v>
      </c>
      <c r="O24" s="80">
        <f t="shared" si="9"/>
        <v>0.73883483494963476</v>
      </c>
      <c r="P24" s="85">
        <f t="shared" si="9"/>
        <v>0.8749374740622653</v>
      </c>
      <c r="Q24" s="85">
        <f t="shared" si="9"/>
        <v>0.87349953416000792</v>
      </c>
      <c r="R24" s="81">
        <f t="shared" si="9"/>
        <v>0.91384067826516036</v>
      </c>
      <c r="S24" s="5"/>
      <c r="T24" s="6"/>
    </row>
    <row r="26" spans="1:22" x14ac:dyDescent="0.2">
      <c r="A26" s="175" t="s">
        <v>87</v>
      </c>
      <c r="B26" s="176"/>
    </row>
    <row r="27" spans="1:22" x14ac:dyDescent="0.2">
      <c r="A27" s="18" t="s">
        <v>65</v>
      </c>
      <c r="B27" s="18" t="s">
        <v>66</v>
      </c>
      <c r="C27" s="18" t="s">
        <v>77</v>
      </c>
      <c r="D27" s="18" t="s">
        <v>67</v>
      </c>
      <c r="E27" s="18" t="s">
        <v>68</v>
      </c>
      <c r="F27" s="18" t="s">
        <v>78</v>
      </c>
      <c r="G27" s="18" t="s">
        <v>69</v>
      </c>
      <c r="H27" s="18" t="s">
        <v>70</v>
      </c>
      <c r="I27" s="18" t="s">
        <v>79</v>
      </c>
      <c r="J27" s="18" t="s">
        <v>71</v>
      </c>
      <c r="K27" s="18" t="s">
        <v>72</v>
      </c>
      <c r="L27" s="18" t="s">
        <v>82</v>
      </c>
      <c r="M27" s="18" t="s">
        <v>73</v>
      </c>
      <c r="N27" s="18" t="s">
        <v>74</v>
      </c>
      <c r="O27" s="18" t="s">
        <v>83</v>
      </c>
      <c r="P27" s="18" t="s">
        <v>75</v>
      </c>
      <c r="Q27" s="18" t="s">
        <v>76</v>
      </c>
      <c r="R27" s="18" t="s">
        <v>1</v>
      </c>
    </row>
    <row r="28" spans="1:22" x14ac:dyDescent="0.2">
      <c r="A28" s="10" t="s">
        <v>46</v>
      </c>
      <c r="B28" s="6" t="s">
        <v>47</v>
      </c>
      <c r="C28" s="6" t="s">
        <v>48</v>
      </c>
      <c r="D28" s="6">
        <v>20170720</v>
      </c>
      <c r="E28" s="19">
        <f>$S6/E6-1</f>
        <v>-0.1845714324397788</v>
      </c>
      <c r="F28" s="19">
        <f t="shared" ref="F28:J28" si="10">$S6/F6-1</f>
        <v>-0.17117237986419576</v>
      </c>
      <c r="G28" s="19">
        <f t="shared" si="10"/>
        <v>-8.0159704404425991E-2</v>
      </c>
      <c r="H28" s="19">
        <f t="shared" si="10"/>
        <v>-9.336496188542931E-2</v>
      </c>
      <c r="I28" s="19">
        <f t="shared" si="10"/>
        <v>-7.6457609094971901E-2</v>
      </c>
      <c r="J28" s="19">
        <f t="shared" si="10"/>
        <v>-0.12369634479821812</v>
      </c>
      <c r="K28" s="6"/>
      <c r="L28" s="6"/>
      <c r="M28" s="6"/>
      <c r="N28" s="6"/>
      <c r="O28" s="6"/>
      <c r="P28" s="6"/>
      <c r="Q28" s="6"/>
      <c r="R28" s="48">
        <f t="shared" ref="R28:R33" si="11">$S6/R6-1</f>
        <v>2.4034582132564708E-2</v>
      </c>
    </row>
    <row r="29" spans="1:22" x14ac:dyDescent="0.2">
      <c r="A29" s="10" t="s">
        <v>46</v>
      </c>
      <c r="B29" s="6" t="s">
        <v>47</v>
      </c>
      <c r="C29" s="6" t="s">
        <v>49</v>
      </c>
      <c r="D29" s="6">
        <v>20171026</v>
      </c>
      <c r="E29" s="19">
        <f t="shared" ref="E29:J29" si="12">$S7/E7-1</f>
        <v>-7.0016526881838681E-2</v>
      </c>
      <c r="F29" s="19">
        <f t="shared" si="12"/>
        <v>-6.0753503287615862E-2</v>
      </c>
      <c r="G29" s="19">
        <f t="shared" si="12"/>
        <v>2.939049303040786E-3</v>
      </c>
      <c r="H29" s="19">
        <f t="shared" si="12"/>
        <v>-7.7943733021396122E-3</v>
      </c>
      <c r="I29" s="19">
        <f t="shared" si="12"/>
        <v>1.3778911133933036E-2</v>
      </c>
      <c r="J29" s="19">
        <f t="shared" si="12"/>
        <v>-2.5588949253119719E-2</v>
      </c>
      <c r="K29" s="19">
        <f t="shared" ref="K29:Q29" si="13">$S7/K7-1</f>
        <v>0.14048429269615936</v>
      </c>
      <c r="L29" s="19">
        <f t="shared" si="13"/>
        <v>0.13322296928097987</v>
      </c>
      <c r="M29" s="19">
        <f t="shared" si="13"/>
        <v>9.034041464085063E-2</v>
      </c>
      <c r="N29" s="19">
        <f t="shared" si="13"/>
        <v>9.4382618127401674E-2</v>
      </c>
      <c r="O29" s="19">
        <f t="shared" si="13"/>
        <v>9.7706960847219415E-2</v>
      </c>
      <c r="P29" s="19">
        <f t="shared" si="13"/>
        <v>0.11195593555125338</v>
      </c>
      <c r="Q29" s="19">
        <f t="shared" si="13"/>
        <v>0.11101492917753042</v>
      </c>
      <c r="R29" s="48">
        <f t="shared" si="11"/>
        <v>-3.4855491329479849E-2</v>
      </c>
    </row>
    <row r="30" spans="1:22" x14ac:dyDescent="0.2">
      <c r="A30" s="10" t="s">
        <v>46</v>
      </c>
      <c r="B30" s="6" t="s">
        <v>47</v>
      </c>
      <c r="C30" s="6" t="s">
        <v>50</v>
      </c>
      <c r="D30" s="6">
        <v>20180215</v>
      </c>
      <c r="E30" s="19">
        <f t="shared" ref="E30:J30" si="14">$S8/E8-1</f>
        <v>-4.6818336443444797E-2</v>
      </c>
      <c r="F30" s="19">
        <f t="shared" si="14"/>
        <v>-2.8069929121158244E-2</v>
      </c>
      <c r="G30" s="19">
        <f t="shared" si="14"/>
        <v>4.0256288612411595E-2</v>
      </c>
      <c r="H30" s="19">
        <f t="shared" si="14"/>
        <v>-9.4343728523633152E-2</v>
      </c>
      <c r="I30" s="19">
        <f t="shared" si="14"/>
        <v>0.35194722837183301</v>
      </c>
      <c r="J30" s="19">
        <f t="shared" si="14"/>
        <v>2.3930139417463359E-2</v>
      </c>
      <c r="K30" s="19">
        <f t="shared" ref="K30:Q30" si="15">$S8/K8-1</f>
        <v>2.4944734082867237E-2</v>
      </c>
      <c r="L30" s="19">
        <f t="shared" si="15"/>
        <v>3.4797653524244243E-2</v>
      </c>
      <c r="M30" s="19">
        <f t="shared" si="15"/>
        <v>3.7207883505286921E-2</v>
      </c>
      <c r="N30" s="19">
        <f t="shared" si="15"/>
        <v>-8.7229252578960637E-2</v>
      </c>
      <c r="O30" s="19">
        <f t="shared" si="15"/>
        <v>0.33357205750083296</v>
      </c>
      <c r="P30" s="19">
        <f t="shared" si="15"/>
        <v>5.0819506441995843E-2</v>
      </c>
      <c r="Q30" s="19">
        <f t="shared" si="15"/>
        <v>5.2035231999083109E-2</v>
      </c>
      <c r="R30" s="48">
        <f t="shared" si="11"/>
        <v>1.9464788732394434E-2</v>
      </c>
    </row>
    <row r="31" spans="1:22" x14ac:dyDescent="0.2">
      <c r="A31" s="10" t="s">
        <v>46</v>
      </c>
      <c r="B31" s="6" t="s">
        <v>47</v>
      </c>
      <c r="C31" s="6" t="s">
        <v>51</v>
      </c>
      <c r="D31" s="6">
        <v>20180419</v>
      </c>
      <c r="E31" s="19">
        <f t="shared" ref="E31:J31" si="16">$S9/E9-1</f>
        <v>-2.8515408214231264E-2</v>
      </c>
      <c r="F31" s="19">
        <f t="shared" si="16"/>
        <v>-2.2448659288946682E-2</v>
      </c>
      <c r="G31" s="19">
        <f t="shared" si="16"/>
        <v>-6.7349551459533474E-3</v>
      </c>
      <c r="H31" s="19">
        <f t="shared" si="16"/>
        <v>1.7561082720361387E-2</v>
      </c>
      <c r="I31" s="19">
        <f t="shared" si="16"/>
        <v>-1.4874078885734221E-2</v>
      </c>
      <c r="J31" s="19">
        <f t="shared" si="16"/>
        <v>-1.1259352295233338E-2</v>
      </c>
      <c r="K31" s="19">
        <f t="shared" ref="K31:Q31" si="17">$S9/K9-1</f>
        <v>1.9201930680161183E-2</v>
      </c>
      <c r="L31" s="19">
        <f t="shared" si="17"/>
        <v>5.7836155096311348E-3</v>
      </c>
      <c r="M31" s="19">
        <f t="shared" si="17"/>
        <v>-4.5172756245526857E-2</v>
      </c>
      <c r="N31" s="19">
        <f t="shared" si="17"/>
        <v>0.12356212259378663</v>
      </c>
      <c r="O31" s="19">
        <f t="shared" si="17"/>
        <v>-0.27132812550630003</v>
      </c>
      <c r="P31" s="19">
        <f t="shared" si="17"/>
        <v>-3.4367082633895985E-2</v>
      </c>
      <c r="Q31" s="19">
        <f t="shared" si="17"/>
        <v>-5.0737424497227845E-2</v>
      </c>
      <c r="R31" s="48">
        <f t="shared" si="11"/>
        <v>6.7666666666666764E-2</v>
      </c>
    </row>
    <row r="32" spans="1:22" x14ac:dyDescent="0.2">
      <c r="A32" s="10" t="s">
        <v>46</v>
      </c>
      <c r="B32" s="6" t="s">
        <v>47</v>
      </c>
      <c r="C32" s="6" t="s">
        <v>52</v>
      </c>
      <c r="D32" s="6">
        <v>20180726</v>
      </c>
      <c r="E32" s="19">
        <f t="shared" ref="E32:J32" si="18">$S10/E10-1</f>
        <v>6.038510671277475E-2</v>
      </c>
      <c r="F32" s="19">
        <f t="shared" si="18"/>
        <v>3.143502458214753E-2</v>
      </c>
      <c r="G32" s="19">
        <f t="shared" si="18"/>
        <v>0.10621764535530276</v>
      </c>
      <c r="H32" s="19">
        <f t="shared" si="18"/>
        <v>6.6214745216740756E-2</v>
      </c>
      <c r="I32" s="19">
        <f t="shared" si="18"/>
        <v>1.32933395876913E-2</v>
      </c>
      <c r="J32" s="19">
        <f t="shared" si="18"/>
        <v>5.4555023284556414E-2</v>
      </c>
      <c r="K32" s="19">
        <f t="shared" ref="K32:Q32" si="19">$S10/K10-1</f>
        <v>9.1509958756618603E-2</v>
      </c>
      <c r="L32" s="19">
        <f t="shared" si="19"/>
        <v>5.512107817467693E-2</v>
      </c>
      <c r="M32" s="19">
        <f t="shared" si="19"/>
        <v>0.11371848942681129</v>
      </c>
      <c r="N32" s="19">
        <f t="shared" si="19"/>
        <v>4.7813996940908821E-2</v>
      </c>
      <c r="O32" s="19">
        <f t="shared" si="19"/>
        <v>2.8592708677857015E-2</v>
      </c>
      <c r="P32" s="19">
        <f t="shared" si="19"/>
        <v>6.656384131932791E-2</v>
      </c>
      <c r="Q32" s="19">
        <f t="shared" si="19"/>
        <v>6.6482019506671319E-2</v>
      </c>
      <c r="R32" s="48">
        <f t="shared" si="11"/>
        <v>4.9717223650385778E-2</v>
      </c>
    </row>
    <row r="33" spans="1:18" x14ac:dyDescent="0.2">
      <c r="A33" s="10" t="s">
        <v>46</v>
      </c>
      <c r="B33" s="6" t="s">
        <v>47</v>
      </c>
      <c r="C33" s="6" t="s">
        <v>53</v>
      </c>
      <c r="D33" s="6">
        <v>20181025</v>
      </c>
      <c r="E33" s="19">
        <f t="shared" ref="E33:J33" si="20">$S11/E11-1</f>
        <v>-2.2842121141650407E-2</v>
      </c>
      <c r="F33" s="19">
        <f t="shared" si="20"/>
        <v>-1.8864620277928568E-2</v>
      </c>
      <c r="G33" s="19">
        <f t="shared" si="20"/>
        <v>3.6954694381182707E-2</v>
      </c>
      <c r="H33" s="19">
        <f t="shared" si="20"/>
        <v>-2.3344184355711284E-2</v>
      </c>
      <c r="I33" s="19">
        <f t="shared" si="20"/>
        <v>-3.8705763678709815E-2</v>
      </c>
      <c r="J33" s="19">
        <f t="shared" si="20"/>
        <v>-1.4026865052785165E-2</v>
      </c>
      <c r="K33" s="19">
        <f t="shared" ref="K33:Q33" si="21">$S11/K11-1</f>
        <v>-7.8487737452699657E-2</v>
      </c>
      <c r="L33" s="19">
        <f t="shared" si="21"/>
        <v>-4.8766663591294335E-2</v>
      </c>
      <c r="M33" s="19">
        <f t="shared" si="21"/>
        <v>-6.2612408385398388E-2</v>
      </c>
      <c r="N33" s="19">
        <f t="shared" si="21"/>
        <v>-8.3997084052937598E-2</v>
      </c>
      <c r="O33" s="19">
        <f t="shared" si="21"/>
        <v>-5.1316929890765417E-2</v>
      </c>
      <c r="P33" s="19">
        <f t="shared" si="21"/>
        <v>-6.503395917999033E-2</v>
      </c>
      <c r="Q33" s="19">
        <f t="shared" si="21"/>
        <v>-6.5214391904823921E-2</v>
      </c>
      <c r="R33" s="48">
        <f t="shared" si="11"/>
        <v>4.1884816753926524E-2</v>
      </c>
    </row>
    <row r="34" spans="1:18" x14ac:dyDescent="0.2">
      <c r="A34" s="10" t="s">
        <v>46</v>
      </c>
      <c r="B34" s="6" t="s">
        <v>47</v>
      </c>
      <c r="C34" s="6" t="s">
        <v>54</v>
      </c>
      <c r="D34" s="6">
        <v>20190221</v>
      </c>
      <c r="E34" s="19">
        <f t="shared" ref="E34:J34" si="22">$S12/E12-1</f>
        <v>2.2992698443019544E-2</v>
      </c>
      <c r="F34" s="19">
        <f t="shared" si="22"/>
        <v>2.1401489392958828E-2</v>
      </c>
      <c r="G34" s="19">
        <f t="shared" si="22"/>
        <v>7.7011790555341353E-2</v>
      </c>
      <c r="H34" s="19">
        <f t="shared" si="22"/>
        <v>7.6068479200407824E-2</v>
      </c>
      <c r="I34" s="19">
        <f t="shared" si="22"/>
        <v>0.17747794496386127</v>
      </c>
      <c r="J34" s="19">
        <f t="shared" si="22"/>
        <v>7.2122160195906337E-2</v>
      </c>
      <c r="K34" s="19">
        <f t="shared" ref="K34:Q34" si="23">$S12/K12-1</f>
        <v>4.6906258012492819E-2</v>
      </c>
      <c r="L34" s="19">
        <f t="shared" si="23"/>
        <v>4.1040319718461005E-2</v>
      </c>
      <c r="M34" s="19">
        <f t="shared" si="23"/>
        <v>3.8629552854344551E-2</v>
      </c>
      <c r="N34" s="19">
        <f t="shared" si="23"/>
        <v>0.10178884102639341</v>
      </c>
      <c r="O34" s="19">
        <f t="shared" si="23"/>
        <v>0.22488817728676858</v>
      </c>
      <c r="P34" s="19">
        <f t="shared" si="23"/>
        <v>8.7374617213382244E-2</v>
      </c>
      <c r="Q34" s="19">
        <f t="shared" si="23"/>
        <v>8.6515148443427892E-2</v>
      </c>
      <c r="R34" s="48">
        <f t="shared" ref="R34" si="24">$S12/R12-1</f>
        <v>4.6116504854368801E-2</v>
      </c>
    </row>
    <row r="35" spans="1:18" x14ac:dyDescent="0.2">
      <c r="A35" s="10" t="s">
        <v>46</v>
      </c>
      <c r="B35" s="6" t="s">
        <v>47</v>
      </c>
      <c r="C35" s="6" t="s">
        <v>55</v>
      </c>
      <c r="D35" s="6">
        <v>20190418</v>
      </c>
      <c r="E35" s="19">
        <f t="shared" ref="E35:J35" si="25">$S13/E13-1</f>
        <v>0.12160706364131513</v>
      </c>
      <c r="F35" s="19">
        <f t="shared" si="25"/>
        <v>0.12990333046364166</v>
      </c>
      <c r="G35" s="19">
        <f t="shared" si="25"/>
        <v>0.23573416748646614</v>
      </c>
      <c r="H35" s="19">
        <f t="shared" si="25"/>
        <v>9.1530825020881723E-2</v>
      </c>
      <c r="I35" s="19">
        <f t="shared" si="25"/>
        <v>0.31454238807657475</v>
      </c>
      <c r="J35" s="19">
        <f t="shared" si="25"/>
        <v>0.17296263727740935</v>
      </c>
      <c r="K35" s="19">
        <f t="shared" ref="K35:Q35" si="26">$S13/K13-1</f>
        <v>9.6397916963029573E-2</v>
      </c>
      <c r="L35" s="19">
        <f t="shared" si="26"/>
        <v>0.10622839519762972</v>
      </c>
      <c r="M35" s="19">
        <f t="shared" si="26"/>
        <v>0.14737292416203029</v>
      </c>
      <c r="N35" s="19">
        <f t="shared" si="26"/>
        <v>1.4369295374178748E-2</v>
      </c>
      <c r="O35" s="19">
        <f t="shared" si="26"/>
        <v>0.11640510440042284</v>
      </c>
      <c r="P35" s="19">
        <f t="shared" si="26"/>
        <v>9.4056890926568215E-2</v>
      </c>
      <c r="Q35" s="19">
        <f t="shared" si="26"/>
        <v>9.425113417477915E-2</v>
      </c>
      <c r="R35" s="48">
        <f t="shared" ref="R35:R40" si="27">$S13/R13-1</f>
        <v>-2.3201856148492572E-3</v>
      </c>
    </row>
    <row r="36" spans="1:18" x14ac:dyDescent="0.2">
      <c r="A36" s="10" t="s">
        <v>46</v>
      </c>
      <c r="B36" s="6" t="s">
        <v>47</v>
      </c>
      <c r="C36" s="6" t="s">
        <v>56</v>
      </c>
      <c r="D36" s="6">
        <v>20190725</v>
      </c>
      <c r="E36" s="19">
        <f t="shared" ref="E36:J36" si="28">$S14/E14-1</f>
        <v>-3.1248913490240615E-2</v>
      </c>
      <c r="F36" s="19">
        <f t="shared" si="28"/>
        <v>-5.5884024793605658E-2</v>
      </c>
      <c r="G36" s="19">
        <f t="shared" si="28"/>
        <v>-8.0364617504063096E-2</v>
      </c>
      <c r="H36" s="19">
        <f t="shared" si="28"/>
        <v>-3.2770855703726509E-3</v>
      </c>
      <c r="I36" s="19">
        <f t="shared" si="28"/>
        <v>0.23154566652216868</v>
      </c>
      <c r="J36" s="19">
        <f t="shared" si="28"/>
        <v>1.1790070647688111E-3</v>
      </c>
      <c r="K36" s="19">
        <f t="shared" ref="K36:Q36" si="29">$S14/K14-1</f>
        <v>-0.13628300149546713</v>
      </c>
      <c r="L36" s="19">
        <f t="shared" si="29"/>
        <v>-0.16442765522340008</v>
      </c>
      <c r="M36" s="19">
        <f t="shared" si="29"/>
        <v>-0.25579836934790534</v>
      </c>
      <c r="N36" s="19">
        <f t="shared" si="29"/>
        <v>-8.6857749151922237E-2</v>
      </c>
      <c r="O36" s="19">
        <f t="shared" si="29"/>
        <v>-6.3137349017589384E-2</v>
      </c>
      <c r="P36" s="19">
        <f t="shared" si="29"/>
        <v>-0.1464527724526431</v>
      </c>
      <c r="Q36" s="19">
        <f t="shared" si="29"/>
        <v>-0.14680454232082685</v>
      </c>
      <c r="R36" s="48">
        <f t="shared" si="27"/>
        <v>3.0567685589519833E-2</v>
      </c>
    </row>
    <row r="37" spans="1:18" x14ac:dyDescent="0.2">
      <c r="A37" s="10" t="s">
        <v>46</v>
      </c>
      <c r="B37" s="6" t="s">
        <v>47</v>
      </c>
      <c r="C37" s="6" t="s">
        <v>57</v>
      </c>
      <c r="D37" s="6">
        <v>20191024</v>
      </c>
      <c r="E37" s="19">
        <f t="shared" ref="E37:J37" si="30">$S15/E15-1</f>
        <v>-0.1791436096089627</v>
      </c>
      <c r="F37" s="19">
        <f t="shared" si="30"/>
        <v>-0.1822728387648509</v>
      </c>
      <c r="G37" s="19">
        <f t="shared" si="30"/>
        <v>-0.20194480338655152</v>
      </c>
      <c r="H37" s="19">
        <f t="shared" si="30"/>
        <v>-0.1365772743205439</v>
      </c>
      <c r="I37" s="19">
        <f t="shared" si="30"/>
        <v>0.12721851764260794</v>
      </c>
      <c r="J37" s="19">
        <f t="shared" si="30"/>
        <v>-0.12884526659984208</v>
      </c>
      <c r="K37" s="19">
        <f t="shared" ref="K37:Q37" si="31">$S15/K15-1</f>
        <v>-0.15266532154462997</v>
      </c>
      <c r="L37" s="19">
        <f t="shared" si="31"/>
        <v>-0.13387000886582312</v>
      </c>
      <c r="M37" s="19">
        <f t="shared" si="31"/>
        <v>-0.1322047718004431</v>
      </c>
      <c r="N37" s="19">
        <f t="shared" si="31"/>
        <v>-0.13373846113134868</v>
      </c>
      <c r="O37" s="19">
        <f t="shared" si="31"/>
        <v>-8.4712367324693671E-2</v>
      </c>
      <c r="P37" s="19">
        <f t="shared" si="31"/>
        <v>-0.12987115465576216</v>
      </c>
      <c r="Q37" s="19">
        <f t="shared" si="31"/>
        <v>-0.1283214674123323</v>
      </c>
      <c r="R37" s="48">
        <f t="shared" si="27"/>
        <v>5.0113895216401083E-2</v>
      </c>
    </row>
    <row r="38" spans="1:18" x14ac:dyDescent="0.2">
      <c r="A38" s="10" t="s">
        <v>46</v>
      </c>
      <c r="B38" s="6" t="s">
        <v>47</v>
      </c>
      <c r="C38" s="6" t="s">
        <v>58</v>
      </c>
      <c r="D38" s="6">
        <v>20200213</v>
      </c>
      <c r="E38" s="19">
        <f t="shared" ref="E38:J38" si="32">$S16/E16-1</f>
        <v>-0.16648701234375485</v>
      </c>
      <c r="F38" s="19">
        <f t="shared" si="32"/>
        <v>-0.14118250078321559</v>
      </c>
      <c r="G38" s="19">
        <f t="shared" si="32"/>
        <v>-0.17054434393098938</v>
      </c>
      <c r="H38" s="19">
        <f t="shared" si="32"/>
        <v>-0.13913145285323836</v>
      </c>
      <c r="I38" s="19">
        <f t="shared" si="32"/>
        <v>0.15188957944604531</v>
      </c>
      <c r="J38" s="19">
        <f t="shared" si="32"/>
        <v>-0.10706302754671226</v>
      </c>
      <c r="K38" s="19">
        <f t="shared" ref="K38:Q38" si="33">$S16/K16-1</f>
        <v>1.5418771679633902E-2</v>
      </c>
      <c r="L38" s="19">
        <f t="shared" si="33"/>
        <v>5.0249447406846226E-2</v>
      </c>
      <c r="M38" s="19">
        <f t="shared" si="33"/>
        <v>3.9346225159375248E-2</v>
      </c>
      <c r="N38" s="19">
        <f t="shared" si="33"/>
        <v>-2.9582016510909526E-3</v>
      </c>
      <c r="O38" s="19">
        <f t="shared" si="33"/>
        <v>2.1886671854036699E-2</v>
      </c>
      <c r="P38" s="19">
        <f t="shared" si="33"/>
        <v>2.5003869253069189E-2</v>
      </c>
      <c r="Q38" s="19">
        <f t="shared" si="33"/>
        <v>2.4543180011276089E-2</v>
      </c>
      <c r="R38" s="48">
        <f t="shared" si="27"/>
        <v>2.0618556701030855E-2</v>
      </c>
    </row>
    <row r="39" spans="1:18" x14ac:dyDescent="0.2">
      <c r="A39" s="10" t="s">
        <v>46</v>
      </c>
      <c r="B39" s="6" t="s">
        <v>47</v>
      </c>
      <c r="C39" s="6" t="s">
        <v>59</v>
      </c>
      <c r="D39" s="6">
        <v>20200423</v>
      </c>
      <c r="E39" s="19">
        <f t="shared" ref="E39:J39" si="34">$S17/E17-1</f>
        <v>-0.1951333357843219</v>
      </c>
      <c r="F39" s="19">
        <f t="shared" si="34"/>
        <v>-0.18241525959706339</v>
      </c>
      <c r="G39" s="19">
        <f t="shared" si="34"/>
        <v>-0.12693458000385149</v>
      </c>
      <c r="H39" s="19">
        <f t="shared" si="34"/>
        <v>-0.15307346330339355</v>
      </c>
      <c r="I39" s="19">
        <f t="shared" si="34"/>
        <v>4.1249418875108912E-2</v>
      </c>
      <c r="J39" s="19">
        <f t="shared" si="34"/>
        <v>-0.13074783502257337</v>
      </c>
      <c r="K39" s="19">
        <f t="shared" ref="K39:Q39" si="35">$S17/K17-1</f>
        <v>-3.4368178858397491E-2</v>
      </c>
      <c r="L39" s="19">
        <f t="shared" si="35"/>
        <v>-4.8011083671968602E-2</v>
      </c>
      <c r="M39" s="19">
        <f t="shared" si="35"/>
        <v>5.2576365726186181E-2</v>
      </c>
      <c r="N39" s="19">
        <f t="shared" si="35"/>
        <v>-1.6195283816982542E-2</v>
      </c>
      <c r="O39" s="19">
        <f t="shared" si="35"/>
        <v>-9.6051012653612489E-2</v>
      </c>
      <c r="P39" s="19">
        <f t="shared" si="35"/>
        <v>-2.6524612829938787E-2</v>
      </c>
      <c r="Q39" s="19">
        <f t="shared" si="35"/>
        <v>-3.0074161252917175E-2</v>
      </c>
      <c r="R39" s="48">
        <f t="shared" si="27"/>
        <v>-3.7610619469026663E-2</v>
      </c>
    </row>
    <row r="40" spans="1:18" x14ac:dyDescent="0.2">
      <c r="A40" s="10" t="s">
        <v>46</v>
      </c>
      <c r="B40" s="6" t="s">
        <v>47</v>
      </c>
      <c r="C40" s="6" t="s">
        <v>60</v>
      </c>
      <c r="D40" s="6">
        <v>20200723</v>
      </c>
      <c r="E40" s="19">
        <f t="shared" ref="E40:J40" si="36">$S18/E18-1</f>
        <v>-0.21101359468059278</v>
      </c>
      <c r="F40" s="19">
        <f t="shared" si="36"/>
        <v>-0.20786652010238493</v>
      </c>
      <c r="G40" s="19">
        <f t="shared" si="36"/>
        <v>-5.4094643248145724E-2</v>
      </c>
      <c r="H40" s="19">
        <f t="shared" si="36"/>
        <v>-0.18102326404271696</v>
      </c>
      <c r="I40" s="19">
        <f t="shared" si="36"/>
        <v>-5.9537420782771799E-2</v>
      </c>
      <c r="J40" s="19">
        <f t="shared" si="36"/>
        <v>-0.14841334902153036</v>
      </c>
      <c r="K40" s="19">
        <f t="shared" ref="K40:Q40" si="37">$S18/K18-1</f>
        <v>-1.9730297703093203E-2</v>
      </c>
      <c r="L40" s="19">
        <f t="shared" si="37"/>
        <v>-3.1129813519731542E-2</v>
      </c>
      <c r="M40" s="19">
        <f t="shared" si="37"/>
        <v>8.3430101670991741E-2</v>
      </c>
      <c r="N40" s="19">
        <f t="shared" si="37"/>
        <v>-3.3001446439900328E-2</v>
      </c>
      <c r="O40" s="19">
        <f t="shared" si="37"/>
        <v>-9.6794137726159302E-2</v>
      </c>
      <c r="P40" s="19">
        <f t="shared" si="37"/>
        <v>-2.0322657464322491E-2</v>
      </c>
      <c r="Q40" s="19">
        <f t="shared" si="37"/>
        <v>-2.2369992912390169E-2</v>
      </c>
      <c r="R40" s="48">
        <f t="shared" si="27"/>
        <v>0.21660649819494604</v>
      </c>
    </row>
    <row r="41" spans="1:18" x14ac:dyDescent="0.2">
      <c r="A41" s="10" t="s">
        <v>46</v>
      </c>
      <c r="B41" s="6" t="s">
        <v>47</v>
      </c>
      <c r="C41" s="6" t="s">
        <v>61</v>
      </c>
      <c r="D41" s="6">
        <v>20201029</v>
      </c>
      <c r="E41" s="19">
        <f t="shared" ref="E41:J41" si="38">$S19/E19-1</f>
        <v>1.1747383020330515E-2</v>
      </c>
      <c r="F41" s="19">
        <f t="shared" si="38"/>
        <v>-2.8841601175575216E-2</v>
      </c>
      <c r="G41" s="19">
        <f t="shared" si="38"/>
        <v>1.0830654726321942E-2</v>
      </c>
      <c r="H41" s="19">
        <f t="shared" si="38"/>
        <v>4.78547529847686E-2</v>
      </c>
      <c r="I41" s="19">
        <f t="shared" si="38"/>
        <v>0.11764286269892454</v>
      </c>
      <c r="J41" s="19">
        <f t="shared" si="38"/>
        <v>2.956000834040351E-2</v>
      </c>
      <c r="K41" s="19">
        <f t="shared" ref="K41:Q41" si="39">$S19/K19-1</f>
        <v>0.28233816983290416</v>
      </c>
      <c r="L41" s="19">
        <f t="shared" si="39"/>
        <v>0.22600347475522575</v>
      </c>
      <c r="M41" s="19">
        <f t="shared" si="39"/>
        <v>6.863826017162511E-2</v>
      </c>
      <c r="N41" s="19">
        <f t="shared" si="39"/>
        <v>0.27946827666594887</v>
      </c>
      <c r="O41" s="19">
        <f t="shared" si="39"/>
        <v>0.18839695209262697</v>
      </c>
      <c r="P41" s="19">
        <f t="shared" si="39"/>
        <v>0.20899030903953575</v>
      </c>
      <c r="Q41" s="19">
        <f t="shared" si="39"/>
        <v>0.20447219053160515</v>
      </c>
      <c r="R41" s="48">
        <f t="shared" ref="R41" si="40">$S19/R19-1</f>
        <v>0.12030075187969946</v>
      </c>
    </row>
    <row r="42" spans="1:18" x14ac:dyDescent="0.2">
      <c r="A42" s="10" t="s">
        <v>46</v>
      </c>
      <c r="B42" s="6" t="s">
        <v>47</v>
      </c>
      <c r="C42" s="6" t="s">
        <v>62</v>
      </c>
      <c r="D42" s="6">
        <v>20210218</v>
      </c>
      <c r="E42" s="19">
        <f t="shared" ref="E42:J42" si="41">$S20/E20-1</f>
        <v>9.0653107470886285E-2</v>
      </c>
      <c r="F42" s="19">
        <f t="shared" si="41"/>
        <v>8.0950119579536794E-2</v>
      </c>
      <c r="G42" s="19">
        <f t="shared" si="41"/>
        <v>2.5221109804446806E-2</v>
      </c>
      <c r="H42" s="19">
        <f t="shared" si="41"/>
        <v>7.51606230995856E-2</v>
      </c>
      <c r="I42" s="19">
        <f t="shared" si="41"/>
        <v>0.20950305015490178</v>
      </c>
      <c r="J42" s="19">
        <f t="shared" si="41"/>
        <v>9.3069953100934244E-2</v>
      </c>
      <c r="K42" s="19">
        <f t="shared" ref="K42:Q42" si="42">$S20/K20-1</f>
        <v>7.7989551319620487E-2</v>
      </c>
      <c r="L42" s="19">
        <f t="shared" si="42"/>
        <v>0.11305233099771739</v>
      </c>
      <c r="M42" s="19">
        <f t="shared" si="42"/>
        <v>1.423626698580982E-2</v>
      </c>
      <c r="N42" s="19">
        <f t="shared" si="42"/>
        <v>2.6058831185369336E-2</v>
      </c>
      <c r="O42" s="19">
        <f t="shared" si="42"/>
        <v>8.2191002619700804E-2</v>
      </c>
      <c r="P42" s="19">
        <f t="shared" si="42"/>
        <v>6.1686491555655421E-2</v>
      </c>
      <c r="Q42" s="19">
        <f t="shared" si="42"/>
        <v>6.1458704561285105E-2</v>
      </c>
      <c r="R42" s="48">
        <f>$S20/R20-1</f>
        <v>2.1141649048626032E-3</v>
      </c>
    </row>
    <row r="43" spans="1:18" x14ac:dyDescent="0.2">
      <c r="A43" s="10" t="s">
        <v>46</v>
      </c>
      <c r="B43" s="6" t="s">
        <v>47</v>
      </c>
      <c r="C43" s="6" t="s">
        <v>63</v>
      </c>
      <c r="D43" s="6">
        <v>20210422</v>
      </c>
      <c r="E43" s="19">
        <f t="shared" ref="E43:J43" si="43">$S21/E21-1</f>
        <v>-4.3566817959584947E-3</v>
      </c>
      <c r="F43" s="19">
        <f t="shared" si="43"/>
        <v>1.194847600961868E-2</v>
      </c>
      <c r="G43" s="19">
        <f t="shared" si="43"/>
        <v>7.8162259334035866E-3</v>
      </c>
      <c r="H43" s="19">
        <f t="shared" si="43"/>
        <v>3.498713303173151E-2</v>
      </c>
      <c r="I43" s="19">
        <f t="shared" si="43"/>
        <v>0.20815879481956867</v>
      </c>
      <c r="J43" s="19">
        <f t="shared" si="43"/>
        <v>4.6306579584726393E-2</v>
      </c>
      <c r="K43" s="19">
        <f t="shared" ref="K43:Q43" si="44">$S21/K21-1</f>
        <v>-8.7112747963615123E-2</v>
      </c>
      <c r="L43" s="19">
        <f t="shared" si="44"/>
        <v>-6.383425314459279E-2</v>
      </c>
      <c r="M43" s="19">
        <f t="shared" si="44"/>
        <v>-1.6976712344874634E-2</v>
      </c>
      <c r="N43" s="19">
        <f t="shared" si="44"/>
        <v>-3.7365105459347681E-2</v>
      </c>
      <c r="O43" s="19">
        <f t="shared" si="44"/>
        <v>-1.1114112818160216E-3</v>
      </c>
      <c r="P43" s="19">
        <f t="shared" si="44"/>
        <v>-4.2781684176337209E-2</v>
      </c>
      <c r="Q43" s="19">
        <f t="shared" si="44"/>
        <v>-4.2375551444844617E-2</v>
      </c>
      <c r="R43" s="48">
        <f>$S21/R21-1</f>
        <v>9.3478260869565233E-2</v>
      </c>
    </row>
    <row r="44" spans="1:18" x14ac:dyDescent="0.2">
      <c r="A44" s="10" t="s">
        <v>46</v>
      </c>
      <c r="B44" s="6" t="s">
        <v>47</v>
      </c>
      <c r="C44" s="6" t="s">
        <v>64</v>
      </c>
      <c r="D44" s="6">
        <v>20210729</v>
      </c>
      <c r="E44" s="19">
        <f>$S22/E22-1</f>
        <v>1.0426457799917355E-2</v>
      </c>
      <c r="F44" s="19">
        <f t="shared" ref="F44:J44" si="45">$S22/F22-1</f>
        <v>4.8171887074251352E-2</v>
      </c>
      <c r="G44" s="19">
        <f t="shared" si="45"/>
        <v>3.8107295142695952E-2</v>
      </c>
      <c r="H44" s="19">
        <f t="shared" si="45"/>
        <v>4.2533149475124432E-2</v>
      </c>
      <c r="I44" s="19">
        <f t="shared" si="45"/>
        <v>0.24052707415249541</v>
      </c>
      <c r="J44" s="19">
        <f t="shared" si="45"/>
        <v>7.0130860337954903E-2</v>
      </c>
      <c r="K44" s="19">
        <f t="shared" ref="K44:Q44" si="46">$S22/K22-1</f>
        <v>1.4847826852835144E-2</v>
      </c>
      <c r="L44" s="19">
        <f t="shared" si="46"/>
        <v>3.5795706919260484E-2</v>
      </c>
      <c r="M44" s="19">
        <f t="shared" si="46"/>
        <v>3.0056143600226237E-2</v>
      </c>
      <c r="N44" s="19">
        <f t="shared" si="46"/>
        <v>7.2909277831201269E-3</v>
      </c>
      <c r="O44" s="19">
        <f t="shared" si="46"/>
        <v>2.6791411420185707E-2</v>
      </c>
      <c r="P44" s="19">
        <f t="shared" si="46"/>
        <v>2.2769885249774857E-2</v>
      </c>
      <c r="Q44" s="19">
        <f t="shared" si="46"/>
        <v>2.2836853985661598E-2</v>
      </c>
      <c r="R44" s="48">
        <f>$S22/R22-1</f>
        <v>0.19246031746031744</v>
      </c>
    </row>
    <row r="45" spans="1:18" x14ac:dyDescent="0.2">
      <c r="A45" s="181" t="s">
        <v>88</v>
      </c>
      <c r="B45" s="181"/>
      <c r="C45" s="177" t="s">
        <v>90</v>
      </c>
      <c r="D45" s="178"/>
      <c r="E45" s="99" cm="1">
        <f t="array" ref="E45">SUM(ABS(E28:E38),ABS(E41:E44))/COUNT(E28:E38,E41:E44)</f>
        <v>7.01207906298736E-2</v>
      </c>
      <c r="F45" s="100" cm="1">
        <f t="array" ref="F45">SUM(ABS(F28:F38),ABS(F41:F44))/COUNT(F28:F38,F41:F44)</f>
        <v>6.8886692297283142E-2</v>
      </c>
      <c r="G45" s="100" cm="1">
        <f t="array" ref="G45">SUM(ABS(G28:G38),ABS(G41:G44))/COUNT(G28:G38,G41:G44)</f>
        <v>7.4722489711506468E-2</v>
      </c>
      <c r="H45" s="101" cm="1">
        <f t="array" ref="H45">SUM(ABS(H28:H38),ABS(H41:H44))/COUNT(H28:H38,H41:H44)</f>
        <v>6.3316256770711343E-2</v>
      </c>
      <c r="I45" s="100" cm="1">
        <f t="array" ref="I45">SUM(ABS(I28:I38),ABS(I41:I44))/COUNT(I28:I38,I41:I44)</f>
        <v>0.15250418728200144</v>
      </c>
      <c r="J45" s="100" cm="1">
        <f t="array" ref="J45">SUM(ABS(J28:J38),ABS(J41:J44))/COUNT(J28:J38,J41:J44)</f>
        <v>6.4953078276668935E-2</v>
      </c>
      <c r="K45" s="100" cm="1">
        <f t="array" ref="K45">SUM(ABS(K28:K38),ABS(K41:K44))/COUNT(K28:K38,K41:K44)</f>
        <v>9.0327729952338176E-2</v>
      </c>
      <c r="L45" s="100" cm="1">
        <f t="array" ref="L45">SUM(ABS(L28:L38),ABS(L41:L44))/COUNT(L28:L38,L41:L44)</f>
        <v>8.6585255164984498E-2</v>
      </c>
      <c r="M45" s="100" cm="1">
        <f t="array" ref="M45">SUM(ABS(M28:M38),ABS(M41:M44))/COUNT(M28:M38,M41:M44)</f>
        <v>7.8022227045036321E-2</v>
      </c>
      <c r="N45" s="100" cm="1">
        <f t="array" ref="N45">SUM(ABS(N28:N38),ABS(N41:N44))/COUNT(N28:N38,N41:N44)</f>
        <v>8.04914831230511E-2</v>
      </c>
      <c r="O45" s="100" cm="1">
        <f t="array" ref="O45">SUM(ABS(O28:O38),ABS(O41:O44))/COUNT(O28:O38,O41:O44)</f>
        <v>0.11371694498005824</v>
      </c>
      <c r="P45" s="100" cm="1">
        <f t="array" ref="P45">SUM(ABS(P28:P38),ABS(P41:P44))/COUNT(P28:P38,P41:P44)</f>
        <v>8.1980571403513697E-2</v>
      </c>
      <c r="Q45" s="100" cm="1">
        <f t="array" ref="Q45">SUM(ABS(Q28:Q38),ABS(Q41:Q44))/COUNT(Q28:Q38,Q41:Q44)</f>
        <v>8.2647340712241099E-2</v>
      </c>
      <c r="R45" s="102" cm="1">
        <f t="array" ref="R45">SUM(ABS(R28:R38),ABS(R41:R44))/COUNT(R28:R38,R41:R44)</f>
        <v>5.3047592823735508E-2</v>
      </c>
    </row>
    <row r="46" spans="1:18" x14ac:dyDescent="0.2">
      <c r="A46" s="182" t="s">
        <v>89</v>
      </c>
      <c r="B46" s="182"/>
      <c r="C46" s="179" t="s">
        <v>90</v>
      </c>
      <c r="D46" s="180"/>
      <c r="E46" s="103" cm="1">
        <f t="array" ref="E46">SQRT(SUM(POWER(E28:E38,2),POWER(E41:E44,2))/COUNT(E28:E38,E41:E44))</f>
        <v>9.3355810353085183E-2</v>
      </c>
      <c r="F46" s="82" cm="1">
        <f t="array" ref="F46">SQRT(SUM(POWER(F28:F38,2),POWER(F41:F44,2))/COUNT(F28:F38,F41:F44))</f>
        <v>8.910171558573346E-2</v>
      </c>
      <c r="G46" s="82" cm="1">
        <f t="array" ref="G46">SQRT(SUM(POWER(G28:G38,2),POWER(G41:G44,2))/COUNT(G28:G38,G41:G44))</f>
        <v>0.10355082849890519</v>
      </c>
      <c r="H46" s="83" cm="1">
        <f t="array" ref="H46">SQRT(SUM(POWER(H28:H38,2),POWER(H41:H44,2))/COUNT(H28:H38,H41:H44))</f>
        <v>7.5751596347990224E-2</v>
      </c>
      <c r="I46" s="82" cm="1">
        <f t="array" ref="I46">SQRT(SUM(POWER(I28:I38,2),POWER(I41:I44,2))/COUNT(I28:I38,I41:I44))</f>
        <v>0.18511564272398329</v>
      </c>
      <c r="J46" s="82" cm="1">
        <f t="array" ref="J46">SQRT(SUM(POWER(J28:J38,2),POWER(J41:J44,2))/COUNT(J28:J38,J41:J44))</f>
        <v>8.1489925683779427E-2</v>
      </c>
      <c r="K46" s="82" cm="1">
        <f t="array" ref="K46">SQRT(SUM(POWER(K28:K38,2),POWER(K41:K44,2))/COUNT(K28:K38,K41:K44))</f>
        <v>0.11416708926924969</v>
      </c>
      <c r="L46" s="82" cm="1">
        <f t="array" ref="L46">SQRT(SUM(POWER(L28:L38,2),POWER(L41:L44,2))/COUNT(L28:L38,L41:L44))</f>
        <v>0.10490647932582123</v>
      </c>
      <c r="M46" s="82" cm="1">
        <f t="array" ref="M46">SQRT(SUM(POWER(M28:M38,2),POWER(M41:M44,2))/COUNT(M28:M38,M41:M44))</f>
        <v>0.10078765518928372</v>
      </c>
      <c r="N46" s="82" cm="1">
        <f t="array" ref="N46">SQRT(SUM(POWER(N28:N38,2),POWER(N41:N44,2))/COUNT(N28:N38,N41:N44))</f>
        <v>0.10602009145834276</v>
      </c>
      <c r="O46" s="82" cm="1">
        <f t="array" ref="O46">SQRT(SUM(POWER(O28:O38,2),POWER(O41:O44,2))/COUNT(O28:O38,O41:O44))</f>
        <v>0.1503854699917149</v>
      </c>
      <c r="P46" s="82" cm="1">
        <f t="array" ref="P46">SQRT(SUM(POWER(P28:P38,2),POWER(P41:P44,2))/COUNT(P28:P38,P41:P44))</f>
        <v>9.6440237203871404E-2</v>
      </c>
      <c r="Q46" s="82" cm="1">
        <f t="array" ref="Q46">SQRT(SUM(POWER(Q28:Q38,2),POWER(Q41:Q44,2))/COUNT(Q28:Q38,Q41:Q44))</f>
        <v>9.6054593035134167E-2</v>
      </c>
      <c r="R46" s="84" cm="1">
        <f t="array" ref="R46">SQRT(SUM(POWER(R28:R38,2),POWER(R41:R44,2))/COUNT(R28:R38,R41:R44))</f>
        <v>7.1756666635813135E-2</v>
      </c>
    </row>
    <row r="47" spans="1:18" x14ac:dyDescent="0.2">
      <c r="D47" s="169" t="s">
        <v>93</v>
      </c>
      <c r="E47" s="170"/>
      <c r="F47" s="171"/>
      <c r="G47" s="86" cm="1">
        <f t="array" ref="G47">SUM(ABS(G28:G40),ABS(G42:G44))/COUNT(G28:G40,G42:G44)</f>
        <v>8.0689744637392022E-2</v>
      </c>
      <c r="H47" s="86" cm="1">
        <f t="array" ref="H47">SUM(ABS(H28:H40),ABS(H42:H44))/COUNT(H28:H40,H42:H44)</f>
        <v>7.724911412012575E-2</v>
      </c>
      <c r="I47" s="86" cm="1">
        <f t="array" ref="I47">SUM(ABS(I28:I40),ABS(I42:I44))/COUNT(I28:I40,I42:I44)</f>
        <v>0.14191917413681113</v>
      </c>
      <c r="J47" s="86" cm="1">
        <f t="array" ref="J47">SUM(ABS(J28:J40),ABS(J42:J44))/COUNT(J28:J40,J42:J44)</f>
        <v>7.6493584365858389E-2</v>
      </c>
      <c r="K47" s="86" cm="1">
        <f t="array" ref="K47">SUM(ABS(K28:K40),ABS(K42:K44))/COUNT(K28:K40,K42:K44)</f>
        <v>6.9089901737421397E-2</v>
      </c>
      <c r="L47" s="86" cm="1">
        <f t="array" ref="L47">SUM(ABS(L28:L40),ABS(L42:L44))/COUNT(L28:L40,L42:L44)</f>
        <v>7.1022066316417165E-2</v>
      </c>
      <c r="M47" s="86" cm="1">
        <f t="array" ref="M47">SUM(ABS(M28:M40),ABS(M42:M44))/COUNT(M28:M40,M42:M44)</f>
        <v>7.731195905707075E-2</v>
      </c>
      <c r="N47" s="116" cm="1">
        <f t="array" ref="N47">SUM(ABS(N28:N40),ABS(N42:N44))/COUNT(N28:N40,N42:N44)</f>
        <v>5.9773947820909959E-2</v>
      </c>
      <c r="O47" s="86" cm="1">
        <f t="array" ref="O47">SUM(ABS(O28:O40),ABS(O42:O44))/COUNT(O28:O40,O42:O44)</f>
        <v>0.10643236186719734</v>
      </c>
      <c r="P47" s="86" cm="1">
        <f t="array" ref="P47">SUM(ABS(P28:P40),ABS(P42:P44))/COUNT(P28:P40,P42:P44)</f>
        <v>6.570566406026114E-2</v>
      </c>
      <c r="Q47" s="87" cm="1">
        <f t="array" ref="Q47">SUM(ABS(Q28:Q40),ABS(Q42:Q44))/COUNT(Q28:Q40,Q42:Q44)</f>
        <v>6.7002315573671839E-2</v>
      </c>
    </row>
  </sheetData>
  <mergeCells count="8">
    <mergeCell ref="D47:F47"/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AA46"/>
  <sheetViews>
    <sheetView zoomScale="85" zoomScaleNormal="85" workbookViewId="0">
      <selection activeCell="G9" sqref="G9"/>
    </sheetView>
  </sheetViews>
  <sheetFormatPr defaultRowHeight="12.75" x14ac:dyDescent="0.2"/>
  <cols>
    <col min="1" max="1" width="9.140625" style="89"/>
    <col min="3" max="3" width="12.7109375" bestFit="1" customWidth="1"/>
    <col min="4" max="4" width="8.85546875" customWidth="1"/>
    <col min="5" max="5" width="6.42578125" customWidth="1"/>
    <col min="6" max="6" width="8.28515625" bestFit="1" customWidth="1"/>
    <col min="7" max="7" width="14.28515625" bestFit="1" customWidth="1"/>
    <col min="8" max="8" width="8" bestFit="1" customWidth="1"/>
    <col min="9" max="9" width="7.28515625" bestFit="1" customWidth="1"/>
    <col min="10" max="10" width="11.7109375" bestFit="1" customWidth="1"/>
    <col min="11" max="11" width="12.28515625" bestFit="1" customWidth="1"/>
    <col min="12" max="12" width="6.28515625" bestFit="1" customWidth="1"/>
    <col min="13" max="13" width="6.5703125" bestFit="1" customWidth="1"/>
    <col min="14" max="14" width="14" customWidth="1"/>
    <col min="16" max="16" width="23.140625" customWidth="1"/>
    <col min="22" max="22" width="14.5703125" bestFit="1" customWidth="1"/>
    <col min="23" max="23" width="17.5703125" bestFit="1" customWidth="1"/>
    <col min="24" max="30" width="12.85546875" bestFit="1" customWidth="1"/>
    <col min="31" max="31" width="11.85546875" bestFit="1" customWidth="1"/>
    <col min="32" max="36" width="12.28515625" bestFit="1" customWidth="1"/>
    <col min="37" max="37" width="11.7109375" bestFit="1" customWidth="1"/>
  </cols>
  <sheetData>
    <row r="1" spans="1:27" x14ac:dyDescent="0.2">
      <c r="A1" s="89" t="s">
        <v>118</v>
      </c>
      <c r="B1" t="s">
        <v>97</v>
      </c>
    </row>
    <row r="2" spans="1:27" x14ac:dyDescent="0.2">
      <c r="A2" s="89" t="s">
        <v>113</v>
      </c>
      <c r="B2" t="s">
        <v>94</v>
      </c>
      <c r="P2" s="111" t="s">
        <v>122</v>
      </c>
      <c r="Q2" t="s">
        <v>219</v>
      </c>
    </row>
    <row r="3" spans="1:27" x14ac:dyDescent="0.2">
      <c r="A3" s="89" t="s">
        <v>114</v>
      </c>
      <c r="B3" t="s">
        <v>203</v>
      </c>
    </row>
    <row r="4" spans="1:27" x14ac:dyDescent="0.2">
      <c r="A4" s="89" t="s">
        <v>115</v>
      </c>
      <c r="B4" t="s">
        <v>202</v>
      </c>
      <c r="O4" s="110" t="s">
        <v>218</v>
      </c>
      <c r="P4" t="s">
        <v>124</v>
      </c>
      <c r="Y4" s="6"/>
      <c r="Z4" s="6"/>
      <c r="AA4" s="6"/>
    </row>
    <row r="5" spans="1:27" ht="13.5" thickBot="1" x14ac:dyDescent="0.25">
      <c r="A5" s="89" t="s">
        <v>116</v>
      </c>
      <c r="B5" t="s">
        <v>95</v>
      </c>
      <c r="Y5" s="6"/>
      <c r="Z5" s="6"/>
      <c r="AA5" s="6"/>
    </row>
    <row r="6" spans="1:27" x14ac:dyDescent="0.2">
      <c r="P6" s="94" t="s">
        <v>125</v>
      </c>
      <c r="Q6" s="94"/>
      <c r="Y6" s="6"/>
      <c r="Z6" s="6"/>
      <c r="AA6" s="6"/>
    </row>
    <row r="7" spans="1:27" x14ac:dyDescent="0.2">
      <c r="P7" s="91" t="s">
        <v>126</v>
      </c>
      <c r="Q7" s="91">
        <v>0.93467534990662193</v>
      </c>
      <c r="Y7" s="6"/>
      <c r="Z7" s="6"/>
      <c r="AA7" s="6"/>
    </row>
    <row r="8" spans="1:27" x14ac:dyDescent="0.2">
      <c r="A8" s="89" t="s">
        <v>117</v>
      </c>
      <c r="B8" s="118" t="s">
        <v>96</v>
      </c>
      <c r="C8" s="118"/>
      <c r="D8" s="118" t="s">
        <v>161</v>
      </c>
      <c r="E8" s="118"/>
      <c r="F8" s="118"/>
      <c r="G8" s="118"/>
      <c r="H8" s="118"/>
      <c r="I8" s="118"/>
      <c r="J8" s="118"/>
      <c r="K8" s="118"/>
      <c r="L8" s="118"/>
      <c r="M8" s="118"/>
      <c r="N8" s="118"/>
      <c r="P8" s="91" t="s">
        <v>127</v>
      </c>
      <c r="Q8" s="91">
        <v>0.87361800972306614</v>
      </c>
      <c r="Y8" s="6"/>
      <c r="Z8" s="6"/>
      <c r="AA8" s="6"/>
    </row>
    <row r="9" spans="1:27" x14ac:dyDescent="0.2"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P9" s="91" t="s">
        <v>128</v>
      </c>
      <c r="Q9" s="91">
        <v>0.85063946603635088</v>
      </c>
      <c r="Y9" s="6"/>
      <c r="Z9" s="6"/>
      <c r="AA9" s="6"/>
    </row>
    <row r="10" spans="1:27" x14ac:dyDescent="0.2">
      <c r="B10" t="s">
        <v>112</v>
      </c>
      <c r="P10" s="91" t="s">
        <v>129</v>
      </c>
      <c r="Q10" s="91">
        <v>1.916083400074009</v>
      </c>
      <c r="Y10" s="6"/>
      <c r="Z10" s="6"/>
      <c r="AA10" s="6"/>
    </row>
    <row r="11" spans="1:27" ht="13.5" thickBot="1" x14ac:dyDescent="0.25">
      <c r="B11" t="s">
        <v>109</v>
      </c>
      <c r="C11" s="2">
        <v>5.7035995542563403E-2</v>
      </c>
      <c r="D11" s="2">
        <v>7.4640009087878295E-2</v>
      </c>
      <c r="E11" s="2">
        <v>9.0841372850707605E-2</v>
      </c>
      <c r="F11" s="88">
        <v>5.16855153388757E-2</v>
      </c>
      <c r="G11" s="2">
        <v>5.7448716428394997E-2</v>
      </c>
      <c r="H11" s="2">
        <v>8.8023434279604296E-2</v>
      </c>
      <c r="I11" s="2">
        <v>9.1256427435917706E-2</v>
      </c>
      <c r="J11" s="88">
        <v>5.3734089625027098E-2</v>
      </c>
      <c r="K11" s="88">
        <v>4.8807126965300401E-2</v>
      </c>
      <c r="L11" s="2"/>
      <c r="M11" s="2"/>
      <c r="P11" s="92" t="s">
        <v>130</v>
      </c>
      <c r="Q11" s="92">
        <v>14</v>
      </c>
      <c r="Y11" s="6"/>
      <c r="Z11" s="6"/>
      <c r="AA11" s="6"/>
    </row>
    <row r="12" spans="1:27" x14ac:dyDescent="0.2">
      <c r="B12" t="s">
        <v>110</v>
      </c>
      <c r="C12" s="2">
        <v>7.7832704666665101E-2</v>
      </c>
      <c r="D12" s="2">
        <v>9.2170951506469298E-2</v>
      </c>
      <c r="E12" s="2">
        <v>9.9267177743058294E-2</v>
      </c>
      <c r="F12" s="88">
        <v>6.4487825842520399E-2</v>
      </c>
      <c r="G12" s="2">
        <v>6.4156479964487007E-2</v>
      </c>
      <c r="H12" s="2">
        <v>9.6233833551402095E-2</v>
      </c>
      <c r="I12" s="2">
        <v>0.100449840452065</v>
      </c>
      <c r="J12" s="88">
        <v>6.1943409566513598E-2</v>
      </c>
      <c r="K12" s="88">
        <v>6.0680094330401599E-2</v>
      </c>
      <c r="L12" s="2"/>
      <c r="M12" s="2"/>
      <c r="Y12" s="6"/>
      <c r="Z12" s="6"/>
      <c r="AA12" s="6"/>
    </row>
    <row r="13" spans="1:27" ht="13.5" thickBot="1" x14ac:dyDescent="0.25">
      <c r="B13" t="s">
        <v>111</v>
      </c>
      <c r="C13" s="2">
        <v>-3.8691679841170702E-2</v>
      </c>
      <c r="D13" s="2">
        <v>-3.7301150187063897E-2</v>
      </c>
      <c r="E13" s="2">
        <v>-7.7985522446643099E-2</v>
      </c>
      <c r="F13" s="88">
        <v>-8.3133956156528598E-3</v>
      </c>
      <c r="G13" s="2">
        <v>2.75211853256817E-2</v>
      </c>
      <c r="H13" s="2">
        <v>-7.8112165799478994E-2</v>
      </c>
      <c r="I13" s="2">
        <v>-7.8307970104640301E-2</v>
      </c>
      <c r="J13" s="88">
        <v>2.43846854111428E-2</v>
      </c>
      <c r="K13" s="88">
        <v>1.0547598520705999E-2</v>
      </c>
      <c r="L13" s="2"/>
      <c r="M13" s="2"/>
      <c r="P13" t="s">
        <v>131</v>
      </c>
      <c r="Y13" s="6"/>
      <c r="Z13" s="6"/>
      <c r="AA13" s="6"/>
    </row>
    <row r="14" spans="1:27" x14ac:dyDescent="0.2">
      <c r="P14" s="93"/>
      <c r="Q14" s="93" t="s">
        <v>135</v>
      </c>
      <c r="R14" s="93" t="s">
        <v>136</v>
      </c>
      <c r="S14" s="93" t="s">
        <v>137</v>
      </c>
      <c r="T14" s="93" t="s">
        <v>138</v>
      </c>
      <c r="U14" s="93" t="s">
        <v>139</v>
      </c>
      <c r="Y14" s="6"/>
      <c r="Z14" s="6"/>
      <c r="AA14" s="6"/>
    </row>
    <row r="15" spans="1:27" ht="15" x14ac:dyDescent="0.2">
      <c r="A15" t="s">
        <v>174</v>
      </c>
      <c r="C15" s="97" t="s">
        <v>98</v>
      </c>
      <c r="D15" s="97" t="s">
        <v>99</v>
      </c>
      <c r="E15" s="97" t="s">
        <v>100</v>
      </c>
      <c r="F15" s="97" t="s">
        <v>101</v>
      </c>
      <c r="G15" s="97" t="s">
        <v>102</v>
      </c>
      <c r="H15" s="97" t="s">
        <v>103</v>
      </c>
      <c r="I15" s="97" t="s">
        <v>104</v>
      </c>
      <c r="J15" s="97" t="s">
        <v>105</v>
      </c>
      <c r="K15" s="97" t="s">
        <v>106</v>
      </c>
      <c r="L15" s="97"/>
      <c r="M15" s="97"/>
      <c r="P15" s="91" t="s">
        <v>132</v>
      </c>
      <c r="Q15" s="91">
        <v>2</v>
      </c>
      <c r="R15" s="91">
        <v>279.16302137214052</v>
      </c>
      <c r="S15" s="91">
        <v>139.58151068607026</v>
      </c>
      <c r="T15" s="91">
        <v>38.018858881302236</v>
      </c>
      <c r="U15" s="91">
        <v>1.1462214915606173E-5</v>
      </c>
      <c r="Y15" s="6"/>
      <c r="Z15" s="6"/>
      <c r="AA15" s="6"/>
    </row>
    <row r="16" spans="1:27" ht="15" x14ac:dyDescent="0.2">
      <c r="B16" s="97" t="s">
        <v>109</v>
      </c>
      <c r="C16" s="2">
        <v>6.289193520019537E-2</v>
      </c>
      <c r="D16" s="2">
        <v>4.3186482566683823E-2</v>
      </c>
      <c r="E16" s="2">
        <v>5.5964707161677188E-2</v>
      </c>
      <c r="F16" s="2">
        <v>6.3001043578588614E-2</v>
      </c>
      <c r="G16" s="2">
        <v>4.6598168574068392E-2</v>
      </c>
      <c r="H16" s="2">
        <v>5.6280854372842193E-2</v>
      </c>
      <c r="I16" s="2">
        <v>5.6017905317759041E-2</v>
      </c>
      <c r="J16" s="2">
        <v>4.7102860789051668E-2</v>
      </c>
      <c r="K16" s="2">
        <v>4.1304231632498377E-2</v>
      </c>
      <c r="L16" s="2"/>
      <c r="M16" s="2"/>
      <c r="P16" s="91" t="s">
        <v>133</v>
      </c>
      <c r="Q16" s="91">
        <v>11</v>
      </c>
      <c r="R16" s="91">
        <v>40.38513155643092</v>
      </c>
      <c r="S16" s="91">
        <v>3.6713755960391747</v>
      </c>
      <c r="T16" s="91"/>
      <c r="U16" s="91"/>
      <c r="Y16" s="6"/>
      <c r="Z16" s="6"/>
      <c r="AA16" s="6"/>
    </row>
    <row r="17" spans="1:27" ht="15.75" thickBot="1" x14ac:dyDescent="0.25">
      <c r="B17" s="97" t="s">
        <v>110</v>
      </c>
      <c r="C17" s="2">
        <v>8.8291499898177722E-2</v>
      </c>
      <c r="D17" s="2">
        <v>6.3885240388285511E-2</v>
      </c>
      <c r="E17" s="2">
        <v>6.5053037939989997E-2</v>
      </c>
      <c r="F17" s="2">
        <v>8.3898641158141857E-2</v>
      </c>
      <c r="G17" s="2">
        <v>5.8002283831046733E-2</v>
      </c>
      <c r="H17" s="2">
        <v>6.6141514917455971E-2</v>
      </c>
      <c r="I17" s="2">
        <v>6.5547452616696408E-2</v>
      </c>
      <c r="J17" s="2">
        <v>5.7496239350951987E-2</v>
      </c>
      <c r="K17" s="2">
        <v>5.4788918327264118E-2</v>
      </c>
      <c r="L17" s="2"/>
      <c r="M17" s="2"/>
      <c r="P17" s="92" t="s">
        <v>42</v>
      </c>
      <c r="Q17" s="92">
        <v>13</v>
      </c>
      <c r="R17" s="92">
        <v>319.54815292857143</v>
      </c>
      <c r="S17" s="92"/>
      <c r="T17" s="92"/>
      <c r="U17" s="92"/>
      <c r="Y17" s="6"/>
      <c r="Z17" s="6"/>
      <c r="AA17" s="6"/>
    </row>
    <row r="18" spans="1:27" ht="15.75" thickBot="1" x14ac:dyDescent="0.25">
      <c r="B18" s="97" t="s">
        <v>111</v>
      </c>
      <c r="C18" s="2">
        <v>-2.9661016949152689E-2</v>
      </c>
      <c r="D18" s="2">
        <v>1.6461888735632261E-2</v>
      </c>
      <c r="E18" s="2">
        <v>-2.651474889325478E-2</v>
      </c>
      <c r="F18" s="2">
        <v>-4.8734652603010797E-4</v>
      </c>
      <c r="G18" s="2">
        <v>-1.066618001411612E-3</v>
      </c>
      <c r="H18" s="2">
        <v>-3.3559004978134237E-2</v>
      </c>
      <c r="I18" s="2">
        <v>-3.6241939515833099E-2</v>
      </c>
      <c r="J18" s="2">
        <v>-7.8600213337842728E-3</v>
      </c>
      <c r="K18" s="2">
        <v>-1.2852506088357749E-3</v>
      </c>
      <c r="L18" s="2"/>
      <c r="M18" s="2"/>
      <c r="Y18" s="6"/>
      <c r="Z18" s="6"/>
      <c r="AA18" s="6"/>
    </row>
    <row r="19" spans="1:27" x14ac:dyDescent="0.2">
      <c r="P19" s="93"/>
      <c r="Q19" s="93" t="s">
        <v>140</v>
      </c>
      <c r="R19" s="93" t="s">
        <v>129</v>
      </c>
      <c r="S19" s="93" t="s">
        <v>141</v>
      </c>
      <c r="T19" s="93" t="s">
        <v>142</v>
      </c>
      <c r="U19" s="93" t="s">
        <v>143</v>
      </c>
      <c r="V19" s="93" t="s">
        <v>144</v>
      </c>
      <c r="W19" s="93" t="s">
        <v>145</v>
      </c>
      <c r="X19" s="93" t="s">
        <v>146</v>
      </c>
      <c r="Y19" s="6"/>
      <c r="Z19" s="6"/>
      <c r="AA19" s="6"/>
    </row>
    <row r="20" spans="1:27" x14ac:dyDescent="0.2">
      <c r="A20" s="89" t="s">
        <v>119</v>
      </c>
      <c r="B20" t="s">
        <v>120</v>
      </c>
      <c r="P20" s="91" t="s">
        <v>134</v>
      </c>
      <c r="Q20" s="91">
        <v>2.6472458605947153</v>
      </c>
      <c r="R20" s="91">
        <v>5.0251059538086977</v>
      </c>
      <c r="S20" s="91">
        <v>0.52680398879714729</v>
      </c>
      <c r="T20" s="91">
        <v>0.60878901417240305</v>
      </c>
      <c r="U20" s="91">
        <v>-8.4129377716263658</v>
      </c>
      <c r="V20" s="91">
        <v>13.707429492815796</v>
      </c>
      <c r="W20" s="91">
        <v>-8.4129377716263658</v>
      </c>
      <c r="X20" s="91">
        <v>13.707429492815796</v>
      </c>
      <c r="Y20" s="6"/>
      <c r="Z20" s="6"/>
      <c r="AA20" s="6"/>
    </row>
    <row r="21" spans="1:27" x14ac:dyDescent="0.2">
      <c r="B21" t="s">
        <v>193</v>
      </c>
      <c r="H21" s="90" t="s">
        <v>121</v>
      </c>
      <c r="P21" s="91" t="s">
        <v>74</v>
      </c>
      <c r="Q21" s="91">
        <v>0.11933444422770732</v>
      </c>
      <c r="R21" s="91">
        <v>0.13490829147084832</v>
      </c>
      <c r="S21" s="91">
        <v>0.88455974741547838</v>
      </c>
      <c r="T21" s="91">
        <v>0.39531763077241999</v>
      </c>
      <c r="U21" s="91">
        <v>-0.17759670327294713</v>
      </c>
      <c r="V21" s="91">
        <v>0.41626559172836181</v>
      </c>
      <c r="W21" s="91">
        <v>-0.17759670327294713</v>
      </c>
      <c r="X21" s="91">
        <v>0.41626559172836181</v>
      </c>
      <c r="Y21" s="6"/>
      <c r="Z21" s="6"/>
      <c r="AA21" s="6"/>
    </row>
    <row r="22" spans="1:27" ht="13.5" thickBot="1" x14ac:dyDescent="0.25">
      <c r="B22" t="s">
        <v>194</v>
      </c>
      <c r="H22" s="90"/>
      <c r="P22" s="92" t="s">
        <v>1</v>
      </c>
      <c r="Q22" s="92">
        <v>0.84704981943018975</v>
      </c>
      <c r="R22" s="92">
        <v>0.20677352948418667</v>
      </c>
      <c r="S22" s="92">
        <v>4.0965099427534275</v>
      </c>
      <c r="T22" s="92">
        <v>1.7698499602985269E-3</v>
      </c>
      <c r="U22" s="92">
        <v>0.39194434953572405</v>
      </c>
      <c r="V22" s="92">
        <v>1.3021552893246555</v>
      </c>
      <c r="W22" s="92">
        <v>0.39194434953572405</v>
      </c>
      <c r="X22" s="92">
        <v>1.3021552893246555</v>
      </c>
      <c r="Y22" s="6"/>
      <c r="Z22" s="6"/>
      <c r="AA22" s="6"/>
    </row>
    <row r="23" spans="1:27" x14ac:dyDescent="0.2">
      <c r="Y23" s="6"/>
      <c r="Z23" s="6"/>
      <c r="AA23" s="6"/>
    </row>
    <row r="24" spans="1:27" x14ac:dyDescent="0.2">
      <c r="A24" s="89" t="s">
        <v>123</v>
      </c>
      <c r="B24" t="s">
        <v>162</v>
      </c>
      <c r="Y24" s="6"/>
      <c r="Z24" s="6"/>
      <c r="AA24" s="6"/>
    </row>
    <row r="25" spans="1:27" x14ac:dyDescent="0.2">
      <c r="Y25" s="6"/>
      <c r="Z25" s="6"/>
      <c r="AA25" s="6"/>
    </row>
    <row r="26" spans="1:27" x14ac:dyDescent="0.2">
      <c r="A26" s="89" t="s">
        <v>151</v>
      </c>
      <c r="B26" s="183" t="s">
        <v>152</v>
      </c>
      <c r="C26" s="183"/>
      <c r="D26" s="183"/>
      <c r="E26" s="183"/>
      <c r="F26" s="77">
        <f>Q20+Q21*'2. Past Proj &amp; Candidate Model'!N22+Q22*'2. Past Proj &amp; Candidate Model'!R22</f>
        <v>52.45864481017729</v>
      </c>
      <c r="G26" s="95" t="s">
        <v>153</v>
      </c>
      <c r="H26" s="2">
        <f>'2. Past Proj &amp; Candidate Model'!S22/'3. Improved Alpha Model'!F26-1</f>
        <v>0.1456643650912659</v>
      </c>
      <c r="P26" t="s">
        <v>147</v>
      </c>
      <c r="Y26" s="6"/>
      <c r="Z26" s="6"/>
      <c r="AA26" s="6"/>
    </row>
    <row r="27" spans="1:27" ht="13.5" thickBot="1" x14ac:dyDescent="0.25">
      <c r="B27" t="s">
        <v>159</v>
      </c>
    </row>
    <row r="28" spans="1:27" x14ac:dyDescent="0.2">
      <c r="B28" t="s">
        <v>160</v>
      </c>
      <c r="P28" s="93" t="s">
        <v>148</v>
      </c>
      <c r="Q28" s="93" t="s">
        <v>150</v>
      </c>
      <c r="R28" s="93" t="s">
        <v>149</v>
      </c>
    </row>
    <row r="29" spans="1:27" x14ac:dyDescent="0.2">
      <c r="B29" t="s">
        <v>154</v>
      </c>
      <c r="P29" s="91">
        <v>1</v>
      </c>
      <c r="Q29" s="91">
        <v>35.596541802579154</v>
      </c>
      <c r="R29" s="91">
        <v>-2.2025418025791552</v>
      </c>
    </row>
    <row r="30" spans="1:27" x14ac:dyDescent="0.2">
      <c r="B30" t="s">
        <v>155</v>
      </c>
      <c r="E30" s="3">
        <f>C11</f>
        <v>5.7035995542563403E-2</v>
      </c>
      <c r="F30" t="s">
        <v>156</v>
      </c>
      <c r="G30" t="s">
        <v>158</v>
      </c>
      <c r="I30" s="3">
        <f>G16</f>
        <v>4.6598168574068392E-2</v>
      </c>
      <c r="J30" t="s">
        <v>157</v>
      </c>
      <c r="P30" s="91">
        <v>2</v>
      </c>
      <c r="Q30" s="91">
        <v>37.16064660933506</v>
      </c>
      <c r="R30" s="91">
        <v>-0.96964660933505797</v>
      </c>
    </row>
    <row r="31" spans="1:27" x14ac:dyDescent="0.2">
      <c r="P31" s="91">
        <v>3</v>
      </c>
      <c r="Q31" s="91">
        <v>37.488366907844764</v>
      </c>
      <c r="R31" s="91">
        <v>0.94763309215523606</v>
      </c>
    </row>
    <row r="32" spans="1:27" x14ac:dyDescent="0.2">
      <c r="P32" s="91">
        <v>4</v>
      </c>
      <c r="Q32" s="91">
        <v>40.248025544996302</v>
      </c>
      <c r="R32" s="91">
        <v>0.58597445500370071</v>
      </c>
    </row>
    <row r="33" spans="1:27" x14ac:dyDescent="0.2">
      <c r="A33" s="89" t="s">
        <v>163</v>
      </c>
      <c r="B33" t="s">
        <v>164</v>
      </c>
      <c r="P33" s="91">
        <v>5</v>
      </c>
      <c r="Q33" s="91">
        <v>40.189588003181015</v>
      </c>
      <c r="R33" s="91">
        <v>-0.38958800318101794</v>
      </c>
    </row>
    <row r="34" spans="1:27" x14ac:dyDescent="0.2">
      <c r="B34" t="s">
        <v>165</v>
      </c>
      <c r="P34" s="91">
        <v>6</v>
      </c>
      <c r="Q34" s="91">
        <v>42.213847484438901</v>
      </c>
      <c r="R34" s="91">
        <v>0.88615251556110053</v>
      </c>
    </row>
    <row r="35" spans="1:27" x14ac:dyDescent="0.2">
      <c r="B35" t="s">
        <v>166</v>
      </c>
      <c r="P35" s="91">
        <v>7</v>
      </c>
      <c r="Q35" s="91">
        <v>44.213784350723287</v>
      </c>
      <c r="R35" s="91">
        <v>-1.2137843507232873</v>
      </c>
    </row>
    <row r="36" spans="1:27" x14ac:dyDescent="0.2">
      <c r="B36" t="s">
        <v>167</v>
      </c>
      <c r="P36" s="91">
        <v>8</v>
      </c>
      <c r="Q36" s="91">
        <v>47.610482808226671</v>
      </c>
      <c r="R36" s="91">
        <v>-0.41048280822666783</v>
      </c>
    </row>
    <row r="37" spans="1:27" x14ac:dyDescent="0.2">
      <c r="B37" t="s">
        <v>168</v>
      </c>
      <c r="P37" s="91">
        <v>9</v>
      </c>
      <c r="Q37" s="91">
        <v>46.183376050071288</v>
      </c>
      <c r="R37" s="91">
        <v>-8.3376050071287011E-2</v>
      </c>
    </row>
    <row r="38" spans="1:27" x14ac:dyDescent="0.2">
      <c r="B38" t="s">
        <v>169</v>
      </c>
      <c r="P38" s="91">
        <v>10</v>
      </c>
      <c r="Q38" s="91">
        <v>49.653743197807231</v>
      </c>
      <c r="R38" s="91">
        <v>-0.15374319780723056</v>
      </c>
    </row>
    <row r="39" spans="1:27" x14ac:dyDescent="0.2">
      <c r="B39" t="s">
        <v>170</v>
      </c>
      <c r="P39" s="91">
        <v>11</v>
      </c>
      <c r="Q39" s="91">
        <v>46.210400482893419</v>
      </c>
      <c r="R39" s="91">
        <v>-2.7104004828934194</v>
      </c>
    </row>
    <row r="40" spans="1:27" x14ac:dyDescent="0.2">
      <c r="B40" t="s">
        <v>171</v>
      </c>
      <c r="P40" s="91">
        <v>12</v>
      </c>
      <c r="Q40" s="91">
        <v>40.613648087424998</v>
      </c>
      <c r="R40" s="91">
        <v>4.0863519125750045</v>
      </c>
    </row>
    <row r="41" spans="1:27" x14ac:dyDescent="0.2">
      <c r="B41" t="s">
        <v>172</v>
      </c>
      <c r="P41" s="91">
        <v>13</v>
      </c>
      <c r="Q41" s="91">
        <v>48.225497964955373</v>
      </c>
      <c r="R41" s="91">
        <v>-0.82549796495537464</v>
      </c>
    </row>
    <row r="42" spans="1:27" ht="13.5" thickBot="1" x14ac:dyDescent="0.25">
      <c r="B42" t="s">
        <v>173</v>
      </c>
      <c r="P42" s="92">
        <v>14</v>
      </c>
      <c r="Q42" s="92">
        <v>47.847050705522591</v>
      </c>
      <c r="R42" s="92">
        <v>2.4529492944774063</v>
      </c>
    </row>
    <row r="43" spans="1:27" x14ac:dyDescent="0.2">
      <c r="P43" s="6"/>
      <c r="Q43" s="91"/>
      <c r="R43" s="91"/>
    </row>
    <row r="44" spans="1:27" x14ac:dyDescent="0.2">
      <c r="P44" s="91"/>
      <c r="Q44" s="91"/>
      <c r="R44" s="91"/>
      <c r="S44" s="6"/>
      <c r="T44" s="6"/>
      <c r="U44" s="6"/>
      <c r="Y44" s="6"/>
      <c r="Z44" s="6"/>
      <c r="AA44" s="6"/>
    </row>
    <row r="45" spans="1:27" x14ac:dyDescent="0.2">
      <c r="P45" s="6"/>
      <c r="Q45" s="6"/>
      <c r="R45" s="6"/>
      <c r="S45" s="6"/>
      <c r="T45" s="6"/>
      <c r="U45" s="6"/>
      <c r="W45" s="6"/>
      <c r="X45" s="6"/>
      <c r="Y45" s="6"/>
      <c r="Z45" s="6"/>
    </row>
    <row r="46" spans="1:27" x14ac:dyDescent="0.2">
      <c r="P46" s="6"/>
      <c r="Q46" s="6"/>
      <c r="R46" s="6"/>
      <c r="S46" s="6"/>
      <c r="T46" s="6"/>
      <c r="U46" s="6"/>
      <c r="W46" s="6"/>
      <c r="X46" s="6"/>
      <c r="Y46" s="6"/>
      <c r="Z46" s="6"/>
    </row>
  </sheetData>
  <mergeCells count="3">
    <mergeCell ref="D8:N8"/>
    <mergeCell ref="B8:C8"/>
    <mergeCell ref="B26:E26"/>
  </mergeCells>
  <conditionalFormatting sqref="C11:K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K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K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K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opLeftCell="A4" zoomScale="85" zoomScaleNormal="85" workbookViewId="0">
      <selection activeCell="F33" sqref="F33:F34"/>
    </sheetView>
  </sheetViews>
  <sheetFormatPr defaultRowHeight="12.75" x14ac:dyDescent="0.2"/>
  <cols>
    <col min="1" max="1" width="9.140625" style="89"/>
    <col min="2" max="2" width="12.28515625" customWidth="1"/>
    <col min="3" max="3" width="16.85546875" customWidth="1"/>
    <col min="4" max="13" width="14.7109375" customWidth="1"/>
  </cols>
  <sheetData>
    <row r="1" spans="1:25" x14ac:dyDescent="0.2">
      <c r="A1" s="89" t="s">
        <v>177</v>
      </c>
      <c r="B1" t="s">
        <v>97</v>
      </c>
    </row>
    <row r="2" spans="1:25" x14ac:dyDescent="0.2">
      <c r="A2" s="89" t="s">
        <v>113</v>
      </c>
      <c r="B2" t="s">
        <v>175</v>
      </c>
    </row>
    <row r="4" spans="1:25" x14ac:dyDescent="0.2">
      <c r="A4" s="89" t="s">
        <v>114</v>
      </c>
      <c r="B4" t="s">
        <v>176</v>
      </c>
    </row>
    <row r="5" spans="1:25" ht="15" x14ac:dyDescent="0.2">
      <c r="A5" s="89" t="s">
        <v>220</v>
      </c>
      <c r="C5" s="97" t="s">
        <v>98</v>
      </c>
      <c r="D5" s="97" t="s">
        <v>99</v>
      </c>
      <c r="E5" s="97" t="s">
        <v>100</v>
      </c>
      <c r="F5" s="97" t="s">
        <v>101</v>
      </c>
      <c r="G5" s="97" t="s">
        <v>102</v>
      </c>
      <c r="H5" s="97" t="s">
        <v>103</v>
      </c>
      <c r="I5" s="97" t="s">
        <v>104</v>
      </c>
      <c r="J5" s="97" t="s">
        <v>105</v>
      </c>
      <c r="K5" s="97" t="s">
        <v>106</v>
      </c>
      <c r="L5" s="97" t="s">
        <v>107</v>
      </c>
      <c r="M5" s="97" t="s">
        <v>108</v>
      </c>
    </row>
    <row r="6" spans="1:25" ht="15" x14ac:dyDescent="0.2">
      <c r="B6" s="97" t="s">
        <v>109</v>
      </c>
      <c r="C6" s="2">
        <v>5.6602741680175837E-2</v>
      </c>
      <c r="D6" s="2">
        <v>4.9408356049145861E-2</v>
      </c>
      <c r="E6" s="2">
        <v>5.3412399357744382E-2</v>
      </c>
      <c r="F6" s="2">
        <v>6.1010435959099198E-2</v>
      </c>
      <c r="G6" s="2">
        <v>4.7675490085944697E-2</v>
      </c>
      <c r="H6" s="2">
        <v>5.3696644608277541E-2</v>
      </c>
      <c r="I6" s="2">
        <v>5.3454879240393563E-2</v>
      </c>
      <c r="J6" s="2">
        <v>4.7896969213794847E-2</v>
      </c>
      <c r="K6" s="2">
        <v>4.2381902785544122E-2</v>
      </c>
      <c r="L6" s="2">
        <v>8.3275877151536518E-2</v>
      </c>
      <c r="M6" s="2">
        <v>0.25166060299366128</v>
      </c>
    </row>
    <row r="7" spans="1:25" ht="15" x14ac:dyDescent="0.2">
      <c r="B7" s="97" t="s">
        <v>110</v>
      </c>
      <c r="C7" s="2">
        <v>8.3760671313229854E-2</v>
      </c>
      <c r="D7" s="2">
        <v>6.9168038362042147E-2</v>
      </c>
      <c r="E7" s="2">
        <v>6.2461005828131397E-2</v>
      </c>
      <c r="F7" s="2">
        <v>8.0751479309945515E-2</v>
      </c>
      <c r="G7" s="2">
        <v>5.7939502960748512E-2</v>
      </c>
      <c r="H7" s="2">
        <v>6.3481349915768065E-2</v>
      </c>
      <c r="I7" s="2">
        <v>6.2921876832927826E-2</v>
      </c>
      <c r="J7" s="2">
        <v>5.7255736604026899E-2</v>
      </c>
      <c r="K7" s="2">
        <v>5.4524173339893567E-2</v>
      </c>
      <c r="L7" s="2">
        <v>0.1045248086811868</v>
      </c>
      <c r="M7" s="2">
        <v>0.53516602775430688</v>
      </c>
    </row>
    <row r="8" spans="1:25" ht="15" x14ac:dyDescent="0.2">
      <c r="B8" s="97" t="s">
        <v>111</v>
      </c>
      <c r="C8" s="2">
        <v>-2.493151857558645E-2</v>
      </c>
      <c r="D8" s="2">
        <v>2.529479956069447E-2</v>
      </c>
      <c r="E8" s="2">
        <v>-1.802313639231384E-2</v>
      </c>
      <c r="F8" s="2">
        <v>7.4164707315765854E-4</v>
      </c>
      <c r="G8" s="2">
        <v>3.5367002271083909E-3</v>
      </c>
      <c r="H8" s="2">
        <v>-2.1838542381971911E-2</v>
      </c>
      <c r="I8" s="2">
        <v>-2.4583163394331749E-2</v>
      </c>
      <c r="J8" s="2">
        <v>3.458878729898585E-3</v>
      </c>
      <c r="K8" s="2">
        <v>-1.894423044880855E-4</v>
      </c>
      <c r="L8" s="2">
        <v>-5.1887561880413768E-2</v>
      </c>
      <c r="M8" s="2">
        <v>-3.5002640125016027E-2</v>
      </c>
    </row>
    <row r="10" spans="1:25" ht="15" x14ac:dyDescent="0.2">
      <c r="A10" s="89" t="s">
        <v>115</v>
      </c>
      <c r="B10" s="98" t="s">
        <v>178</v>
      </c>
    </row>
    <row r="12" spans="1:25" x14ac:dyDescent="0.2">
      <c r="A12" s="89" t="s">
        <v>116</v>
      </c>
      <c r="B12" t="s">
        <v>192</v>
      </c>
    </row>
    <row r="13" spans="1:25" ht="15" x14ac:dyDescent="0.2">
      <c r="B13" s="97" t="s">
        <v>179</v>
      </c>
      <c r="C13" s="97" t="s">
        <v>180</v>
      </c>
      <c r="D13" s="97" t="s">
        <v>98</v>
      </c>
      <c r="E13" s="97" t="s">
        <v>99</v>
      </c>
      <c r="F13" s="97" t="s">
        <v>100</v>
      </c>
      <c r="G13" s="97" t="s">
        <v>101</v>
      </c>
      <c r="H13" s="97" t="s">
        <v>102</v>
      </c>
      <c r="I13" s="97" t="s">
        <v>103</v>
      </c>
      <c r="J13" s="97" t="s">
        <v>104</v>
      </c>
      <c r="K13" s="97" t="s">
        <v>105</v>
      </c>
      <c r="L13" s="97" t="s">
        <v>106</v>
      </c>
      <c r="M13" s="97" t="s">
        <v>107</v>
      </c>
      <c r="N13" s="97" t="s">
        <v>108</v>
      </c>
      <c r="O13" s="97" t="s">
        <v>181</v>
      </c>
      <c r="P13" s="97" t="s">
        <v>182</v>
      </c>
      <c r="Q13" s="97" t="s">
        <v>183</v>
      </c>
      <c r="R13" s="97" t="s">
        <v>184</v>
      </c>
      <c r="S13" s="97" t="s">
        <v>185</v>
      </c>
      <c r="T13" s="97" t="s">
        <v>186</v>
      </c>
      <c r="U13" s="97" t="s">
        <v>187</v>
      </c>
      <c r="V13" s="97" t="s">
        <v>188</v>
      </c>
      <c r="W13" s="97" t="s">
        <v>189</v>
      </c>
      <c r="X13" s="97" t="s">
        <v>190</v>
      </c>
      <c r="Y13" s="97" t="s">
        <v>191</v>
      </c>
    </row>
    <row r="14" spans="1:25" x14ac:dyDescent="0.2">
      <c r="B14" t="s">
        <v>49</v>
      </c>
      <c r="C14">
        <v>33.4</v>
      </c>
      <c r="D14">
        <v>34.6</v>
      </c>
      <c r="E14">
        <v>30.514008029999999</v>
      </c>
    </row>
    <row r="15" spans="1:25" x14ac:dyDescent="0.2">
      <c r="B15" t="s">
        <v>50</v>
      </c>
      <c r="C15">
        <v>36.200000000000003</v>
      </c>
      <c r="D15">
        <v>35.5</v>
      </c>
      <c r="E15">
        <v>34.790464999999998</v>
      </c>
    </row>
    <row r="16" spans="1:25" x14ac:dyDescent="0.2">
      <c r="B16" t="s">
        <v>51</v>
      </c>
      <c r="C16">
        <v>38.4</v>
      </c>
      <c r="D16">
        <v>36</v>
      </c>
      <c r="E16">
        <v>36.429779979999999</v>
      </c>
    </row>
    <row r="17" spans="2:25" x14ac:dyDescent="0.2">
      <c r="B17" t="s">
        <v>52</v>
      </c>
      <c r="C17">
        <v>40.799999999999997</v>
      </c>
      <c r="D17">
        <v>38.9</v>
      </c>
      <c r="E17">
        <v>38.970657119999998</v>
      </c>
    </row>
    <row r="18" spans="2:25" x14ac:dyDescent="0.2">
      <c r="B18" t="s">
        <v>53</v>
      </c>
      <c r="C18">
        <v>39.799999999999997</v>
      </c>
      <c r="D18">
        <v>38.200000000000003</v>
      </c>
      <c r="E18">
        <v>43.449643340000002</v>
      </c>
    </row>
    <row r="19" spans="2:25" x14ac:dyDescent="0.2">
      <c r="B19" t="s">
        <v>54</v>
      </c>
      <c r="C19">
        <v>43.1</v>
      </c>
      <c r="D19">
        <v>41.2</v>
      </c>
      <c r="E19">
        <v>39.11820341</v>
      </c>
    </row>
    <row r="20" spans="2:25" x14ac:dyDescent="0.2">
      <c r="B20" t="s">
        <v>55</v>
      </c>
      <c r="C20">
        <v>43</v>
      </c>
      <c r="D20">
        <v>43.1</v>
      </c>
      <c r="E20">
        <v>42.390873020000001</v>
      </c>
      <c r="F20">
        <v>41.859865797590047</v>
      </c>
      <c r="G20">
        <v>46.174636738234582</v>
      </c>
      <c r="H20">
        <v>45.785809713647993</v>
      </c>
      <c r="I20">
        <v>41.556962785940229</v>
      </c>
      <c r="J20">
        <v>41.202999729498607</v>
      </c>
      <c r="K20">
        <v>45.773003129517583</v>
      </c>
      <c r="L20">
        <v>45.749975810213307</v>
      </c>
      <c r="M20">
        <v>40.867729561168368</v>
      </c>
      <c r="N20">
        <v>41.719148839242727</v>
      </c>
      <c r="O20" s="2">
        <v>2.3255813953488862E-3</v>
      </c>
      <c r="P20" s="2">
        <v>-1.416574372093027E-2</v>
      </c>
      <c r="Q20" s="2">
        <v>-2.651474889325478E-2</v>
      </c>
      <c r="R20" s="2">
        <v>7.3828761354292505E-2</v>
      </c>
      <c r="S20" s="2">
        <v>6.4786272410418455E-2</v>
      </c>
      <c r="T20" s="2">
        <v>-3.3559004978134237E-2</v>
      </c>
      <c r="U20" s="2">
        <v>-4.1790703965148501E-2</v>
      </c>
      <c r="V20" s="2">
        <v>6.4488444872501827E-2</v>
      </c>
      <c r="W20" s="2">
        <v>6.3952925818914208E-2</v>
      </c>
      <c r="X20" s="2">
        <v>-4.9587684623991317E-2</v>
      </c>
      <c r="Y20" s="2">
        <v>-2.978723629668056E-2</v>
      </c>
    </row>
    <row r="21" spans="2:25" x14ac:dyDescent="0.2">
      <c r="B21" t="s">
        <v>56</v>
      </c>
      <c r="C21">
        <v>47.2</v>
      </c>
      <c r="D21">
        <v>45.8</v>
      </c>
      <c r="E21">
        <v>51.689646340000003</v>
      </c>
      <c r="F21">
        <v>48.425684758871213</v>
      </c>
      <c r="G21">
        <v>47.293014239734703</v>
      </c>
      <c r="H21">
        <v>48.573471227210199</v>
      </c>
      <c r="I21">
        <v>47.896897686034109</v>
      </c>
      <c r="J21">
        <v>46.589968920722413</v>
      </c>
      <c r="K21">
        <v>48.181178202811147</v>
      </c>
      <c r="L21">
        <v>47.242780475193378</v>
      </c>
      <c r="M21">
        <v>36.467451783745389</v>
      </c>
      <c r="N21">
        <v>-30.612873899342961</v>
      </c>
      <c r="O21" s="2">
        <v>-2.9661016949152689E-2</v>
      </c>
      <c r="P21" s="2">
        <v>9.511962584745759E-2</v>
      </c>
      <c r="Q21" s="2">
        <v>2.596789743371208E-2</v>
      </c>
      <c r="R21" s="2">
        <v>1.9706406723454251E-3</v>
      </c>
      <c r="S21" s="2">
        <v>2.9098966678182011E-2</v>
      </c>
      <c r="T21" s="2">
        <v>1.476478148377347E-2</v>
      </c>
      <c r="U21" s="2">
        <v>-1.292438727283041E-2</v>
      </c>
      <c r="V21" s="2">
        <v>2.0787673788371871E-2</v>
      </c>
      <c r="W21" s="2">
        <v>9.0636599985960409E-4</v>
      </c>
      <c r="X21" s="2">
        <v>-0.22738449610708919</v>
      </c>
      <c r="Y21" s="2">
        <v>-1.648577836850486</v>
      </c>
    </row>
    <row r="22" spans="2:25" x14ac:dyDescent="0.2">
      <c r="B22" t="s">
        <v>57</v>
      </c>
      <c r="C22">
        <v>46.1</v>
      </c>
      <c r="D22">
        <v>43.9</v>
      </c>
      <c r="E22">
        <v>53.217184340000003</v>
      </c>
      <c r="F22">
        <v>48.593398836407417</v>
      </c>
      <c r="G22">
        <v>45.238209544354078</v>
      </c>
      <c r="H22">
        <v>46.475254850804468</v>
      </c>
      <c r="I22">
        <v>48.389523464104649</v>
      </c>
      <c r="J22">
        <v>48.156205406434488</v>
      </c>
      <c r="K22">
        <v>46.781255602384107</v>
      </c>
      <c r="L22">
        <v>46.50977873458951</v>
      </c>
      <c r="M22">
        <v>47.146206093851752</v>
      </c>
      <c r="N22">
        <v>48.728550835572207</v>
      </c>
      <c r="O22" s="2">
        <v>-4.7722342733188761E-2</v>
      </c>
      <c r="P22" s="2">
        <v>0.1543857774403472</v>
      </c>
      <c r="Q22" s="2">
        <v>5.408674265525848E-2</v>
      </c>
      <c r="R22" s="2">
        <v>-1.8693936131147889E-2</v>
      </c>
      <c r="S22" s="2">
        <v>8.140018455628395E-3</v>
      </c>
      <c r="T22" s="2">
        <v>4.9664283386217978E-2</v>
      </c>
      <c r="U22" s="2">
        <v>4.4603154152591973E-2</v>
      </c>
      <c r="V22" s="2">
        <v>1.477777879358144E-2</v>
      </c>
      <c r="W22" s="2">
        <v>8.8889096440241122E-3</v>
      </c>
      <c r="X22" s="2">
        <v>2.2694275354701698E-2</v>
      </c>
      <c r="Y22" s="2">
        <v>5.7018456303084657E-2</v>
      </c>
    </row>
    <row r="23" spans="2:25" x14ac:dyDescent="0.2">
      <c r="B23" t="s">
        <v>58</v>
      </c>
      <c r="C23">
        <v>49.5</v>
      </c>
      <c r="D23">
        <v>48.5</v>
      </c>
      <c r="E23">
        <v>49.646865439999999</v>
      </c>
      <c r="F23">
        <v>45.546775281209278</v>
      </c>
      <c r="G23">
        <v>50.437626724137893</v>
      </c>
      <c r="H23">
        <v>49.447202408930117</v>
      </c>
      <c r="I23">
        <v>45.445229623507522</v>
      </c>
      <c r="J23">
        <v>45.545074192005352</v>
      </c>
      <c r="K23">
        <v>49.110928943977683</v>
      </c>
      <c r="L23">
        <v>49.436380094862628</v>
      </c>
      <c r="M23">
        <v>45.597448891075679</v>
      </c>
      <c r="N23">
        <v>44.953204810507799</v>
      </c>
      <c r="O23" s="2">
        <v>-2.0202020202020221E-2</v>
      </c>
      <c r="P23" s="2">
        <v>2.9669785858585929E-3</v>
      </c>
      <c r="Q23" s="2">
        <v>-7.9863125632135823E-2</v>
      </c>
      <c r="R23" s="2">
        <v>1.894195402298782E-2</v>
      </c>
      <c r="S23" s="2">
        <v>-1.066618001411612E-3</v>
      </c>
      <c r="T23" s="2">
        <v>-8.1914553060454143E-2</v>
      </c>
      <c r="U23" s="2">
        <v>-7.9897491070598958E-2</v>
      </c>
      <c r="V23" s="2">
        <v>-7.8600213337842728E-3</v>
      </c>
      <c r="W23" s="2">
        <v>-1.2852506088357749E-3</v>
      </c>
      <c r="X23" s="2">
        <v>-7.8839416341905499E-2</v>
      </c>
      <c r="Y23" s="2">
        <v>-9.1854448272569722E-2</v>
      </c>
    </row>
    <row r="24" spans="2:25" x14ac:dyDescent="0.2">
      <c r="B24" t="s">
        <v>59</v>
      </c>
      <c r="C24">
        <v>43.5</v>
      </c>
      <c r="D24">
        <v>45.2</v>
      </c>
      <c r="E24">
        <v>44.216092160000002</v>
      </c>
      <c r="F24">
        <v>43.08537871072528</v>
      </c>
      <c r="G24">
        <v>46.594400813036771</v>
      </c>
      <c r="H24">
        <v>45.895955010675848</v>
      </c>
      <c r="I24">
        <v>43.059863529317283</v>
      </c>
      <c r="J24">
        <v>43.084950837695239</v>
      </c>
      <c r="K24">
        <v>45.893188397075548</v>
      </c>
      <c r="L24">
        <v>45.738372645876282</v>
      </c>
      <c r="M24">
        <v>43.918701499778827</v>
      </c>
      <c r="N24">
        <v>44.255175058056842</v>
      </c>
      <c r="O24" s="2">
        <v>3.9080459770115088E-2</v>
      </c>
      <c r="P24" s="2">
        <v>1.6461888735632261E-2</v>
      </c>
      <c r="Q24" s="2">
        <v>-9.5315238913729061E-3</v>
      </c>
      <c r="R24" s="2">
        <v>7.113565087440854E-2</v>
      </c>
      <c r="S24" s="2">
        <v>5.5079425532778233E-2</v>
      </c>
      <c r="T24" s="2">
        <v>-1.011807978580959E-2</v>
      </c>
      <c r="U24" s="2">
        <v>-9.5413600529830056E-3</v>
      </c>
      <c r="V24" s="2">
        <v>5.5015825220127601E-2</v>
      </c>
      <c r="W24" s="2">
        <v>5.1456842433937437E-2</v>
      </c>
      <c r="X24" s="2">
        <v>9.6253218339961144E-3</v>
      </c>
      <c r="Y24" s="2">
        <v>1.736034616222604E-2</v>
      </c>
    </row>
    <row r="25" spans="2:25" x14ac:dyDescent="0.2">
      <c r="B25" t="s">
        <v>60</v>
      </c>
      <c r="C25">
        <v>33.700000000000003</v>
      </c>
      <c r="D25">
        <v>27.7</v>
      </c>
      <c r="E25">
        <v>34.850103840000003</v>
      </c>
      <c r="F25">
        <v>37.411606892278158</v>
      </c>
      <c r="G25">
        <v>28.795892933012301</v>
      </c>
      <c r="H25">
        <v>31.106472619378831</v>
      </c>
      <c r="I25">
        <v>37.496827156615453</v>
      </c>
      <c r="J25">
        <v>37.413174516098117</v>
      </c>
      <c r="K25">
        <v>31.2428406804869</v>
      </c>
      <c r="L25">
        <v>32.400805367909953</v>
      </c>
      <c r="M25">
        <v>37.218305640840427</v>
      </c>
      <c r="N25">
        <v>37.011916133331077</v>
      </c>
      <c r="O25" s="2">
        <v>-0.1780415430267063</v>
      </c>
      <c r="P25" s="2">
        <v>3.4127710385756682E-2</v>
      </c>
      <c r="Q25" s="2">
        <v>0.11013670303496</v>
      </c>
      <c r="R25" s="2">
        <v>-0.1455224648957775</v>
      </c>
      <c r="S25" s="2">
        <v>-7.6959269454634049E-2</v>
      </c>
      <c r="T25" s="2">
        <v>0.1126654942615859</v>
      </c>
      <c r="U25" s="2">
        <v>0.11018322006225879</v>
      </c>
      <c r="V25" s="2">
        <v>-7.29127394514274E-2</v>
      </c>
      <c r="W25" s="2">
        <v>-3.8551769498221027E-2</v>
      </c>
      <c r="X25" s="2">
        <v>0.1044007608557989</v>
      </c>
      <c r="Y25" s="2">
        <v>9.8276443125551172E-2</v>
      </c>
    </row>
    <row r="26" spans="2:25" x14ac:dyDescent="0.2">
      <c r="B26" t="s">
        <v>62</v>
      </c>
      <c r="C26">
        <v>47.4</v>
      </c>
      <c r="D26">
        <v>47.3</v>
      </c>
      <c r="E26">
        <v>46.196181500000002</v>
      </c>
      <c r="F26">
        <v>44.228083376939843</v>
      </c>
      <c r="G26">
        <v>47.376899774666171</v>
      </c>
      <c r="H26">
        <v>46.536471195818848</v>
      </c>
      <c r="I26">
        <v>44.176091261708429</v>
      </c>
      <c r="J26">
        <v>44.18826409129948</v>
      </c>
      <c r="K26">
        <v>46.408575362999891</v>
      </c>
      <c r="L26">
        <v>46.010718233151138</v>
      </c>
      <c r="M26">
        <v>44.828540374106929</v>
      </c>
      <c r="N26">
        <v>45.493664716611143</v>
      </c>
      <c r="O26" s="2">
        <v>-2.1097046413502958E-3</v>
      </c>
      <c r="P26" s="2">
        <v>-2.5397014767932439E-2</v>
      </c>
      <c r="Q26" s="2">
        <v>-6.6918072216459179E-2</v>
      </c>
      <c r="R26" s="2">
        <v>-4.8734652603010797E-4</v>
      </c>
      <c r="S26" s="2">
        <v>-1.821790726120576E-2</v>
      </c>
      <c r="T26" s="2">
        <v>-6.801495228463228E-2</v>
      </c>
      <c r="U26" s="2">
        <v>-6.7758141533766247E-2</v>
      </c>
      <c r="V26" s="2">
        <v>-2.091613158228078E-2</v>
      </c>
      <c r="W26" s="2">
        <v>-2.9309741916642599E-2</v>
      </c>
      <c r="X26" s="2">
        <v>-5.425020307791284E-2</v>
      </c>
      <c r="Y26" s="2">
        <v>-4.021804395335149E-2</v>
      </c>
    </row>
    <row r="27" spans="2:25" x14ac:dyDescent="0.2">
      <c r="B27" t="s">
        <v>63</v>
      </c>
      <c r="C27">
        <v>50.3</v>
      </c>
      <c r="D27">
        <v>46</v>
      </c>
      <c r="E27">
        <v>52.25241707</v>
      </c>
      <c r="F27">
        <v>48.67095361688822</v>
      </c>
      <c r="G27">
        <v>46.302401479371262</v>
      </c>
      <c r="H27">
        <v>47.752103589374869</v>
      </c>
      <c r="I27">
        <v>48.554199732304532</v>
      </c>
      <c r="J27">
        <v>48.477030442353588</v>
      </c>
      <c r="K27">
        <v>47.736633353084507</v>
      </c>
      <c r="L27">
        <v>47.475965262947923</v>
      </c>
      <c r="M27">
        <v>47.574371811417137</v>
      </c>
      <c r="N27">
        <v>47.235595040330573</v>
      </c>
      <c r="O27" s="2">
        <v>-8.5487077534791234E-2</v>
      </c>
      <c r="P27" s="2">
        <v>3.8815448707753442E-2</v>
      </c>
      <c r="Q27" s="2">
        <v>-3.2386608014150609E-2</v>
      </c>
      <c r="R27" s="2">
        <v>-7.9475119694408347E-2</v>
      </c>
      <c r="S27" s="2">
        <v>-5.065400418737831E-2</v>
      </c>
      <c r="T27" s="2">
        <v>-3.4707758801102773E-2</v>
      </c>
      <c r="U27" s="2">
        <v>-3.6241939515833099E-2</v>
      </c>
      <c r="V27" s="2">
        <v>-5.0961563556967897E-2</v>
      </c>
      <c r="W27" s="2">
        <v>-5.6143831750538387E-2</v>
      </c>
      <c r="X27" s="2">
        <v>-5.4187439136836213E-2</v>
      </c>
      <c r="Y27" s="2">
        <v>-6.0922563810525521E-2</v>
      </c>
    </row>
    <row r="28" spans="2:25" x14ac:dyDescent="0.2">
      <c r="B28" t="s">
        <v>64</v>
      </c>
      <c r="C28">
        <v>60.1</v>
      </c>
      <c r="D28">
        <v>50.4</v>
      </c>
      <c r="E28">
        <v>59.664986890000002</v>
      </c>
      <c r="F28">
        <v>54.19355574470417</v>
      </c>
      <c r="G28">
        <v>50.667093566042453</v>
      </c>
      <c r="H28">
        <v>53.165599785382781</v>
      </c>
      <c r="I28">
        <v>54.022761243036463</v>
      </c>
      <c r="J28">
        <v>54.016632910947393</v>
      </c>
      <c r="K28">
        <v>53.116045333004443</v>
      </c>
      <c r="L28">
        <v>52.813328934007117</v>
      </c>
      <c r="M28">
        <v>50.244185955692927</v>
      </c>
      <c r="N28">
        <v>42.424628915826297</v>
      </c>
      <c r="O28" s="2">
        <v>-0.16139767054908491</v>
      </c>
      <c r="P28" s="2">
        <v>-7.2381549084858943E-3</v>
      </c>
      <c r="Q28" s="2">
        <v>-9.8276942683790836E-2</v>
      </c>
      <c r="R28" s="2">
        <v>-0.15695351803589941</v>
      </c>
      <c r="S28" s="2">
        <v>-0.11538103518497871</v>
      </c>
      <c r="T28" s="2">
        <v>-0.1011187813138693</v>
      </c>
      <c r="U28" s="2">
        <v>-0.10122075023382041</v>
      </c>
      <c r="V28" s="2">
        <v>-0.1162055685024219</v>
      </c>
      <c r="W28" s="2">
        <v>-0.1212424470215122</v>
      </c>
      <c r="X28" s="2">
        <v>-0.163990250321249</v>
      </c>
      <c r="Y28" s="2">
        <v>-0.29409935248209151</v>
      </c>
    </row>
    <row r="29" spans="2:25" x14ac:dyDescent="0.2">
      <c r="B29" t="s">
        <v>80</v>
      </c>
      <c r="C29">
        <v>57.5</v>
      </c>
      <c r="D29">
        <v>57.5</v>
      </c>
      <c r="E29">
        <v>63.5608</v>
      </c>
      <c r="F29">
        <v>59.250393674535069</v>
      </c>
      <c r="G29">
        <v>59.977960624562428</v>
      </c>
      <c r="H29">
        <v>60.798854562337823</v>
      </c>
      <c r="I29">
        <v>59.250228511813759</v>
      </c>
      <c r="J29">
        <v>59.247289561286003</v>
      </c>
      <c r="K29">
        <v>60.6650268395978</v>
      </c>
      <c r="L29">
        <v>60.494654231869958</v>
      </c>
      <c r="M29">
        <v>61.398438122058351</v>
      </c>
      <c r="N29">
        <v>67.763249904102622</v>
      </c>
      <c r="O29" s="2">
        <v>0</v>
      </c>
      <c r="P29" s="2">
        <v>0.1054052173913043</v>
      </c>
      <c r="Q29" s="2">
        <v>3.0441629122349049E-2</v>
      </c>
      <c r="R29" s="2">
        <v>4.3094967383694449E-2</v>
      </c>
      <c r="S29" s="2">
        <v>5.7371383692831568E-2</v>
      </c>
      <c r="T29" s="2">
        <v>3.0438756727195759E-2</v>
      </c>
      <c r="U29" s="2">
        <v>3.038764454410425E-2</v>
      </c>
      <c r="V29" s="2">
        <v>5.5043945036483473E-2</v>
      </c>
      <c r="W29" s="2">
        <v>5.2080943162955862E-2</v>
      </c>
      <c r="X29" s="2">
        <v>6.7798923861884353E-2</v>
      </c>
      <c r="Y29" s="2">
        <v>0.17849130268004559</v>
      </c>
    </row>
    <row r="30" spans="2:25" x14ac:dyDescent="0.2">
      <c r="I30" s="186" t="s">
        <v>204</v>
      </c>
      <c r="J30" s="186"/>
      <c r="K30" s="186"/>
      <c r="L30">
        <f>$L$29/(1+W30)</f>
        <v>61.321320113714428</v>
      </c>
      <c r="S30" s="186" t="s">
        <v>196</v>
      </c>
      <c r="T30" s="186"/>
      <c r="U30" s="186"/>
      <c r="V30" s="186"/>
      <c r="W30" s="1">
        <f>AVERAGE(W20:W28)</f>
        <v>-1.3480888544334957E-2</v>
      </c>
    </row>
    <row r="31" spans="2:25" x14ac:dyDescent="0.2">
      <c r="I31" s="183" t="s">
        <v>205</v>
      </c>
      <c r="J31" s="183"/>
      <c r="K31" s="183"/>
      <c r="L31">
        <f>$L$29/(1+W31)</f>
        <v>60.572505080903902</v>
      </c>
      <c r="S31" s="183" t="s">
        <v>198</v>
      </c>
      <c r="T31" s="183"/>
      <c r="U31" s="183"/>
      <c r="V31" s="183"/>
      <c r="W31" s="1">
        <f>MEDIAN(W20:W28)</f>
        <v>-1.2852506088357749E-3</v>
      </c>
    </row>
    <row r="32" spans="2:25" x14ac:dyDescent="0.2">
      <c r="I32" s="187" t="s">
        <v>206</v>
      </c>
      <c r="J32" s="187"/>
      <c r="K32" s="187"/>
      <c r="L32">
        <f>$L$29/(1+W32)</f>
        <v>64.445961652293875</v>
      </c>
      <c r="S32" s="187" t="s">
        <v>197</v>
      </c>
      <c r="T32" s="187"/>
      <c r="U32" s="187"/>
      <c r="V32" s="187"/>
      <c r="W32" s="1">
        <f>AVERAGE(W25:W28)</f>
        <v>-6.1311947546728557E-2</v>
      </c>
    </row>
    <row r="33" spans="1:23" x14ac:dyDescent="0.2">
      <c r="I33" s="188" t="s">
        <v>207</v>
      </c>
      <c r="J33" s="188"/>
      <c r="K33" s="188"/>
      <c r="L33">
        <f>$L$29/(1+W33)</f>
        <v>63.501301179505894</v>
      </c>
      <c r="S33" s="188" t="s">
        <v>199</v>
      </c>
      <c r="T33" s="188"/>
      <c r="U33" s="188"/>
      <c r="V33" s="188"/>
      <c r="W33" s="1">
        <f>MEDIAN(W25:W28)</f>
        <v>-4.734780062437971E-2</v>
      </c>
    </row>
    <row r="34" spans="1:23" x14ac:dyDescent="0.2">
      <c r="I34" s="189" t="s">
        <v>208</v>
      </c>
      <c r="J34" s="189"/>
      <c r="K34" s="189"/>
      <c r="L34">
        <f>$L$29/(1+W34)</f>
        <v>59.031617074798071</v>
      </c>
      <c r="S34" s="189" t="s">
        <v>200</v>
      </c>
      <c r="T34" s="189"/>
      <c r="U34" s="189"/>
      <c r="V34" s="189"/>
      <c r="W34" s="1">
        <f>AVERAGE(W20:W24)</f>
        <v>2.4783958657579919E-2</v>
      </c>
    </row>
    <row r="35" spans="1:23" x14ac:dyDescent="0.2">
      <c r="I35" s="185" t="s">
        <v>209</v>
      </c>
      <c r="J35" s="185"/>
      <c r="K35" s="185"/>
      <c r="L35">
        <f t="shared" ref="L35" si="0">$L$29/(1+W35)</f>
        <v>59.961660450024041</v>
      </c>
      <c r="S35" s="185" t="s">
        <v>201</v>
      </c>
      <c r="T35" s="185"/>
      <c r="U35" s="185"/>
      <c r="V35" s="185"/>
      <c r="W35" s="1">
        <f>MEDIAN(W20:W24)</f>
        <v>8.8889096440241122E-3</v>
      </c>
    </row>
    <row r="38" spans="1:23" x14ac:dyDescent="0.2">
      <c r="A38" s="89" t="s">
        <v>117</v>
      </c>
      <c r="B38" t="s">
        <v>195</v>
      </c>
    </row>
    <row r="39" spans="1:23" x14ac:dyDescent="0.2">
      <c r="B39" t="s">
        <v>210</v>
      </c>
    </row>
    <row r="40" spans="1:23" x14ac:dyDescent="0.2">
      <c r="B40" t="s">
        <v>211</v>
      </c>
    </row>
    <row r="45" spans="1:23" x14ac:dyDescent="0.2">
      <c r="A45" s="89" t="s">
        <v>119</v>
      </c>
      <c r="B45" s="105" t="s">
        <v>212</v>
      </c>
      <c r="C45" s="104">
        <f>L31</f>
        <v>60.572505080903902</v>
      </c>
      <c r="D45" t="s">
        <v>216</v>
      </c>
    </row>
    <row r="46" spans="1:23" x14ac:dyDescent="0.2">
      <c r="C46" t="s">
        <v>213</v>
      </c>
    </row>
    <row r="47" spans="1:23" x14ac:dyDescent="0.2">
      <c r="B47" s="184" t="s">
        <v>214</v>
      </c>
      <c r="C47" s="184"/>
      <c r="D47" s="2">
        <f>C45/D29-1</f>
        <v>5.3434870972241866E-2</v>
      </c>
    </row>
    <row r="48" spans="1:23" x14ac:dyDescent="0.2">
      <c r="B48" s="174" t="s">
        <v>215</v>
      </c>
      <c r="C48" s="174"/>
      <c r="D48" s="2">
        <f>'1. Data &amp; Confidence Interval'!P26</f>
        <v>4.8843187660668308E-2</v>
      </c>
    </row>
  </sheetData>
  <mergeCells count="14">
    <mergeCell ref="B47:C47"/>
    <mergeCell ref="B48:C48"/>
    <mergeCell ref="S35:V35"/>
    <mergeCell ref="I30:K30"/>
    <mergeCell ref="I31:K31"/>
    <mergeCell ref="I32:K32"/>
    <mergeCell ref="I33:K33"/>
    <mergeCell ref="I34:K34"/>
    <mergeCell ref="I35:K35"/>
    <mergeCell ref="S30:V30"/>
    <mergeCell ref="S31:V31"/>
    <mergeCell ref="S32:V32"/>
    <mergeCell ref="S33:V33"/>
    <mergeCell ref="S34:V34"/>
  </mergeCells>
  <conditionalFormatting sqref="W30:W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</conditionalFormatting>
  <conditionalFormatting sqref="C7:K7">
    <cfRule type="colorScale" priority="1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2021-11-04T15:06:23Z</dcterms:modified>
</cp:coreProperties>
</file>