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da.research\personal\rxia\Improved Alpha Models\BSX\"/>
    </mc:Choice>
  </mc:AlternateContent>
  <xr:revisionPtr revIDLastSave="0" documentId="13_ncr:1_{A39BB448-E298-40CD-87A2-1BE0C3D33615}" xr6:coauthVersionLast="46" xr6:coauthVersionMax="46" xr10:uidLastSave="{00000000-0000-0000-0000-000000000000}"/>
  <bookViews>
    <workbookView xWindow="-28920" yWindow="-120" windowWidth="29040" windowHeight="15840" activeTab="3" xr2:uid="{07F493FA-2681-4851-A3A3-ECE0336C6524}"/>
  </bookViews>
  <sheets>
    <sheet name="1. Data &amp; Confidence Interval" sheetId="1" r:id="rId1"/>
    <sheet name="2. Past Proj &amp; Candidate Model" sheetId="2" r:id="rId2"/>
    <sheet name="3. Improved Alpha Model" sheetId="3" r:id="rId3"/>
    <sheet name="4. Resul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3" i="4" l="1"/>
  <c r="G32" i="4"/>
  <c r="C45" i="4"/>
  <c r="E33" i="4"/>
  <c r="E32" i="4"/>
  <c r="E31" i="4"/>
  <c r="E30" i="4"/>
  <c r="F33" i="4"/>
  <c r="F32" i="4"/>
  <c r="E35" i="4"/>
  <c r="E34" i="4"/>
  <c r="P35" i="4"/>
  <c r="P34" i="4"/>
  <c r="P33" i="4"/>
  <c r="P32" i="4"/>
  <c r="P31" i="4"/>
  <c r="P30" i="4"/>
  <c r="P15" i="4"/>
  <c r="P16" i="4"/>
  <c r="P17" i="4"/>
  <c r="P18" i="4"/>
  <c r="P19" i="4"/>
  <c r="P20" i="4"/>
  <c r="P14" i="4"/>
  <c r="I40" i="2" l="1"/>
  <c r="J20" i="2"/>
  <c r="AK24" i="1"/>
  <c r="AK25" i="1"/>
  <c r="AJ10" i="1" l="1"/>
  <c r="D47" i="4"/>
  <c r="R23" i="2"/>
  <c r="J23" i="2"/>
  <c r="N25" i="1"/>
  <c r="K25" i="1"/>
  <c r="N24" i="1"/>
  <c r="K24" i="1"/>
  <c r="AK26" i="1"/>
  <c r="F17" i="1"/>
  <c r="E17" i="1"/>
  <c r="D17" i="1"/>
  <c r="C17" i="1"/>
  <c r="B17" i="1"/>
  <c r="E18" i="1"/>
  <c r="D18" i="1"/>
  <c r="C18" i="1"/>
  <c r="B18" i="1"/>
  <c r="F18" i="1"/>
  <c r="AK21" i="1"/>
  <c r="AK20" i="1"/>
  <c r="AK23" i="1"/>
  <c r="AK22" i="1"/>
  <c r="N23" i="1"/>
  <c r="K22" i="1"/>
  <c r="N21" i="1"/>
  <c r="K20" i="1"/>
  <c r="P23" i="2" l="1"/>
  <c r="J37" i="2"/>
  <c r="J40" i="2"/>
  <c r="C2" i="4"/>
  <c r="L23" i="2"/>
  <c r="M23" i="2"/>
  <c r="N23" i="2"/>
  <c r="O23" i="2"/>
  <c r="K23" i="2"/>
  <c r="Q23" i="2" s="1"/>
  <c r="H18" i="1"/>
  <c r="G18" i="1"/>
  <c r="L22" i="1"/>
  <c r="O23" i="1" s="1"/>
  <c r="M22" i="1"/>
  <c r="N22" i="1"/>
  <c r="O22" i="1"/>
  <c r="P22" i="1"/>
  <c r="L20" i="1"/>
  <c r="M20" i="1"/>
  <c r="N20" i="1"/>
  <c r="O20" i="1"/>
  <c r="O21" i="1" s="1"/>
  <c r="P20" i="1"/>
  <c r="R21" i="1" s="1"/>
  <c r="J39" i="2"/>
  <c r="J38" i="2"/>
  <c r="G38" i="2"/>
  <c r="R24" i="2"/>
  <c r="Q22" i="1"/>
  <c r="R22" i="1"/>
  <c r="Q20" i="1"/>
  <c r="R20" i="1"/>
  <c r="H37" i="2"/>
  <c r="H38" i="2"/>
  <c r="G42" i="2"/>
  <c r="G41" i="2"/>
  <c r="G40" i="2"/>
  <c r="G39" i="2"/>
  <c r="G37" i="2"/>
  <c r="G35" i="2"/>
  <c r="G34" i="2"/>
  <c r="E39" i="2"/>
  <c r="E38" i="2"/>
  <c r="E37" i="2"/>
  <c r="E36" i="2"/>
  <c r="E35" i="2"/>
  <c r="E34" i="2"/>
  <c r="E33" i="2"/>
  <c r="E32" i="2"/>
  <c r="E31" i="2"/>
  <c r="E30" i="2"/>
  <c r="E29" i="2"/>
  <c r="AJ18" i="1"/>
  <c r="AK18" i="1"/>
  <c r="J17" i="1"/>
  <c r="I17" i="1"/>
  <c r="H17" i="1"/>
  <c r="G17" i="1"/>
  <c r="R17" i="1"/>
  <c r="Q17" i="1"/>
  <c r="P17" i="1"/>
  <c r="O17" i="1"/>
  <c r="M18" i="1"/>
  <c r="L18" i="1"/>
  <c r="J18" i="1"/>
  <c r="I18" i="1"/>
  <c r="S20" i="1"/>
  <c r="S22" i="1"/>
  <c r="P21" i="1" l="1"/>
  <c r="S21" i="1"/>
  <c r="S23" i="1"/>
  <c r="Q23" i="1"/>
  <c r="P23" i="1"/>
  <c r="Q21" i="1"/>
  <c r="R23" i="1"/>
  <c r="J24" i="2"/>
  <c r="A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J13" i="1"/>
  <c r="Q29" i="2"/>
  <c r="P29" i="2"/>
  <c r="O29" i="2"/>
  <c r="N29" i="2"/>
  <c r="M29" i="2"/>
  <c r="L29" i="2"/>
  <c r="K29" i="2"/>
  <c r="R29" i="2"/>
  <c r="A28" i="2"/>
  <c r="B28" i="2"/>
  <c r="C28" i="2"/>
  <c r="D28" i="2"/>
  <c r="E28" i="2"/>
  <c r="F28" i="2"/>
  <c r="G28" i="2"/>
  <c r="H28" i="2"/>
  <c r="I28" i="2"/>
  <c r="J28" i="2"/>
  <c r="R28" i="2"/>
  <c r="Q24" i="2"/>
  <c r="P24" i="2"/>
  <c r="O24" i="2"/>
  <c r="N24" i="2"/>
  <c r="M24" i="2"/>
  <c r="L24" i="2"/>
  <c r="K24" i="2"/>
  <c r="I24" i="2"/>
  <c r="H24" i="2"/>
  <c r="G24" i="2"/>
  <c r="F24" i="2"/>
  <c r="E24" i="2"/>
  <c r="AJ17" i="1"/>
  <c r="AI17" i="1"/>
  <c r="AH17" i="1"/>
  <c r="AG17" i="1"/>
  <c r="AF17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AI18" i="1"/>
  <c r="AH18" i="1"/>
  <c r="S18" i="1"/>
  <c r="R18" i="1"/>
  <c r="Q18" i="1"/>
  <c r="P18" i="1"/>
  <c r="O18" i="1"/>
  <c r="N18" i="1"/>
  <c r="K18" i="1"/>
  <c r="L17" i="1"/>
  <c r="K17" i="1"/>
  <c r="J29" i="2"/>
  <c r="I29" i="2"/>
  <c r="H29" i="2"/>
  <c r="G29" i="2"/>
  <c r="F29" i="2"/>
  <c r="A30" i="2"/>
  <c r="B30" i="2"/>
  <c r="C30" i="2"/>
  <c r="D30" i="2"/>
  <c r="A31" i="2"/>
  <c r="B31" i="2"/>
  <c r="C31" i="2"/>
  <c r="D31" i="2"/>
  <c r="A32" i="2"/>
  <c r="B32" i="2"/>
  <c r="C32" i="2"/>
  <c r="D32" i="2"/>
  <c r="A33" i="2"/>
  <c r="B33" i="2"/>
  <c r="C33" i="2"/>
  <c r="D33" i="2"/>
  <c r="A34" i="2"/>
  <c r="B34" i="2"/>
  <c r="C34" i="2"/>
  <c r="D34" i="2"/>
  <c r="A35" i="2"/>
  <c r="B35" i="2"/>
  <c r="C35" i="2"/>
  <c r="D35" i="2"/>
  <c r="A36" i="2"/>
  <c r="B36" i="2"/>
  <c r="C36" i="2"/>
  <c r="D36" i="2"/>
  <c r="A37" i="2"/>
  <c r="B37" i="2"/>
  <c r="C37" i="2"/>
  <c r="D37" i="2"/>
  <c r="A38" i="2"/>
  <c r="B38" i="2"/>
  <c r="C38" i="2"/>
  <c r="D38" i="2"/>
  <c r="A39" i="2"/>
  <c r="B39" i="2"/>
  <c r="C39" i="2"/>
  <c r="D39" i="2"/>
  <c r="A40" i="2"/>
  <c r="B40" i="2"/>
  <c r="C40" i="2"/>
  <c r="D40" i="2"/>
  <c r="A41" i="2"/>
  <c r="B41" i="2"/>
  <c r="C41" i="2"/>
  <c r="D41" i="2"/>
  <c r="A42" i="2"/>
  <c r="B42" i="2"/>
  <c r="C42" i="2"/>
  <c r="D42" i="2"/>
  <c r="B29" i="2"/>
  <c r="C29" i="2"/>
  <c r="D29" i="2"/>
  <c r="A29" i="2"/>
  <c r="I23" i="3"/>
  <c r="E23" i="3"/>
  <c r="AE17" i="1"/>
  <c r="AD17" i="1"/>
  <c r="AC17" i="1"/>
  <c r="AB17" i="1"/>
  <c r="J10" i="1" l="1"/>
  <c r="C7" i="1"/>
  <c r="U21" i="1"/>
  <c r="T21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AC18" i="1"/>
  <c r="AB18" i="1"/>
  <c r="AA18" i="1"/>
  <c r="Z18" i="1"/>
  <c r="Y18" i="1"/>
  <c r="X18" i="1"/>
  <c r="W18" i="1"/>
  <c r="V18" i="1"/>
  <c r="U18" i="1"/>
  <c r="T18" i="1"/>
  <c r="M17" i="1"/>
  <c r="N17" i="1"/>
  <c r="S17" i="1"/>
  <c r="T17" i="1"/>
  <c r="U17" i="1"/>
  <c r="V17" i="1"/>
  <c r="W17" i="1"/>
  <c r="X17" i="1"/>
  <c r="Y17" i="1"/>
  <c r="Z17" i="1"/>
  <c r="AA17" i="1"/>
  <c r="F19" i="3"/>
  <c r="D48" i="4" l="1"/>
  <c r="U23" i="1"/>
  <c r="T23" i="1"/>
  <c r="B7" i="1"/>
  <c r="V21" i="1"/>
  <c r="R42" i="2"/>
  <c r="R41" i="2"/>
  <c r="R40" i="2"/>
  <c r="R39" i="2"/>
  <c r="R37" i="2"/>
  <c r="R36" i="2"/>
  <c r="R35" i="2"/>
  <c r="R34" i="2"/>
  <c r="R33" i="2"/>
  <c r="R32" i="2"/>
  <c r="R31" i="2"/>
  <c r="R30" i="2"/>
  <c r="M2" i="1" l="1"/>
  <c r="N2" i="1"/>
  <c r="N3" i="1"/>
  <c r="M3" i="1"/>
  <c r="H19" i="3"/>
  <c r="O2" i="1" l="1"/>
  <c r="P2" i="1" s="1"/>
  <c r="O3" i="1"/>
  <c r="P3" i="1" s="1"/>
  <c r="R38" i="2"/>
  <c r="K30" i="2"/>
  <c r="L30" i="2"/>
  <c r="M30" i="2"/>
  <c r="N30" i="2"/>
  <c r="O30" i="2"/>
  <c r="P30" i="2"/>
  <c r="Q30" i="2"/>
  <c r="K31" i="2"/>
  <c r="L31" i="2"/>
  <c r="M31" i="2"/>
  <c r="N31" i="2"/>
  <c r="O31" i="2"/>
  <c r="P31" i="2"/>
  <c r="Q31" i="2"/>
  <c r="K32" i="2"/>
  <c r="L32" i="2"/>
  <c r="M32" i="2"/>
  <c r="N32" i="2"/>
  <c r="O32" i="2"/>
  <c r="P32" i="2"/>
  <c r="Q32" i="2"/>
  <c r="K33" i="2"/>
  <c r="L33" i="2"/>
  <c r="M33" i="2"/>
  <c r="N33" i="2"/>
  <c r="O33" i="2"/>
  <c r="P33" i="2"/>
  <c r="Q33" i="2"/>
  <c r="K34" i="2"/>
  <c r="L34" i="2"/>
  <c r="M34" i="2"/>
  <c r="N34" i="2"/>
  <c r="O34" i="2"/>
  <c r="P34" i="2"/>
  <c r="Q34" i="2"/>
  <c r="K35" i="2"/>
  <c r="L35" i="2"/>
  <c r="M35" i="2"/>
  <c r="N35" i="2"/>
  <c r="O35" i="2"/>
  <c r="P35" i="2"/>
  <c r="Q35" i="2"/>
  <c r="K36" i="2"/>
  <c r="L36" i="2"/>
  <c r="M36" i="2"/>
  <c r="N36" i="2"/>
  <c r="O36" i="2"/>
  <c r="P36" i="2"/>
  <c r="Q36" i="2"/>
  <c r="K37" i="2"/>
  <c r="L37" i="2"/>
  <c r="M37" i="2"/>
  <c r="N37" i="2"/>
  <c r="O37" i="2"/>
  <c r="P37" i="2"/>
  <c r="Q37" i="2"/>
  <c r="K38" i="2"/>
  <c r="L38" i="2"/>
  <c r="M38" i="2"/>
  <c r="N38" i="2"/>
  <c r="O38" i="2"/>
  <c r="P38" i="2"/>
  <c r="Q38" i="2"/>
  <c r="K39" i="2"/>
  <c r="L39" i="2"/>
  <c r="M39" i="2"/>
  <c r="N39" i="2"/>
  <c r="O39" i="2"/>
  <c r="P39" i="2"/>
  <c r="Q39" i="2"/>
  <c r="K40" i="2"/>
  <c r="L40" i="2"/>
  <c r="M40" i="2"/>
  <c r="N40" i="2"/>
  <c r="O40" i="2"/>
  <c r="P40" i="2"/>
  <c r="Q40" i="2"/>
  <c r="K41" i="2"/>
  <c r="L41" i="2"/>
  <c r="M41" i="2"/>
  <c r="N41" i="2"/>
  <c r="O41" i="2"/>
  <c r="P41" i="2"/>
  <c r="Q41" i="2"/>
  <c r="K42" i="2"/>
  <c r="L42" i="2"/>
  <c r="M42" i="2"/>
  <c r="N42" i="2"/>
  <c r="O42" i="2"/>
  <c r="P42" i="2"/>
  <c r="Q42" i="2"/>
  <c r="E42" i="2"/>
  <c r="F30" i="2"/>
  <c r="G30" i="2"/>
  <c r="H30" i="2"/>
  <c r="I30" i="2"/>
  <c r="J30" i="2"/>
  <c r="F31" i="2"/>
  <c r="G31" i="2"/>
  <c r="H31" i="2"/>
  <c r="I31" i="2"/>
  <c r="J31" i="2"/>
  <c r="F32" i="2"/>
  <c r="G32" i="2"/>
  <c r="H32" i="2"/>
  <c r="I32" i="2"/>
  <c r="J32" i="2"/>
  <c r="F33" i="2"/>
  <c r="G33" i="2"/>
  <c r="H33" i="2"/>
  <c r="I33" i="2"/>
  <c r="J33" i="2"/>
  <c r="F34" i="2"/>
  <c r="H34" i="2"/>
  <c r="I34" i="2"/>
  <c r="J34" i="2"/>
  <c r="F35" i="2"/>
  <c r="H35" i="2"/>
  <c r="I35" i="2"/>
  <c r="J35" i="2"/>
  <c r="F36" i="2"/>
  <c r="G36" i="2"/>
  <c r="H36" i="2"/>
  <c r="I36" i="2"/>
  <c r="J36" i="2"/>
  <c r="F37" i="2"/>
  <c r="I37" i="2"/>
  <c r="F38" i="2"/>
  <c r="I38" i="2"/>
  <c r="F39" i="2"/>
  <c r="H39" i="2"/>
  <c r="I39" i="2"/>
  <c r="E40" i="2"/>
  <c r="F40" i="2"/>
  <c r="H40" i="2"/>
  <c r="I45" i="2"/>
  <c r="E41" i="2"/>
  <c r="F41" i="2"/>
  <c r="H41" i="2"/>
  <c r="I41" i="2"/>
  <c r="J41" i="2"/>
  <c r="F42" i="2"/>
  <c r="H42" i="2"/>
  <c r="I42" i="2"/>
  <c r="J42" i="2"/>
  <c r="G43" i="2" l="1" a="1"/>
  <c r="G43" i="2" s="1"/>
  <c r="E44" i="2" a="1"/>
  <c r="E44" i="2" s="1"/>
  <c r="E43" i="2" a="1"/>
  <c r="E43" i="2" s="1"/>
  <c r="Q44" i="2" a="1"/>
  <c r="Q44" i="2" s="1"/>
  <c r="Q43" i="2" a="1"/>
  <c r="Q43" i="2" s="1"/>
  <c r="H43" i="2" a="1"/>
  <c r="H43" i="2" s="1"/>
  <c r="H44" i="2" a="1"/>
  <c r="H44" i="2" s="1"/>
  <c r="R43" i="2" a="1"/>
  <c r="R43" i="2" s="1"/>
  <c r="R44" i="2" a="1"/>
  <c r="R44" i="2" s="1"/>
  <c r="G44" i="2" a="1"/>
  <c r="G44" i="2" s="1"/>
  <c r="P44" i="2" a="1"/>
  <c r="P44" i="2" s="1"/>
  <c r="P43" i="2" a="1"/>
  <c r="P43" i="2" s="1"/>
  <c r="O44" i="2" a="1"/>
  <c r="O44" i="2" s="1"/>
  <c r="O43" i="2" a="1"/>
  <c r="O43" i="2" s="1"/>
  <c r="N44" i="2" a="1"/>
  <c r="N44" i="2" s="1"/>
  <c r="N43" i="2" a="1"/>
  <c r="N43" i="2" s="1"/>
  <c r="F44" i="2" a="1"/>
  <c r="F44" i="2" s="1"/>
  <c r="F43" i="2" a="1"/>
  <c r="F43" i="2" s="1"/>
  <c r="M44" i="2" a="1"/>
  <c r="M44" i="2" s="1"/>
  <c r="M43" i="2" a="1"/>
  <c r="M43" i="2" s="1"/>
  <c r="J43" i="2" a="1"/>
  <c r="J43" i="2" s="1"/>
  <c r="J44" i="2" a="1"/>
  <c r="J44" i="2" s="1"/>
  <c r="L44" i="2" a="1"/>
  <c r="L44" i="2" s="1"/>
  <c r="L43" i="2" a="1"/>
  <c r="L43" i="2" s="1"/>
  <c r="I43" i="2" a="1"/>
  <c r="I43" i="2" s="1"/>
  <c r="I44" i="2" a="1"/>
  <c r="I44" i="2" s="1"/>
  <c r="K43" i="2" a="1"/>
  <c r="K43" i="2" s="1"/>
  <c r="K44" i="2" a="1"/>
  <c r="K44" i="2" s="1"/>
  <c r="AH21" i="1"/>
  <c r="W21" i="1"/>
  <c r="AI21" i="1"/>
  <c r="AE21" i="1"/>
  <c r="AI23" i="1"/>
  <c r="X21" i="1"/>
  <c r="Y21" i="1"/>
  <c r="Z21" i="1"/>
  <c r="Y23" i="1"/>
  <c r="X23" i="1"/>
  <c r="AD23" i="1"/>
  <c r="W23" i="1"/>
  <c r="V23" i="1"/>
  <c r="AE23" i="1"/>
  <c r="AA23" i="1"/>
  <c r="AC23" i="1"/>
  <c r="Z23" i="1"/>
  <c r="AB23" i="1"/>
  <c r="AH23" i="1"/>
  <c r="AG23" i="1"/>
  <c r="AF23" i="1"/>
  <c r="AG21" i="1"/>
  <c r="AA21" i="1"/>
  <c r="AB21" i="1"/>
  <c r="AC21" i="1"/>
  <c r="AD21" i="1"/>
  <c r="AF21" i="1"/>
  <c r="O4" i="1" l="1"/>
  <c r="P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<sst xmlns="http://schemas.openxmlformats.org/spreadsheetml/2006/main" count="312" uniqueCount="175">
  <si>
    <t>Consensus</t>
  </si>
  <si>
    <t>VA Actual</t>
  </si>
  <si>
    <t>YoY Growth</t>
  </si>
  <si>
    <t>Q2</t>
  </si>
  <si>
    <t>Q3</t>
  </si>
  <si>
    <t>Q4</t>
  </si>
  <si>
    <t>DATA</t>
  </si>
  <si>
    <t>Beat (1 Yes, 0 No)</t>
  </si>
  <si>
    <t>Avg Beat</t>
  </si>
  <si>
    <t>Beat Moving Avg (4)</t>
  </si>
  <si>
    <t>Avg Beat MA</t>
  </si>
  <si>
    <t>Beat Pct</t>
  </si>
  <si>
    <t>Beat Pct MA (4)</t>
  </si>
  <si>
    <t>Median Beat Pct</t>
  </si>
  <si>
    <t>Median Beat Pct MA</t>
  </si>
  <si>
    <t>Avg YoY Growth</t>
  </si>
  <si>
    <t>Avg Last 4 Qtr YoY GR</t>
  </si>
  <si>
    <t>US Pre-Q Revenue</t>
  </si>
  <si>
    <t>US to Total Proportion Revenue</t>
  </si>
  <si>
    <t>QTR</t>
  </si>
  <si>
    <t>Q1</t>
  </si>
  <si>
    <t>Q3E</t>
  </si>
  <si>
    <t>Q4E</t>
  </si>
  <si>
    <t>Avg Last 4 Qtr US to Total Proportion Revenue</t>
  </si>
  <si>
    <t>QTR Distributions</t>
  </si>
  <si>
    <t>Avg Positive Beat</t>
  </si>
  <si>
    <t>Avg Negative Beat</t>
  </si>
  <si>
    <t>Q3 Quarter Distribution Avg</t>
  </si>
  <si>
    <t>Q3 Quarter Distribution Standard Deviation</t>
  </si>
  <si>
    <t>Median Positive Beat</t>
  </si>
  <si>
    <t>Median Negative Beat</t>
  </si>
  <si>
    <t>Lower</t>
  </si>
  <si>
    <t>Upper</t>
  </si>
  <si>
    <t>GUIDANCE</t>
  </si>
  <si>
    <t>PARAMETERS</t>
  </si>
  <si>
    <t>Confidance Interval</t>
  </si>
  <si>
    <t>USA Guidance</t>
  </si>
  <si>
    <t>Lower Confidence Interval</t>
  </si>
  <si>
    <t>Upper Confidence Interval</t>
  </si>
  <si>
    <t>Avg</t>
  </si>
  <si>
    <t>Total</t>
  </si>
  <si>
    <t>Expected YoY Growth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</si>
  <si>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</si>
  <si>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</si>
  <si>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</si>
  <si>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</si>
  <si>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</si>
  <si>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</si>
  <si>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</si>
  <si>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</si>
  <si>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</si>
  <si>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</si>
  <si>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</si>
  <si>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</si>
  <si>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</si>
  <si>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</si>
  <si>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TICKER</t>
  </si>
  <si>
    <t>REVENUE_TYPE</t>
  </si>
  <si>
    <t>CutDate</t>
  </si>
  <si>
    <t>SS_12_12 Estimate</t>
  </si>
  <si>
    <t>SS_NO_LR</t>
  </si>
  <si>
    <t>NSS_12_12_Estimate</t>
  </si>
  <si>
    <t>Average</t>
  </si>
  <si>
    <t>SS_12_12 Estimate_GR</t>
  </si>
  <si>
    <t>SS_NO_LR_GR</t>
  </si>
  <si>
    <t>NSS_12_12_Estimate_GR</t>
  </si>
  <si>
    <t>Average_GR</t>
  </si>
  <si>
    <t>AVG_AVG_GR</t>
  </si>
  <si>
    <t>Calendar Year</t>
  </si>
  <si>
    <t>SS 12_03 LR</t>
  </si>
  <si>
    <t>NSS 12_03 LR</t>
  </si>
  <si>
    <t>2021Q3</t>
  </si>
  <si>
    <t>Reported Revenue</t>
  </si>
  <si>
    <t>SS 12_03_LR_GR</t>
  </si>
  <si>
    <t>NSS 12_03_LR_GR</t>
  </si>
  <si>
    <t>CORRELATION W/O 2021Q3</t>
  </si>
  <si>
    <t>Historical Projections</t>
  </si>
  <si>
    <t>Projection Accuracy</t>
  </si>
  <si>
    <t>Absolute Average</t>
  </si>
  <si>
    <t>Standard Deviation from 0</t>
  </si>
  <si>
    <t>NOTE:</t>
  </si>
  <si>
    <t>The Best Linear Regression Models (Linear Models) comes either from best correlations or Best (lowest) Accuracy or Best (Standard Deviation) Accuracy</t>
  </si>
  <si>
    <t>From Step 2. We input the historical values for the projection methodology and add a layered forward chaining linear models regression</t>
  </si>
  <si>
    <t>2021Q2 Results</t>
  </si>
  <si>
    <t>Notes</t>
  </si>
  <si>
    <t>CONSENSUS</t>
  </si>
  <si>
    <t>PROJ</t>
  </si>
  <si>
    <t>LR</t>
  </si>
  <si>
    <t>LR_CON</t>
  </si>
  <si>
    <t>LR_CON_PROJ</t>
  </si>
  <si>
    <t>RIDGE</t>
  </si>
  <si>
    <t>LASSO</t>
  </si>
  <si>
    <t>RIDGE_CON</t>
  </si>
  <si>
    <t>LASSO_CON</t>
  </si>
  <si>
    <t>QUAD</t>
  </si>
  <si>
    <t>CUBIC</t>
  </si>
  <si>
    <t>AVG</t>
  </si>
  <si>
    <t>STD</t>
  </si>
  <si>
    <t>MEDIAN</t>
  </si>
  <si>
    <t>1.</t>
  </si>
  <si>
    <t>2.</t>
  </si>
  <si>
    <t>3.</t>
  </si>
  <si>
    <t>4.</t>
  </si>
  <si>
    <t>5.</t>
  </si>
  <si>
    <t>STEP</t>
  </si>
  <si>
    <t>6.</t>
  </si>
  <si>
    <t>Red highlights are the best performing for that dataset</t>
  </si>
  <si>
    <t>2. Past Proj &amp; Candidate Model'!A45:B45</t>
  </si>
  <si>
    <t>7.</t>
  </si>
  <si>
    <t>The predicted 2021Q2 Revenue is then:</t>
  </si>
  <si>
    <t>Acuuracy:</t>
  </si>
  <si>
    <t>off</t>
  </si>
  <si>
    <t xml:space="preserve">This methodology scored: </t>
  </si>
  <si>
    <t>Finding the best methodology in the previous quarter. (Do not put 2021Q3 data point into the pandas data frame in LR_adj.py)</t>
  </si>
  <si>
    <t xml:space="preserve">To explain each methodology result. </t>
  </si>
  <si>
    <t>1. Consensus is the benchmark. It is how well consensus performs in the same out of sample</t>
  </si>
  <si>
    <t>2. Projection is the inputted data series from past projection</t>
  </si>
  <si>
    <t>3. LR is the linear regression with the projection as X values and Reported Revenue as Y</t>
  </si>
  <si>
    <t>4. LR_CON is the linear regression that doesn't uses the projection and takes consensus values and run the regression with it. Example on the right</t>
  </si>
  <si>
    <t>5. LR_CON_PROJ is the multi-linear regression that takes both consensus and projection as X and outputs predicted reported revenue</t>
  </si>
  <si>
    <t>6. Ridge is a modified linear regression method. This takes projection as X and outputs predicted reported revenue as Y</t>
  </si>
  <si>
    <t>6. Lasso is an another modified linear regression method. This takes projection as X and outputs predicted reported revenue as Y</t>
  </si>
  <si>
    <t>7. Ridge_CON is the multi-linear regression with the projection and consensus as X and outputs predicted reported revenue as Y</t>
  </si>
  <si>
    <t>8. LASSO_CON is the multi-linear regression with the projection and consensus as X and outputs predicted reported revenue as Y</t>
  </si>
  <si>
    <t>Overall Result</t>
  </si>
  <si>
    <t>Step</t>
  </si>
  <si>
    <t>DATE</t>
  </si>
  <si>
    <t>REVENUE</t>
  </si>
  <si>
    <t>acc_CON</t>
  </si>
  <si>
    <t>acc_PROJ</t>
  </si>
  <si>
    <t>acc_LR</t>
  </si>
  <si>
    <t>acc_LR_CON</t>
  </si>
  <si>
    <t>acc_LR_CON_PROJ</t>
  </si>
  <si>
    <t>acc_RIDGE</t>
  </si>
  <si>
    <t>acc_LASSO</t>
  </si>
  <si>
    <t>acc_RIDGE_CON</t>
  </si>
  <si>
    <t>acc_LASSO_CON</t>
  </si>
  <si>
    <t>acc_QUAD</t>
  </si>
  <si>
    <t>acc_CUBIC</t>
  </si>
  <si>
    <t>Improved Alpha Model</t>
  </si>
  <si>
    <t>This is the same average and standard deviation calculation found in Cell</t>
  </si>
  <si>
    <t>Median value is there to show how often the back-test overshoots or undershoots the results. Negative means it overshoots.</t>
  </si>
  <si>
    <t>Average Undershoot or Overshoot:</t>
  </si>
  <si>
    <t>Average Undershoot</t>
  </si>
  <si>
    <t>Median Undershoot or Overshoot:</t>
  </si>
  <si>
    <t>Median Undershoot</t>
  </si>
  <si>
    <t>Average Overshoot</t>
  </si>
  <si>
    <t>Median Overshoot</t>
  </si>
  <si>
    <r>
      <t xml:space="preserve">You can find the script in this directory </t>
    </r>
    <r>
      <rPr>
        <b/>
        <sz val="10"/>
        <color theme="1"/>
        <rFont val="Arial"/>
        <family val="2"/>
      </rPr>
      <t>C:\dev\da.research\personal\rxia\LR_Adj.py</t>
    </r>
  </si>
  <si>
    <t>Scaling Average Undershoot or Overshoot:</t>
  </si>
  <si>
    <t>Scaling Median Undershoot or Overshoot:</t>
  </si>
  <si>
    <t>Scaling Average Undershoot</t>
  </si>
  <si>
    <t>Scaling Median Undershoot</t>
  </si>
  <si>
    <t>Scaling Average Overshoot</t>
  </si>
  <si>
    <t>Scaling Median Overshoot</t>
  </si>
  <si>
    <t>Depending on the belief, if you think the results currently is larger than what it is currently is then we can use the miss value at average overshoot</t>
  </si>
  <si>
    <t xml:space="preserve">However the average or median undershoot or overshoot is unbiased. </t>
  </si>
  <si>
    <t>Use:</t>
  </si>
  <si>
    <t>Total Revenue</t>
  </si>
  <si>
    <t>Input those as projection into python script in step 3.</t>
  </si>
  <si>
    <t>Consensus average scored:</t>
  </si>
  <si>
    <t>Since:</t>
  </si>
  <si>
    <t>Methodology performed the best at in 2021Q2, we use it to predict Q3</t>
  </si>
  <si>
    <t>These average are biased because it compares it to the relative the inputted reported revenue. Since we do not have 2021Q3, I input consensus in there. See Step 4 for the regression summary.</t>
  </si>
  <si>
    <t>Historical Average Beat\Miss:</t>
  </si>
  <si>
    <t>Improved Alpha Implied Beat/Miss:</t>
  </si>
  <si>
    <t>For Sheet 3 Regression Removed 2020Q2</t>
  </si>
  <si>
    <r>
      <t xml:space="preserve">I store the output for each ticker in </t>
    </r>
    <r>
      <rPr>
        <b/>
        <sz val="10"/>
        <color theme="1"/>
        <rFont val="Arial"/>
        <family val="2"/>
      </rPr>
      <t>C:\dev\da.research\personal\rxia\Improved Alpha Models</t>
    </r>
  </si>
  <si>
    <t>2017Q4</t>
  </si>
  <si>
    <t>which is not inline with the confidence interval in step1. If this value is unsatisfactory, use confidence interval.</t>
  </si>
  <si>
    <t>BSX_CARDIO</t>
  </si>
  <si>
    <t>Cardiovascular</t>
  </si>
  <si>
    <t>2017Q2</t>
  </si>
  <si>
    <t>2017Q3</t>
  </si>
  <si>
    <t>NSS_LR RM Q23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</si>
</sst>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0.0000"/>
    <numFmt numFmtId="166" formatCode="0.0"/>
    <numFmt numFmtId="167" formatCode="0.00000"/>
  </numFmts>
  <fonts count="10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1">
    <xf numFmtId="0" fontId="0" fillId="0" borderId="0" xfId="0"/>
    <xf numFmtId="10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0" fillId="0" borderId="1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8" borderId="1" xfId="0" applyFill="1" applyBorder="1"/>
    <xf numFmtId="164" fontId="0" fillId="0" borderId="0" xfId="1" applyNumberFormat="1" applyFont="1" applyBorder="1"/>
    <xf numFmtId="0" fontId="0" fillId="8" borderId="11" xfId="0" applyFill="1" applyBorder="1"/>
    <xf numFmtId="0" fontId="0" fillId="3" borderId="6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164" fontId="0" fillId="0" borderId="11" xfId="0" applyNumberFormat="1" applyBorder="1"/>
    <xf numFmtId="164" fontId="0" fillId="0" borderId="12" xfId="0" applyNumberFormat="1" applyBorder="1"/>
    <xf numFmtId="0" fontId="0" fillId="11" borderId="1" xfId="0" applyFill="1" applyBorder="1"/>
    <xf numFmtId="9" fontId="0" fillId="0" borderId="1" xfId="0" applyNumberFormat="1" applyBorder="1"/>
    <xf numFmtId="0" fontId="0" fillId="8" borderId="14" xfId="0" applyFill="1" applyBorder="1"/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0" borderId="9" xfId="1" applyNumberFormat="1" applyFont="1" applyBorder="1"/>
    <xf numFmtId="0" fontId="0" fillId="8" borderId="2" xfId="0" applyFill="1" applyBorder="1"/>
    <xf numFmtId="164" fontId="4" fillId="0" borderId="4" xfId="1" applyNumberFormat="1" applyFont="1" applyFill="1" applyBorder="1"/>
    <xf numFmtId="164" fontId="0" fillId="0" borderId="4" xfId="0" applyNumberFormat="1" applyBorder="1"/>
    <xf numFmtId="10" fontId="0" fillId="0" borderId="4" xfId="0" applyNumberFormat="1" applyFill="1" applyBorder="1"/>
    <xf numFmtId="0" fontId="0" fillId="8" borderId="10" xfId="0" applyFill="1" applyBorder="1"/>
    <xf numFmtId="164" fontId="0" fillId="0" borderId="7" xfId="0" applyNumberFormat="1" applyBorder="1"/>
    <xf numFmtId="10" fontId="0" fillId="0" borderId="12" xfId="1" applyNumberFormat="1" applyFont="1" applyBorder="1"/>
    <xf numFmtId="0" fontId="0" fillId="2" borderId="6" xfId="0" applyFill="1" applyBorder="1"/>
    <xf numFmtId="0" fontId="0" fillId="2" borderId="7" xfId="0" applyFill="1" applyBorder="1"/>
    <xf numFmtId="0" fontId="0" fillId="0" borderId="0" xfId="0" applyFill="1" applyAlignment="1">
      <alignment horizontal="center" vertical="center"/>
    </xf>
    <xf numFmtId="0" fontId="0" fillId="14" borderId="4" xfId="0" applyFill="1" applyBorder="1"/>
    <xf numFmtId="0" fontId="5" fillId="3" borderId="8" xfId="0" applyFont="1" applyFill="1" applyBorder="1"/>
    <xf numFmtId="0" fontId="6" fillId="5" borderId="10" xfId="0" applyFont="1" applyFill="1" applyBorder="1" applyAlignment="1">
      <alignment horizontal="left" vertical="center"/>
    </xf>
    <xf numFmtId="166" fontId="6" fillId="0" borderId="11" xfId="0" applyNumberFormat="1" applyFont="1" applyFill="1" applyBorder="1" applyAlignment="1">
      <alignment horizontal="center" vertical="center"/>
    </xf>
    <xf numFmtId="166" fontId="6" fillId="0" borderId="12" xfId="0" applyNumberFormat="1" applyFont="1" applyFill="1" applyBorder="1" applyAlignment="1">
      <alignment horizontal="center" vertical="center"/>
    </xf>
    <xf numFmtId="0" fontId="7" fillId="13" borderId="0" xfId="0" applyFont="1" applyFill="1" applyBorder="1"/>
    <xf numFmtId="0" fontId="7" fillId="13" borderId="9" xfId="0" applyFont="1" applyFill="1" applyBorder="1"/>
    <xf numFmtId="0" fontId="3" fillId="12" borderId="5" xfId="0" applyFont="1" applyFill="1" applyBorder="1"/>
    <xf numFmtId="0" fontId="0" fillId="10" borderId="8" xfId="0" applyFill="1" applyBorder="1"/>
    <xf numFmtId="0" fontId="0" fillId="10" borderId="0" xfId="0" applyFill="1" applyBorder="1"/>
    <xf numFmtId="0" fontId="0" fillId="0" borderId="3" xfId="0" applyBorder="1"/>
    <xf numFmtId="166" fontId="0" fillId="0" borderId="0" xfId="0" applyNumberFormat="1" applyBorder="1"/>
    <xf numFmtId="166" fontId="0" fillId="0" borderId="11" xfId="0" applyNumberFormat="1" applyBorder="1"/>
    <xf numFmtId="166" fontId="0" fillId="0" borderId="14" xfId="0" applyNumberFormat="1" applyBorder="1"/>
    <xf numFmtId="166" fontId="0" fillId="0" borderId="15" xfId="0" applyNumberFormat="1" applyBorder="1"/>
    <xf numFmtId="2" fontId="0" fillId="0" borderId="0" xfId="0" applyNumberFormat="1"/>
    <xf numFmtId="49" fontId="0" fillId="0" borderId="0" xfId="0" applyNumberFormat="1"/>
    <xf numFmtId="0" fontId="0" fillId="0" borderId="0" xfId="0" quotePrefix="1"/>
    <xf numFmtId="0" fontId="0" fillId="9" borderId="0" xfId="0" applyFill="1"/>
    <xf numFmtId="0" fontId="0" fillId="0" borderId="14" xfId="0" applyFill="1" applyBorder="1"/>
    <xf numFmtId="0" fontId="8" fillId="0" borderId="1" xfId="0" applyFont="1" applyBorder="1" applyAlignment="1">
      <alignment horizontal="center" vertical="top"/>
    </xf>
    <xf numFmtId="0" fontId="9" fillId="0" borderId="0" xfId="0" applyFont="1" applyFill="1" applyBorder="1" applyAlignment="1">
      <alignment horizontal="left" vertical="top"/>
    </xf>
    <xf numFmtId="10" fontId="4" fillId="0" borderId="5" xfId="1" applyNumberFormat="1" applyFont="1" applyBorder="1"/>
    <xf numFmtId="10" fontId="4" fillId="0" borderId="10" xfId="1" applyNumberFormat="1" applyFont="1" applyBorder="1"/>
    <xf numFmtId="10" fontId="2" fillId="0" borderId="5" xfId="1" applyNumberFormat="1" applyFont="1" applyBorder="1"/>
    <xf numFmtId="10" fontId="2" fillId="0" borderId="10" xfId="1" applyNumberFormat="1" applyFont="1" applyBorder="1"/>
    <xf numFmtId="0" fontId="0" fillId="0" borderId="0" xfId="0" applyAlignment="1">
      <alignment horizontal="right"/>
    </xf>
    <xf numFmtId="0" fontId="0" fillId="17" borderId="0" xfId="0" applyFill="1"/>
    <xf numFmtId="0" fontId="0" fillId="3" borderId="0" xfId="0" applyFill="1"/>
    <xf numFmtId="166" fontId="0" fillId="2" borderId="0" xfId="0" applyNumberFormat="1" applyFill="1"/>
    <xf numFmtId="164" fontId="0" fillId="0" borderId="1" xfId="0" applyNumberFormat="1" applyBorder="1"/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166" fontId="0" fillId="0" borderId="10" xfId="0" applyNumberFormat="1" applyBorder="1"/>
    <xf numFmtId="166" fontId="0" fillId="0" borderId="5" xfId="0" applyNumberFormat="1" applyBorder="1"/>
    <xf numFmtId="164" fontId="0" fillId="0" borderId="3" xfId="1" applyNumberFormat="1" applyFont="1" applyFill="1" applyBorder="1" applyAlignment="1">
      <alignment horizontal="center"/>
    </xf>
    <xf numFmtId="164" fontId="0" fillId="0" borderId="2" xfId="1" applyNumberFormat="1" applyFont="1" applyFill="1" applyBorder="1" applyAlignment="1">
      <alignment horizontal="center"/>
    </xf>
    <xf numFmtId="164" fontId="0" fillId="0" borderId="4" xfId="1" applyNumberFormat="1" applyFont="1" applyFill="1" applyBorder="1" applyAlignment="1">
      <alignment horizontal="center"/>
    </xf>
    <xf numFmtId="164" fontId="0" fillId="0" borderId="13" xfId="1" applyNumberFormat="1" applyFont="1" applyFill="1" applyBorder="1" applyAlignment="1">
      <alignment horizontal="center"/>
    </xf>
    <xf numFmtId="9" fontId="0" fillId="0" borderId="0" xfId="0" applyNumberFormat="1"/>
    <xf numFmtId="0" fontId="0" fillId="3" borderId="14" xfId="0" applyFill="1" applyBorder="1"/>
    <xf numFmtId="164" fontId="0" fillId="3" borderId="0" xfId="1" applyNumberFormat="1" applyFont="1" applyFill="1" applyBorder="1"/>
    <xf numFmtId="164" fontId="0" fillId="3" borderId="8" xfId="1" applyNumberFormat="1" applyFont="1" applyFill="1" applyBorder="1"/>
    <xf numFmtId="0" fontId="0" fillId="3" borderId="9" xfId="0" applyFill="1" applyBorder="1"/>
    <xf numFmtId="164" fontId="0" fillId="3" borderId="9" xfId="1" applyNumberFormat="1" applyFont="1" applyFill="1" applyBorder="1"/>
    <xf numFmtId="0" fontId="0" fillId="8" borderId="0" xfId="0" applyFill="1" applyBorder="1"/>
    <xf numFmtId="0" fontId="0" fillId="8" borderId="8" xfId="0" applyFill="1" applyBorder="1"/>
    <xf numFmtId="165" fontId="0" fillId="0" borderId="0" xfId="0" applyNumberFormat="1" applyBorder="1"/>
    <xf numFmtId="0" fontId="0" fillId="10" borderId="6" xfId="0" applyFill="1" applyBorder="1" applyAlignment="1"/>
    <xf numFmtId="0" fontId="0" fillId="9" borderId="0" xfId="0" applyFill="1" applyAlignment="1"/>
    <xf numFmtId="0" fontId="0" fillId="8" borderId="0" xfId="0" applyFill="1" applyAlignment="1"/>
    <xf numFmtId="0" fontId="0" fillId="16" borderId="0" xfId="0" applyFill="1" applyAlignment="1"/>
    <xf numFmtId="0" fontId="0" fillId="2" borderId="0" xfId="0" applyFill="1" applyAlignment="1"/>
    <xf numFmtId="0" fontId="0" fillId="12" borderId="0" xfId="0" applyFill="1" applyAlignment="1"/>
    <xf numFmtId="164" fontId="0" fillId="0" borderId="15" xfId="0" applyNumberFormat="1" applyBorder="1"/>
    <xf numFmtId="164" fontId="0" fillId="0" borderId="13" xfId="0" applyNumberFormat="1" applyBorder="1"/>
    <xf numFmtId="166" fontId="0" fillId="0" borderId="0" xfId="0" applyNumberFormat="1"/>
    <xf numFmtId="167" fontId="4" fillId="0" borderId="3" xfId="0" applyNumberFormat="1" applyFont="1" applyBorder="1"/>
    <xf numFmtId="167" fontId="2" fillId="0" borderId="3" xfId="0" applyNumberFormat="1" applyFont="1" applyBorder="1"/>
    <xf numFmtId="3" fontId="0" fillId="0" borderId="0" xfId="0" applyNumberFormat="1"/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0" fillId="12" borderId="2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164" fontId="0" fillId="0" borderId="5" xfId="1" applyNumberFormat="1" applyFont="1" applyBorder="1" applyAlignment="1">
      <alignment horizontal="center"/>
    </xf>
    <xf numFmtId="164" fontId="0" fillId="0" borderId="7" xfId="1" applyNumberFormat="1" applyFont="1" applyBorder="1" applyAlignment="1">
      <alignment horizontal="center"/>
    </xf>
    <xf numFmtId="164" fontId="0" fillId="0" borderId="10" xfId="1" applyNumberFormat="1" applyFont="1" applyBorder="1" applyAlignment="1">
      <alignment horizontal="center"/>
    </xf>
    <xf numFmtId="164" fontId="0" fillId="0" borderId="12" xfId="1" applyNumberFormat="1" applyFont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15" borderId="6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1" xfId="0" applyFill="1" applyBorder="1" applyAlignment="1">
      <alignment horizontal="center"/>
    </xf>
    <xf numFmtId="0" fontId="0" fillId="15" borderId="12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9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86475-E142-46B6-ADBD-612F8B77D2A2}">
  <dimension ref="A1:AL29"/>
  <sheetViews>
    <sheetView topLeftCell="D1" zoomScale="70" zoomScaleNormal="70" workbookViewId="0">
      <selection activeCell="AK24" sqref="AK24"/>
    </sheetView>
  </sheetViews>
  <sheetFormatPr defaultRowHeight="12.75" x14ac:dyDescent="0.2"/>
  <cols>
    <col min="1" max="1" width="17.85546875" bestFit="1" customWidth="1"/>
    <col min="2" max="35" width="10.7109375" customWidth="1"/>
    <col min="36" max="36" width="17.85546875" customWidth="1"/>
    <col min="37" max="38" width="10.7109375" customWidth="1"/>
  </cols>
  <sheetData>
    <row r="1" spans="1:37" x14ac:dyDescent="0.2">
      <c r="A1" s="145" t="s">
        <v>170</v>
      </c>
      <c r="B1" s="146"/>
      <c r="C1" s="147"/>
      <c r="K1" s="154" t="s">
        <v>35</v>
      </c>
      <c r="L1" s="155"/>
      <c r="M1" s="62" t="s">
        <v>31</v>
      </c>
      <c r="N1" s="62" t="s">
        <v>32</v>
      </c>
      <c r="O1" s="4" t="s">
        <v>39</v>
      </c>
      <c r="P1" s="156" t="s">
        <v>41</v>
      </c>
      <c r="Q1" s="157"/>
    </row>
    <row r="2" spans="1:37" x14ac:dyDescent="0.2">
      <c r="A2" s="148"/>
      <c r="B2" s="149"/>
      <c r="C2" s="150"/>
      <c r="K2" s="60" t="s">
        <v>37</v>
      </c>
      <c r="L2" s="61"/>
      <c r="M2" s="63">
        <f>$B$7*($AK$25-2*$AK$26)</f>
        <v>578.50229849044911</v>
      </c>
      <c r="N2" s="63">
        <f>$B$7*($AK$25+2*$AK$26)</f>
        <v>634.53131102702071</v>
      </c>
      <c r="O2" s="65">
        <f>AVERAGE(M2:N2)</f>
        <v>606.51680475873491</v>
      </c>
      <c r="P2" s="158">
        <f>$O$2/AF14-1</f>
        <v>0.23526844146381864</v>
      </c>
      <c r="Q2" s="159"/>
    </row>
    <row r="3" spans="1:37" x14ac:dyDescent="0.2">
      <c r="A3" s="151"/>
      <c r="B3" s="152"/>
      <c r="C3" s="153"/>
      <c r="K3" s="46" t="s">
        <v>38</v>
      </c>
      <c r="L3" s="19"/>
      <c r="M3" s="64">
        <f>$C$7*($AK$25-2*$AK$26)</f>
        <v>588.30742219367721</v>
      </c>
      <c r="N3" s="64">
        <f>$C$7*($AK$25+2*$AK$26)</f>
        <v>645.28607901052965</v>
      </c>
      <c r="O3" s="66">
        <f>AVERAGE(M3:N3)</f>
        <v>616.79675060210343</v>
      </c>
      <c r="P3" s="160">
        <f>$O$3/AF15-1</f>
        <v>0.2562051947089683</v>
      </c>
      <c r="Q3" s="161"/>
    </row>
    <row r="4" spans="1:37" x14ac:dyDescent="0.2">
      <c r="A4" s="51"/>
      <c r="B4" s="51"/>
      <c r="C4" s="51"/>
      <c r="N4" s="4" t="s">
        <v>40</v>
      </c>
      <c r="O4" s="66">
        <f>AVERAGE(O2:O3)</f>
        <v>611.65677768041917</v>
      </c>
      <c r="P4" s="160">
        <f>$O$4/AF15-1</f>
        <v>0.24573681808639347</v>
      </c>
      <c r="Q4" s="161"/>
    </row>
    <row r="5" spans="1:37" x14ac:dyDescent="0.2">
      <c r="A5" s="59" t="s">
        <v>34</v>
      </c>
      <c r="B5" s="49" t="s">
        <v>31</v>
      </c>
      <c r="C5" s="50" t="s">
        <v>32</v>
      </c>
      <c r="D5" s="92"/>
      <c r="E5" s="92"/>
    </row>
    <row r="6" spans="1:37" ht="15.75" x14ac:dyDescent="0.25">
      <c r="A6" s="53" t="s">
        <v>33</v>
      </c>
      <c r="B6" s="57">
        <v>11697.34</v>
      </c>
      <c r="C6" s="58">
        <v>11895.6</v>
      </c>
    </row>
    <row r="7" spans="1:37" ht="14.25" x14ac:dyDescent="0.2">
      <c r="A7" s="54" t="s">
        <v>36</v>
      </c>
      <c r="B7" s="55">
        <f>B6*$AK$24</f>
        <v>2451.7558564122378</v>
      </c>
      <c r="C7" s="56">
        <f>C6*$AK$24</f>
        <v>2493.3110404192253</v>
      </c>
    </row>
    <row r="8" spans="1:37" x14ac:dyDescent="0.2">
      <c r="F8" s="51"/>
      <c r="G8" s="51"/>
      <c r="H8" s="51"/>
    </row>
    <row r="9" spans="1:37" x14ac:dyDescent="0.2">
      <c r="F9" s="51"/>
      <c r="G9" s="51"/>
      <c r="H9" s="51"/>
    </row>
    <row r="10" spans="1:37" x14ac:dyDescent="0.2">
      <c r="H10" s="144" t="s">
        <v>15</v>
      </c>
      <c r="I10" s="144"/>
      <c r="J10" s="36">
        <f>AVERAGE(F13:AJ13)</f>
        <v>1.1137473436802683</v>
      </c>
      <c r="AG10" s="144" t="s">
        <v>16</v>
      </c>
      <c r="AH10" s="144"/>
      <c r="AI10" s="144"/>
      <c r="AJ10" s="82">
        <f>AVERAGE(AG13:AJ13)</f>
        <v>1.2334070778627253</v>
      </c>
    </row>
    <row r="11" spans="1:37" x14ac:dyDescent="0.2">
      <c r="A11" s="52" t="s">
        <v>6</v>
      </c>
      <c r="B11" s="113">
        <v>2013</v>
      </c>
      <c r="C11" s="114"/>
      <c r="D11" s="114"/>
      <c r="E11" s="115"/>
      <c r="F11" s="131">
        <v>2014</v>
      </c>
      <c r="G11" s="131"/>
      <c r="H11" s="131"/>
      <c r="I11" s="132"/>
      <c r="J11" s="133">
        <v>2015</v>
      </c>
      <c r="K11" s="134"/>
      <c r="L11" s="134"/>
      <c r="M11" s="135"/>
      <c r="N11" s="133">
        <v>2016</v>
      </c>
      <c r="O11" s="134"/>
      <c r="P11" s="134"/>
      <c r="Q11" s="135"/>
      <c r="R11" s="136">
        <v>2017</v>
      </c>
      <c r="S11" s="137"/>
      <c r="T11" s="137"/>
      <c r="U11" s="138"/>
      <c r="V11" s="162">
        <v>2018</v>
      </c>
      <c r="W11" s="163"/>
      <c r="X11" s="163"/>
      <c r="Y11" s="164"/>
      <c r="Z11" s="139">
        <v>2019</v>
      </c>
      <c r="AA11" s="140"/>
      <c r="AB11" s="140"/>
      <c r="AC11" s="141"/>
      <c r="AD11" s="142">
        <v>2020</v>
      </c>
      <c r="AE11" s="131"/>
      <c r="AF11" s="131"/>
      <c r="AG11" s="132"/>
      <c r="AH11" s="133">
        <v>2021</v>
      </c>
      <c r="AI11" s="134"/>
      <c r="AJ11" s="134"/>
      <c r="AK11" s="135"/>
    </row>
    <row r="12" spans="1:37" x14ac:dyDescent="0.2">
      <c r="A12" s="14" t="s">
        <v>19</v>
      </c>
      <c r="B12" s="83" t="s">
        <v>20</v>
      </c>
      <c r="C12" s="84" t="s">
        <v>3</v>
      </c>
      <c r="D12" s="84" t="s">
        <v>4</v>
      </c>
      <c r="E12" s="85" t="s">
        <v>5</v>
      </c>
      <c r="F12" s="20" t="s">
        <v>20</v>
      </c>
      <c r="G12" s="20" t="s">
        <v>3</v>
      </c>
      <c r="H12" s="20" t="s">
        <v>4</v>
      </c>
      <c r="I12" s="20" t="s">
        <v>5</v>
      </c>
      <c r="J12" s="21" t="s">
        <v>20</v>
      </c>
      <c r="K12" s="22" t="s">
        <v>3</v>
      </c>
      <c r="L12" s="22" t="s">
        <v>4</v>
      </c>
      <c r="M12" s="22" t="s">
        <v>5</v>
      </c>
      <c r="N12" s="21" t="s">
        <v>20</v>
      </c>
      <c r="O12" s="22" t="s">
        <v>3</v>
      </c>
      <c r="P12" s="22" t="s">
        <v>4</v>
      </c>
      <c r="Q12" s="22" t="s">
        <v>5</v>
      </c>
      <c r="R12" s="23" t="s">
        <v>20</v>
      </c>
      <c r="S12" s="24" t="s">
        <v>3</v>
      </c>
      <c r="T12" s="24" t="s">
        <v>4</v>
      </c>
      <c r="U12" s="24" t="s">
        <v>5</v>
      </c>
      <c r="V12" s="25" t="s">
        <v>20</v>
      </c>
      <c r="W12" s="26" t="s">
        <v>3</v>
      </c>
      <c r="X12" s="26" t="s">
        <v>4</v>
      </c>
      <c r="Y12" s="26" t="s">
        <v>5</v>
      </c>
      <c r="Z12" s="27" t="s">
        <v>20</v>
      </c>
      <c r="AA12" s="28" t="s">
        <v>3</v>
      </c>
      <c r="AB12" s="28" t="s">
        <v>4</v>
      </c>
      <c r="AC12" s="28" t="s">
        <v>5</v>
      </c>
      <c r="AD12" s="29" t="s">
        <v>20</v>
      </c>
      <c r="AE12" s="20" t="s">
        <v>3</v>
      </c>
      <c r="AF12" s="20" t="s">
        <v>4</v>
      </c>
      <c r="AG12" s="20" t="s">
        <v>5</v>
      </c>
      <c r="AH12" s="38" t="s">
        <v>20</v>
      </c>
      <c r="AI12" s="39" t="s">
        <v>3</v>
      </c>
      <c r="AJ12" s="40" t="s">
        <v>21</v>
      </c>
      <c r="AK12" s="30" t="s">
        <v>22</v>
      </c>
    </row>
    <row r="13" spans="1:37" x14ac:dyDescent="0.2">
      <c r="A13" s="35" t="s">
        <v>2</v>
      </c>
      <c r="B13" s="31"/>
      <c r="C13" s="31"/>
      <c r="D13" s="31"/>
      <c r="E13" s="31"/>
      <c r="F13" s="88"/>
      <c r="G13" s="88"/>
      <c r="H13" s="89"/>
      <c r="I13" s="90"/>
      <c r="J13" s="91">
        <f>J15/F15</f>
        <v>1.1209964412811388</v>
      </c>
      <c r="K13" s="91">
        <f t="shared" ref="K13:AI13" si="0">K15/G15</f>
        <v>1.1644295302013423</v>
      </c>
      <c r="L13" s="91">
        <f t="shared" si="0"/>
        <v>1.1287128712871286</v>
      </c>
      <c r="M13" s="91">
        <f t="shared" si="0"/>
        <v>1.1159874608150471</v>
      </c>
      <c r="N13" s="91">
        <f t="shared" si="0"/>
        <v>1.1841269841269841</v>
      </c>
      <c r="O13" s="91">
        <f t="shared" si="0"/>
        <v>1.1268011527377522</v>
      </c>
      <c r="P13" s="91">
        <f t="shared" si="0"/>
        <v>1.1695906432748537</v>
      </c>
      <c r="Q13" s="91">
        <f t="shared" si="0"/>
        <v>1.1264044943820224</v>
      </c>
      <c r="R13" s="91">
        <f t="shared" si="0"/>
        <v>1.126005361930295</v>
      </c>
      <c r="S13" s="91">
        <f t="shared" si="0"/>
        <v>1.0843989769820972</v>
      </c>
      <c r="T13" s="91">
        <f t="shared" si="0"/>
        <v>1.03</v>
      </c>
      <c r="U13" s="91">
        <f t="shared" si="0"/>
        <v>1.0922693266832917</v>
      </c>
      <c r="V13" s="91">
        <f t="shared" si="0"/>
        <v>1.0142857142857142</v>
      </c>
      <c r="W13" s="91">
        <f t="shared" si="0"/>
        <v>1.0566037735849056</v>
      </c>
      <c r="X13" s="91">
        <f t="shared" si="0"/>
        <v>1.0546116504854368</v>
      </c>
      <c r="Y13" s="91">
        <f t="shared" si="0"/>
        <v>1.0342465753424657</v>
      </c>
      <c r="Z13" s="91">
        <f t="shared" si="0"/>
        <v>1.0610328638497653</v>
      </c>
      <c r="AA13" s="91">
        <f t="shared" si="0"/>
        <v>1.0558035714285714</v>
      </c>
      <c r="AB13" s="91">
        <f t="shared" si="0"/>
        <v>1.2087456846950519</v>
      </c>
      <c r="AC13" s="91">
        <f t="shared" si="0"/>
        <v>1.2958057395143487</v>
      </c>
      <c r="AD13" s="91">
        <f t="shared" si="0"/>
        <v>1.1526548672566372</v>
      </c>
      <c r="AE13" s="91">
        <f t="shared" si="0"/>
        <v>0.79915433403805491</v>
      </c>
      <c r="AF13" s="91">
        <f t="shared" si="0"/>
        <v>0.93488194973343475</v>
      </c>
      <c r="AG13" s="91">
        <f t="shared" si="0"/>
        <v>0.81601362862010218</v>
      </c>
      <c r="AH13" s="91">
        <f t="shared" si="0"/>
        <v>1.1151631477927064</v>
      </c>
      <c r="AI13" s="91">
        <f t="shared" si="0"/>
        <v>1.7407407407407407</v>
      </c>
      <c r="AJ13" s="91">
        <f>AJ14/AF14</f>
        <v>1.2617107942973524</v>
      </c>
      <c r="AK13" s="32"/>
    </row>
    <row r="14" spans="1:37" x14ac:dyDescent="0.2">
      <c r="A14" s="15" t="s">
        <v>0</v>
      </c>
      <c r="B14" s="7">
        <v>261.5</v>
      </c>
      <c r="C14" s="7">
        <v>265</v>
      </c>
      <c r="D14" s="7">
        <v>251.8</v>
      </c>
      <c r="E14" s="7">
        <v>256.39999999999998</v>
      </c>
      <c r="F14" s="7">
        <v>264.7</v>
      </c>
      <c r="G14" s="7">
        <v>281.3</v>
      </c>
      <c r="H14" s="7">
        <v>284.7</v>
      </c>
      <c r="I14" s="7">
        <v>299.10000000000002</v>
      </c>
      <c r="J14" s="9">
        <v>299.39999999999998</v>
      </c>
      <c r="K14" s="6">
        <v>329.6</v>
      </c>
      <c r="L14" s="6">
        <v>324.10000000000002</v>
      </c>
      <c r="M14" s="6">
        <v>337.5</v>
      </c>
      <c r="N14" s="9">
        <v>355.1</v>
      </c>
      <c r="O14" s="6">
        <v>372.1</v>
      </c>
      <c r="P14" s="6">
        <v>380.3</v>
      </c>
      <c r="Q14" s="6">
        <v>380.4</v>
      </c>
      <c r="R14" s="9">
        <v>398.6</v>
      </c>
      <c r="S14" s="6">
        <v>402.2</v>
      </c>
      <c r="T14" s="6">
        <v>390.6</v>
      </c>
      <c r="U14" s="6">
        <v>415</v>
      </c>
      <c r="V14" s="9">
        <v>402.7</v>
      </c>
      <c r="W14" s="6">
        <v>423.3</v>
      </c>
      <c r="X14" s="6">
        <v>411.2</v>
      </c>
      <c r="Y14" s="6">
        <v>454.1</v>
      </c>
      <c r="Z14" s="9">
        <v>452</v>
      </c>
      <c r="AA14" s="6">
        <v>473</v>
      </c>
      <c r="AB14" s="6">
        <v>510.4</v>
      </c>
      <c r="AC14" s="6">
        <v>586.79999999999995</v>
      </c>
      <c r="AD14" s="9">
        <v>521</v>
      </c>
      <c r="AE14" s="6">
        <v>377.8</v>
      </c>
      <c r="AF14" s="6">
        <v>491</v>
      </c>
      <c r="AG14" s="6">
        <v>479.1</v>
      </c>
      <c r="AH14" s="6">
        <v>581.1</v>
      </c>
      <c r="AI14" s="6">
        <v>658</v>
      </c>
      <c r="AJ14" s="6">
        <v>619.5</v>
      </c>
      <c r="AK14" s="6">
        <v>648.20000000000005</v>
      </c>
    </row>
    <row r="15" spans="1:37" x14ac:dyDescent="0.2">
      <c r="A15" s="15" t="s">
        <v>1</v>
      </c>
      <c r="B15" s="6">
        <v>283</v>
      </c>
      <c r="C15" s="6">
        <v>285</v>
      </c>
      <c r="D15" s="6">
        <v>272</v>
      </c>
      <c r="E15" s="6">
        <v>277</v>
      </c>
      <c r="F15" s="6">
        <v>281</v>
      </c>
      <c r="G15" s="6">
        <v>298</v>
      </c>
      <c r="H15" s="6">
        <v>303</v>
      </c>
      <c r="I15" s="6">
        <v>319</v>
      </c>
      <c r="J15" s="9">
        <v>315</v>
      </c>
      <c r="K15" s="6">
        <v>347</v>
      </c>
      <c r="L15" s="6">
        <v>342</v>
      </c>
      <c r="M15" s="6">
        <v>356</v>
      </c>
      <c r="N15" s="9">
        <v>373</v>
      </c>
      <c r="O15" s="6">
        <v>391</v>
      </c>
      <c r="P15" s="6">
        <v>400</v>
      </c>
      <c r="Q15" s="6">
        <v>401</v>
      </c>
      <c r="R15" s="9">
        <v>420</v>
      </c>
      <c r="S15" s="6">
        <v>424</v>
      </c>
      <c r="T15" s="6">
        <v>412</v>
      </c>
      <c r="U15" s="6">
        <v>438</v>
      </c>
      <c r="V15" s="9">
        <v>426</v>
      </c>
      <c r="W15" s="6">
        <v>448</v>
      </c>
      <c r="X15" s="6">
        <v>434.5</v>
      </c>
      <c r="Y15" s="6">
        <v>453</v>
      </c>
      <c r="Z15" s="9">
        <v>452</v>
      </c>
      <c r="AA15" s="6">
        <v>473</v>
      </c>
      <c r="AB15" s="6">
        <v>525.20000000000005</v>
      </c>
      <c r="AC15" s="6">
        <v>587</v>
      </c>
      <c r="AD15" s="9">
        <v>521</v>
      </c>
      <c r="AE15" s="6">
        <v>378</v>
      </c>
      <c r="AF15" s="6">
        <v>491</v>
      </c>
      <c r="AG15" s="6">
        <v>479</v>
      </c>
      <c r="AH15" s="9">
        <v>581</v>
      </c>
      <c r="AI15" s="6">
        <v>658</v>
      </c>
      <c r="AJ15" s="9"/>
      <c r="AK15" s="10"/>
    </row>
    <row r="16" spans="1:37" x14ac:dyDescent="0.2">
      <c r="A16" s="15" t="s">
        <v>158</v>
      </c>
      <c r="B16" s="9">
        <v>1761</v>
      </c>
      <c r="C16" s="6">
        <v>1809</v>
      </c>
      <c r="D16" s="6">
        <v>1735</v>
      </c>
      <c r="E16" s="10">
        <v>1836</v>
      </c>
      <c r="F16" s="9">
        <v>1774</v>
      </c>
      <c r="G16" s="6">
        <v>1873</v>
      </c>
      <c r="H16" s="6">
        <v>1845</v>
      </c>
      <c r="I16" s="10">
        <v>1886</v>
      </c>
      <c r="J16" s="9">
        <v>1768</v>
      </c>
      <c r="K16" s="6">
        <v>1843</v>
      </c>
      <c r="L16" s="6">
        <v>1888</v>
      </c>
      <c r="M16" s="10">
        <v>1978</v>
      </c>
      <c r="N16" s="9">
        <v>1964</v>
      </c>
      <c r="O16" s="6">
        <v>2126</v>
      </c>
      <c r="P16" s="6">
        <v>2105</v>
      </c>
      <c r="Q16" s="10">
        <v>2191</v>
      </c>
      <c r="R16" s="9">
        <v>2160</v>
      </c>
      <c r="S16" s="6">
        <v>2257</v>
      </c>
      <c r="T16" s="6">
        <v>2222</v>
      </c>
      <c r="U16" s="10">
        <v>2408</v>
      </c>
      <c r="V16" s="9">
        <v>2379</v>
      </c>
      <c r="W16" s="6">
        <v>2490</v>
      </c>
      <c r="X16" s="6">
        <v>2393</v>
      </c>
      <c r="Y16" s="10">
        <v>2561</v>
      </c>
      <c r="Z16" s="9">
        <v>2493</v>
      </c>
      <c r="AA16" s="6">
        <v>2631</v>
      </c>
      <c r="AB16" s="6">
        <v>2707</v>
      </c>
      <c r="AC16" s="10">
        <v>2905</v>
      </c>
      <c r="AD16" s="9">
        <v>2543</v>
      </c>
      <c r="AE16" s="6">
        <v>2003</v>
      </c>
      <c r="AF16" s="6">
        <v>2659</v>
      </c>
      <c r="AG16" s="10">
        <v>2708</v>
      </c>
      <c r="AH16" s="9">
        <v>2752</v>
      </c>
      <c r="AI16">
        <v>3077</v>
      </c>
      <c r="AJ16" s="112">
        <v>2970.4</v>
      </c>
      <c r="AK16" s="10"/>
    </row>
    <row r="17" spans="1:38" x14ac:dyDescent="0.2">
      <c r="A17" s="93" t="s">
        <v>18</v>
      </c>
      <c r="B17" s="94">
        <f>B15/B16</f>
        <v>0.16070414537194777</v>
      </c>
      <c r="C17" s="94">
        <f>C15/C16</f>
        <v>0.15754560530679934</v>
      </c>
      <c r="D17" s="94">
        <f>D15/D16</f>
        <v>0.15677233429394813</v>
      </c>
      <c r="E17" s="94">
        <f>E15/E16</f>
        <v>0.15087145969498911</v>
      </c>
      <c r="F17" s="94">
        <f>F15/F16</f>
        <v>0.15839909808342728</v>
      </c>
      <c r="G17" s="94">
        <f t="shared" ref="G17:L17" si="1">G15/G16</f>
        <v>0.1591030432461292</v>
      </c>
      <c r="H17" s="94">
        <f t="shared" si="1"/>
        <v>0.16422764227642275</v>
      </c>
      <c r="I17" s="94">
        <f t="shared" si="1"/>
        <v>0.16914103923647933</v>
      </c>
      <c r="J17" s="94">
        <f t="shared" si="1"/>
        <v>0.17816742081447964</v>
      </c>
      <c r="K17" s="94">
        <f t="shared" si="1"/>
        <v>0.18827997829625612</v>
      </c>
      <c r="L17" s="94">
        <f t="shared" si="1"/>
        <v>0.18114406779661016</v>
      </c>
      <c r="M17" s="94">
        <f t="shared" ref="M17:AA17" si="2">M15/M16</f>
        <v>0.17997977755308392</v>
      </c>
      <c r="N17" s="94">
        <f t="shared" si="2"/>
        <v>0.18991853360488797</v>
      </c>
      <c r="O17" s="94">
        <f>O15/O16</f>
        <v>0.1839134524929445</v>
      </c>
      <c r="P17" s="94">
        <f>P15/P16</f>
        <v>0.19002375296912113</v>
      </c>
      <c r="Q17" s="94">
        <f>Q15/Q16</f>
        <v>0.18302145139205842</v>
      </c>
      <c r="R17" s="94">
        <f>R15/R16</f>
        <v>0.19444444444444445</v>
      </c>
      <c r="S17" s="94">
        <f t="shared" si="2"/>
        <v>0.18785999113867966</v>
      </c>
      <c r="T17" s="94">
        <f t="shared" si="2"/>
        <v>0.18541854185418541</v>
      </c>
      <c r="U17" s="94">
        <f t="shared" si="2"/>
        <v>0.18189368770764119</v>
      </c>
      <c r="V17" s="94">
        <f t="shared" si="2"/>
        <v>0.17906683480453972</v>
      </c>
      <c r="W17" s="94">
        <f t="shared" si="2"/>
        <v>0.17991967871485945</v>
      </c>
      <c r="X17" s="94">
        <f t="shared" si="2"/>
        <v>0.18157124947764314</v>
      </c>
      <c r="Y17" s="94">
        <f t="shared" si="2"/>
        <v>0.17688402967590786</v>
      </c>
      <c r="Z17" s="94">
        <f t="shared" si="2"/>
        <v>0.18130766145206578</v>
      </c>
      <c r="AA17" s="94">
        <f t="shared" si="2"/>
        <v>0.17977955150133029</v>
      </c>
      <c r="AB17" s="94">
        <f t="shared" ref="AB17:AE17" si="3">AB15/AB16</f>
        <v>0.19401551533062433</v>
      </c>
      <c r="AC17" s="94">
        <f t="shared" si="3"/>
        <v>0.20206540447504304</v>
      </c>
      <c r="AD17" s="94">
        <f t="shared" si="3"/>
        <v>0.20487613055446324</v>
      </c>
      <c r="AE17" s="94">
        <f t="shared" si="3"/>
        <v>0.18871692461308037</v>
      </c>
      <c r="AF17" s="94">
        <f>AF15/AF16</f>
        <v>0.184655885671305</v>
      </c>
      <c r="AG17" s="94">
        <f>AG15/AG16</f>
        <v>0.17688330871491875</v>
      </c>
      <c r="AH17" s="94">
        <f>AH15/AH16</f>
        <v>0.21111918604651161</v>
      </c>
      <c r="AI17" s="94">
        <f>AI15/AI16</f>
        <v>0.2138446538836529</v>
      </c>
      <c r="AJ17" s="95">
        <f>AJ14/AJ16</f>
        <v>0.20855776999730674</v>
      </c>
      <c r="AK17" s="96"/>
    </row>
    <row r="18" spans="1:38" x14ac:dyDescent="0.2">
      <c r="A18" s="93" t="s">
        <v>24</v>
      </c>
      <c r="B18" s="94">
        <f>B15/SUM(B15:E15)</f>
        <v>0.25335720680393914</v>
      </c>
      <c r="C18" s="94">
        <f>C15/SUM(B15:E15)</f>
        <v>0.25514771709937334</v>
      </c>
      <c r="D18" s="94">
        <f>D15/SUM(B15:E15)</f>
        <v>0.24350940017905104</v>
      </c>
      <c r="E18" s="97">
        <f>E15/SUM(B15:E15)</f>
        <v>0.24798567591763654</v>
      </c>
      <c r="F18" s="94">
        <f>F15/SUM(F15:I15)</f>
        <v>0.23397169025811823</v>
      </c>
      <c r="G18" s="94">
        <f>G15/SUM(F15:I15)</f>
        <v>0.24812656119900084</v>
      </c>
      <c r="H18" s="94">
        <f>H15/SUM(F15:I15)</f>
        <v>0.25228975853455454</v>
      </c>
      <c r="I18" s="97">
        <f>I15/SUM(F15:I15)</f>
        <v>0.26561199000832642</v>
      </c>
      <c r="J18" s="94">
        <f>J15/SUM(J15:M15)</f>
        <v>0.23161764705882354</v>
      </c>
      <c r="K18" s="94">
        <f>K15/SUM(J15:M15)</f>
        <v>0.25514705882352939</v>
      </c>
      <c r="L18" s="94">
        <f>L15/SUM(J15:M15)</f>
        <v>0.25147058823529411</v>
      </c>
      <c r="M18" s="97">
        <f>M15/SUM(J15:M15)</f>
        <v>0.26176470588235295</v>
      </c>
      <c r="N18" s="94">
        <f>N15/SUM(N15:Q15)</f>
        <v>0.23833865814696487</v>
      </c>
      <c r="O18" s="94">
        <f>O15/SUM(N15:Q15)</f>
        <v>0.2498402555910543</v>
      </c>
      <c r="P18" s="94">
        <f>P15/SUM(N15:Q15)</f>
        <v>0.25559105431309903</v>
      </c>
      <c r="Q18" s="97">
        <f>Q15/SUM(N15:Q15)</f>
        <v>0.25623003194888178</v>
      </c>
      <c r="R18" s="94">
        <f>R15/SUM(R15:U15)</f>
        <v>0.24793388429752067</v>
      </c>
      <c r="S18" s="94">
        <f>S15/SUM(R15:U15)</f>
        <v>0.2502951593860685</v>
      </c>
      <c r="T18" s="94">
        <f>T15/SUM(R15:U15)</f>
        <v>0.24321133412042503</v>
      </c>
      <c r="U18" s="97">
        <f>U15/SUM(R15:U15)</f>
        <v>0.25855962219598583</v>
      </c>
      <c r="V18" s="94">
        <f>V15/SUM(V15:Y15)</f>
        <v>0.24183934147033778</v>
      </c>
      <c r="W18" s="94">
        <f>W15/SUM(V15:Y15)</f>
        <v>0.25432869713312517</v>
      </c>
      <c r="X18" s="94">
        <f>X15/SUM(V15:Y15)</f>
        <v>0.2466647743400511</v>
      </c>
      <c r="Y18" s="97">
        <f>Y15/SUM(V15:Y15)</f>
        <v>0.25716718705648595</v>
      </c>
      <c r="Z18" s="94">
        <f>Z15/SUM(Z15:AC15)</f>
        <v>0.22187315923817003</v>
      </c>
      <c r="AA18" s="94">
        <f>AA15/SUM(Z15:AC15)</f>
        <v>0.23218142548596113</v>
      </c>
      <c r="AB18" s="94">
        <f>AB15/SUM(Z15:AC15)</f>
        <v>0.25780483015904182</v>
      </c>
      <c r="AC18" s="97">
        <f>AC15/SUM(Z15:AC15)</f>
        <v>0.288140585116827</v>
      </c>
      <c r="AD18" s="94"/>
      <c r="AE18" s="94"/>
      <c r="AF18" s="94"/>
      <c r="AG18" s="97"/>
      <c r="AH18" s="94">
        <f>AH15/SUM(AH15:AI15,AJ14:AK14)</f>
        <v>0.2317788327282882</v>
      </c>
      <c r="AI18" s="94">
        <f>AI15/SUM(AH15:AI15,AJ14:AK14)</f>
        <v>0.2624965093549288</v>
      </c>
      <c r="AJ18" s="94">
        <f>AJ14/SUM(AH15:AI15,AJ14:AK14)</f>
        <v>0.2471376710416085</v>
      </c>
      <c r="AK18" s="97">
        <f>AK14/SUM(AH15:AI15,AJ14:AK14)</f>
        <v>0.25858698687517456</v>
      </c>
      <c r="AL18" s="3"/>
    </row>
    <row r="19" spans="1:38" x14ac:dyDescent="0.2">
      <c r="A19" s="16" t="s">
        <v>17</v>
      </c>
      <c r="B19" s="12"/>
      <c r="C19" s="12"/>
      <c r="D19" s="12"/>
      <c r="E19" s="12"/>
      <c r="F19" s="12"/>
      <c r="G19" s="12"/>
      <c r="H19" s="12"/>
      <c r="I19" s="12"/>
      <c r="J19" s="11"/>
      <c r="K19" s="12">
        <v>336.2</v>
      </c>
      <c r="L19" s="12">
        <v>262.10000000000002</v>
      </c>
      <c r="M19" s="6">
        <v>299.3</v>
      </c>
      <c r="N19" s="9">
        <v>313.10000000000002</v>
      </c>
      <c r="O19" s="12">
        <v>349.3</v>
      </c>
      <c r="P19" s="12">
        <v>344.2</v>
      </c>
      <c r="Q19" s="6">
        <v>345</v>
      </c>
      <c r="R19" s="86">
        <v>343.7</v>
      </c>
      <c r="S19" s="86">
        <v>381.1</v>
      </c>
      <c r="T19" s="86">
        <v>382</v>
      </c>
      <c r="U19" s="86">
        <v>382</v>
      </c>
      <c r="V19" s="86">
        <v>381.7</v>
      </c>
      <c r="W19" s="64">
        <v>407</v>
      </c>
      <c r="X19" s="64">
        <v>384.5</v>
      </c>
      <c r="Y19" s="64">
        <v>368.5</v>
      </c>
      <c r="Z19" s="86">
        <v>390.7</v>
      </c>
      <c r="AA19" s="64">
        <v>388.7</v>
      </c>
      <c r="AB19" s="64">
        <v>388.9</v>
      </c>
      <c r="AC19" s="64">
        <v>436.5</v>
      </c>
      <c r="AD19" s="86">
        <v>534.1</v>
      </c>
      <c r="AE19" s="64">
        <v>365</v>
      </c>
      <c r="AF19" s="64">
        <v>495.9</v>
      </c>
      <c r="AG19" s="64">
        <v>521.5</v>
      </c>
      <c r="AH19" s="86">
        <v>518.6</v>
      </c>
      <c r="AI19" s="64">
        <v>604.9</v>
      </c>
      <c r="AJ19" s="87"/>
      <c r="AK19" s="13"/>
    </row>
    <row r="20" spans="1:38" x14ac:dyDescent="0.2">
      <c r="I20" s="125" t="s">
        <v>7</v>
      </c>
      <c r="J20" s="143"/>
      <c r="K20" s="7">
        <f t="shared" ref="K20:P20" si="4">IF(K15&gt;K19,1,0)</f>
        <v>1</v>
      </c>
      <c r="L20" s="7">
        <f t="shared" si="4"/>
        <v>1</v>
      </c>
      <c r="M20" s="7">
        <f t="shared" si="4"/>
        <v>1</v>
      </c>
      <c r="N20" s="7">
        <f t="shared" si="4"/>
        <v>1</v>
      </c>
      <c r="O20" s="7">
        <f t="shared" si="4"/>
        <v>1</v>
      </c>
      <c r="P20" s="7">
        <f t="shared" si="4"/>
        <v>1</v>
      </c>
      <c r="Q20" s="7">
        <f t="shared" ref="Q20:AI20" si="5">IF(Q15&gt;Q19,1,0)</f>
        <v>1</v>
      </c>
      <c r="R20" s="7">
        <f t="shared" si="5"/>
        <v>1</v>
      </c>
      <c r="S20" s="7">
        <f t="shared" si="5"/>
        <v>1</v>
      </c>
      <c r="T20" s="7">
        <f t="shared" si="5"/>
        <v>1</v>
      </c>
      <c r="U20" s="7">
        <f t="shared" si="5"/>
        <v>1</v>
      </c>
      <c r="V20" s="7">
        <f t="shared" si="5"/>
        <v>1</v>
      </c>
      <c r="W20" s="7">
        <f t="shared" si="5"/>
        <v>1</v>
      </c>
      <c r="X20" s="7">
        <f t="shared" si="5"/>
        <v>1</v>
      </c>
      <c r="Y20" s="7">
        <f t="shared" si="5"/>
        <v>1</v>
      </c>
      <c r="Z20" s="7">
        <f t="shared" si="5"/>
        <v>1</v>
      </c>
      <c r="AA20" s="7">
        <f t="shared" si="5"/>
        <v>1</v>
      </c>
      <c r="AB20" s="7">
        <f t="shared" si="5"/>
        <v>1</v>
      </c>
      <c r="AC20" s="7">
        <f t="shared" si="5"/>
        <v>1</v>
      </c>
      <c r="AD20" s="7">
        <f t="shared" si="5"/>
        <v>0</v>
      </c>
      <c r="AE20" s="7">
        <f t="shared" si="5"/>
        <v>1</v>
      </c>
      <c r="AF20" s="7">
        <f t="shared" si="5"/>
        <v>0</v>
      </c>
      <c r="AG20" s="7">
        <f t="shared" si="5"/>
        <v>0</v>
      </c>
      <c r="AH20" s="7">
        <f t="shared" si="5"/>
        <v>1</v>
      </c>
      <c r="AI20" s="8">
        <f t="shared" si="5"/>
        <v>1</v>
      </c>
      <c r="AJ20" s="46" t="s">
        <v>8</v>
      </c>
      <c r="AK20" s="43">
        <f>AVERAGE(K20:AI20)</f>
        <v>0.88</v>
      </c>
    </row>
    <row r="21" spans="1:38" x14ac:dyDescent="0.2">
      <c r="I21" s="116" t="s">
        <v>9</v>
      </c>
      <c r="J21" s="117"/>
      <c r="M21" s="6"/>
      <c r="N21" s="6">
        <f t="shared" ref="N21:O21" si="6">AVERAGE(K20:N20)</f>
        <v>1</v>
      </c>
      <c r="O21" s="6">
        <f t="shared" si="6"/>
        <v>1</v>
      </c>
      <c r="P21" s="6">
        <f t="shared" ref="P21" si="7">AVERAGE(M20:P20)</f>
        <v>1</v>
      </c>
      <c r="Q21" s="6">
        <f t="shared" ref="Q21" si="8">AVERAGE(N20:Q20)</f>
        <v>1</v>
      </c>
      <c r="R21" s="6">
        <f t="shared" ref="R21" si="9">AVERAGE(O20:R20)</f>
        <v>1</v>
      </c>
      <c r="S21" s="6">
        <f t="shared" ref="S21" si="10">AVERAGE(P20:S20)</f>
        <v>1</v>
      </c>
      <c r="T21" s="6">
        <f t="shared" ref="T21" si="11">AVERAGE(Q20:T20)</f>
        <v>1</v>
      </c>
      <c r="U21" s="6">
        <f t="shared" ref="U21" si="12">AVERAGE(R20:U20)</f>
        <v>1</v>
      </c>
      <c r="V21" s="6">
        <f t="shared" ref="V21:AI21" si="13">AVERAGE(S20:V20)</f>
        <v>1</v>
      </c>
      <c r="W21" s="6">
        <f t="shared" si="13"/>
        <v>1</v>
      </c>
      <c r="X21" s="6">
        <f t="shared" si="13"/>
        <v>1</v>
      </c>
      <c r="Y21" s="6">
        <f t="shared" si="13"/>
        <v>1</v>
      </c>
      <c r="Z21" s="6">
        <f t="shared" si="13"/>
        <v>1</v>
      </c>
      <c r="AA21" s="6">
        <f t="shared" si="13"/>
        <v>1</v>
      </c>
      <c r="AB21" s="6">
        <f t="shared" si="13"/>
        <v>1</v>
      </c>
      <c r="AC21" s="6">
        <f t="shared" si="13"/>
        <v>1</v>
      </c>
      <c r="AD21" s="6">
        <f t="shared" si="13"/>
        <v>0.75</v>
      </c>
      <c r="AE21" s="6">
        <f t="shared" si="13"/>
        <v>0.75</v>
      </c>
      <c r="AF21" s="6">
        <f t="shared" si="13"/>
        <v>0.5</v>
      </c>
      <c r="AG21" s="6">
        <f t="shared" si="13"/>
        <v>0.25</v>
      </c>
      <c r="AH21" s="6">
        <f>AVERAGE(AE20:AH20)</f>
        <v>0.5</v>
      </c>
      <c r="AI21" s="10">
        <f t="shared" si="13"/>
        <v>0.5</v>
      </c>
      <c r="AJ21" s="42" t="s">
        <v>10</v>
      </c>
      <c r="AK21" s="43">
        <f>AVERAGE(N21:AI21)</f>
        <v>0.875</v>
      </c>
    </row>
    <row r="22" spans="1:38" x14ac:dyDescent="0.2">
      <c r="I22" s="129" t="s">
        <v>11</v>
      </c>
      <c r="J22" s="130"/>
      <c r="K22" s="18">
        <f t="shared" ref="K22:P22" si="14">K15/K19-1</f>
        <v>3.2123735871505188E-2</v>
      </c>
      <c r="L22" s="18">
        <f t="shared" si="14"/>
        <v>0.30484547882487578</v>
      </c>
      <c r="M22" s="18">
        <f t="shared" si="14"/>
        <v>0.18944203140661542</v>
      </c>
      <c r="N22" s="18">
        <f t="shared" si="14"/>
        <v>0.19131267965506216</v>
      </c>
      <c r="O22" s="18">
        <f t="shared" si="14"/>
        <v>0.11938162038362443</v>
      </c>
      <c r="P22" s="18">
        <f t="shared" si="14"/>
        <v>0.16211504938988974</v>
      </c>
      <c r="Q22" s="18">
        <f t="shared" ref="Q22:AI22" si="15">Q15/Q19-1</f>
        <v>0.16231884057971024</v>
      </c>
      <c r="R22" s="18">
        <f t="shared" si="15"/>
        <v>0.22199592668024448</v>
      </c>
      <c r="S22" s="18">
        <f t="shared" si="15"/>
        <v>0.11256887955917083</v>
      </c>
      <c r="T22" s="18">
        <f t="shared" si="15"/>
        <v>7.8534031413612482E-2</v>
      </c>
      <c r="U22" s="18">
        <f t="shared" si="15"/>
        <v>0.14659685863874339</v>
      </c>
      <c r="V22" s="18">
        <f t="shared" si="15"/>
        <v>0.11605973277443016</v>
      </c>
      <c r="W22" s="18">
        <f t="shared" si="15"/>
        <v>0.10073710073710074</v>
      </c>
      <c r="X22" s="18">
        <f t="shared" si="15"/>
        <v>0.13003901170351106</v>
      </c>
      <c r="Y22" s="18">
        <f t="shared" si="15"/>
        <v>0.22930800542740837</v>
      </c>
      <c r="Z22" s="18">
        <f t="shared" si="15"/>
        <v>0.15689787560788337</v>
      </c>
      <c r="AA22" s="18">
        <f t="shared" si="15"/>
        <v>0.21687676871623363</v>
      </c>
      <c r="AB22" s="18">
        <f t="shared" si="15"/>
        <v>0.35047570069426603</v>
      </c>
      <c r="AC22" s="18">
        <f t="shared" si="15"/>
        <v>0.3447880870561284</v>
      </c>
      <c r="AD22" s="18">
        <f t="shared" si="15"/>
        <v>-2.4527242089496415E-2</v>
      </c>
      <c r="AE22" s="18">
        <f t="shared" si="15"/>
        <v>3.5616438356164348E-2</v>
      </c>
      <c r="AF22" s="18">
        <f t="shared" si="15"/>
        <v>-9.8810244000806513E-3</v>
      </c>
      <c r="AG22" s="18">
        <f t="shared" si="15"/>
        <v>-8.1495685522531169E-2</v>
      </c>
      <c r="AH22" s="18">
        <f t="shared" si="15"/>
        <v>0.1203239490937138</v>
      </c>
      <c r="AI22" s="41">
        <f t="shared" si="15"/>
        <v>8.7783104645396071E-2</v>
      </c>
      <c r="AJ22" s="42" t="s">
        <v>13</v>
      </c>
      <c r="AK22" s="44">
        <f>MEDIAN(K22:AI22)</f>
        <v>0.13003901170351106</v>
      </c>
    </row>
    <row r="23" spans="1:38" x14ac:dyDescent="0.2">
      <c r="I23" s="116" t="s">
        <v>12</v>
      </c>
      <c r="J23" s="117"/>
      <c r="M23" s="6"/>
      <c r="N23" s="33">
        <f t="shared" ref="N23:O23" si="16">AVERAGE(K22:N22)</f>
        <v>0.17943098143951464</v>
      </c>
      <c r="O23" s="33">
        <f t="shared" si="16"/>
        <v>0.20124545256754445</v>
      </c>
      <c r="P23" s="33">
        <f t="shared" ref="P23" si="17">AVERAGE(M22:P22)</f>
        <v>0.16556284520879794</v>
      </c>
      <c r="Q23" s="33">
        <f t="shared" ref="Q23" si="18">AVERAGE(N22:Q22)</f>
        <v>0.15878204750207164</v>
      </c>
      <c r="R23" s="33">
        <f t="shared" ref="R23" si="19">AVERAGE(O22:R22)</f>
        <v>0.16645285925836723</v>
      </c>
      <c r="S23" s="33">
        <f t="shared" ref="S23" si="20">AVERAGE(P22:S22)</f>
        <v>0.16474967405225382</v>
      </c>
      <c r="T23" s="33">
        <f t="shared" ref="T23" si="21">AVERAGE(Q22:T22)</f>
        <v>0.14385441955818451</v>
      </c>
      <c r="U23" s="33">
        <f t="shared" ref="U23" si="22">AVERAGE(R22:U22)</f>
        <v>0.1399239240729428</v>
      </c>
      <c r="V23" s="33">
        <f t="shared" ref="V23:AI23" si="23">AVERAGE(S22:V22)</f>
        <v>0.11343987559648921</v>
      </c>
      <c r="W23" s="33">
        <f t="shared" si="23"/>
        <v>0.11048193089097169</v>
      </c>
      <c r="X23" s="33">
        <f t="shared" si="23"/>
        <v>0.12335817596344634</v>
      </c>
      <c r="Y23" s="33">
        <f t="shared" si="23"/>
        <v>0.14403596266061258</v>
      </c>
      <c r="Z23" s="33">
        <f t="shared" si="23"/>
        <v>0.15424549836897589</v>
      </c>
      <c r="AA23" s="33">
        <f t="shared" si="23"/>
        <v>0.18328041536375911</v>
      </c>
      <c r="AB23" s="33">
        <f t="shared" si="23"/>
        <v>0.23838958761144785</v>
      </c>
      <c r="AC23" s="33">
        <f t="shared" si="23"/>
        <v>0.26725960801862786</v>
      </c>
      <c r="AD23" s="33">
        <f t="shared" si="23"/>
        <v>0.22190332859428291</v>
      </c>
      <c r="AE23" s="33">
        <f t="shared" si="23"/>
        <v>0.17658824600426559</v>
      </c>
      <c r="AF23" s="33">
        <f t="shared" si="23"/>
        <v>8.6499064730678921E-2</v>
      </c>
      <c r="AG23" s="33">
        <f t="shared" si="23"/>
        <v>-2.0071878413985972E-2</v>
      </c>
      <c r="AH23" s="33">
        <f t="shared" si="23"/>
        <v>1.6140919381816582E-2</v>
      </c>
      <c r="AI23" s="34">
        <f t="shared" si="23"/>
        <v>2.9182585954124513E-2</v>
      </c>
      <c r="AJ23" s="19" t="s">
        <v>14</v>
      </c>
      <c r="AK23" s="34">
        <f>MEDIAN(K23:AI23)</f>
        <v>0.15651377293552377</v>
      </c>
    </row>
    <row r="24" spans="1:38" x14ac:dyDescent="0.2">
      <c r="I24" s="125" t="s">
        <v>25</v>
      </c>
      <c r="J24" s="143"/>
      <c r="K24" s="108">
        <f>AVERAGE(K22:AC22,AE22,AH22:AI22)</f>
        <v>0.16409731396433136</v>
      </c>
      <c r="L24" s="125" t="s">
        <v>29</v>
      </c>
      <c r="M24" s="126"/>
      <c r="N24" s="47">
        <f>MEDIAN(K22:AC22,AE22,AH22:AI22)</f>
        <v>0.15174736712331338</v>
      </c>
      <c r="AF24" s="3"/>
      <c r="AG24" s="118" t="s">
        <v>23</v>
      </c>
      <c r="AH24" s="119"/>
      <c r="AI24" s="119"/>
      <c r="AJ24" s="120"/>
      <c r="AK24" s="45">
        <f>AVERAGE(AH17:AJ17,AD17)</f>
        <v>0.20959943512048362</v>
      </c>
    </row>
    <row r="25" spans="1:38" x14ac:dyDescent="0.2">
      <c r="I25" s="127" t="s">
        <v>26</v>
      </c>
      <c r="J25" s="165"/>
      <c r="K25" s="107">
        <f>AVERAGE(AD22,AF22:AG22)</f>
        <v>-3.8634650670702743E-2</v>
      </c>
      <c r="L25" s="127" t="s">
        <v>30</v>
      </c>
      <c r="M25" s="128"/>
      <c r="N25" s="34">
        <f>MEDIAN(AD22,AF22:AG22)</f>
        <v>-2.4527242089496415E-2</v>
      </c>
      <c r="AG25" s="121" t="s">
        <v>27</v>
      </c>
      <c r="AH25" s="122"/>
      <c r="AI25" s="122"/>
      <c r="AJ25" s="122"/>
      <c r="AK25" s="47">
        <f>AVERAGE(AJ18,X18,T18,L18,H18,D18)</f>
        <v>0.24738058774183072</v>
      </c>
    </row>
    <row r="26" spans="1:38" x14ac:dyDescent="0.2">
      <c r="AG26" s="123" t="s">
        <v>28</v>
      </c>
      <c r="AH26" s="124"/>
      <c r="AI26" s="124"/>
      <c r="AJ26" s="124"/>
      <c r="AK26" s="48">
        <f>_xlfn.STDEV.S(AJ18,AB18,T18,P18,H18,L18,D18)</f>
        <v>5.7131516979999544E-3</v>
      </c>
    </row>
    <row r="29" spans="1:38" ht="18" customHeight="1" x14ac:dyDescent="0.2"/>
  </sheetData>
  <mergeCells count="28">
    <mergeCell ref="I21:J21"/>
    <mergeCell ref="V11:Y11"/>
    <mergeCell ref="I24:J24"/>
    <mergeCell ref="I25:J25"/>
    <mergeCell ref="H10:I10"/>
    <mergeCell ref="AG10:AI10"/>
    <mergeCell ref="A1:C3"/>
    <mergeCell ref="K1:L1"/>
    <mergeCell ref="P1:Q1"/>
    <mergeCell ref="P2:Q2"/>
    <mergeCell ref="P3:Q3"/>
    <mergeCell ref="P4:Q4"/>
    <mergeCell ref="B11:E11"/>
    <mergeCell ref="I23:J23"/>
    <mergeCell ref="AG24:AJ24"/>
    <mergeCell ref="AG25:AJ25"/>
    <mergeCell ref="AG26:AJ26"/>
    <mergeCell ref="L24:M24"/>
    <mergeCell ref="L25:M25"/>
    <mergeCell ref="I22:J22"/>
    <mergeCell ref="F11:I11"/>
    <mergeCell ref="J11:M11"/>
    <mergeCell ref="N11:Q11"/>
    <mergeCell ref="R11:U11"/>
    <mergeCell ref="Z11:AC11"/>
    <mergeCell ref="AD11:AG11"/>
    <mergeCell ref="AH11:AK11"/>
    <mergeCell ref="I20:J20"/>
  </mergeCells>
  <conditionalFormatting sqref="K20:AI20 AK2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1:AI21 AK2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2:AI22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{56CFC7B0-C261-494B-BB2F-961FC5395604}</x14:id>
        </ext>
      </extLst>
    </cfRule>
  </conditionalFormatting>
  <conditionalFormatting sqref="N23:AI23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{41DE4205-EE7F-4DBF-8BBA-9EEAD7B09998}</x14:id>
        </ext>
      </extLst>
    </cfRule>
  </conditionalFormatting>
  <conditionalFormatting sqref="AK22:AK23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{8C038067-089E-49FF-8126-BD91D38602DD}</x14:id>
        </ext>
      </extLst>
    </cfRule>
  </conditionalFormatting>
  <conditionalFormatting sqref="AK20:AK21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{B86A584F-5630-40E1-B995-7746D53887D9}</x14:id>
        </ext>
      </extLst>
    </cfRule>
  </conditionalFormatting>
  <conditionalFormatting sqref="AK20:AK21 AK24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{62207A90-4DCB-469A-A9CB-D988FA8A2AE2}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6CFC7B0-C261-494B-BB2F-961FC539560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K22:AI22</xm:sqref>
        </x14:conditionalFormatting>
        <x14:conditionalFormatting xmlns:xm="http://schemas.microsoft.com/office/excel/2006/main">
          <x14:cfRule type="dataBar" id="{41DE4205-EE7F-4DBF-8BBA-9EEAD7B0999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N23:AI23</xm:sqref>
        </x14:conditionalFormatting>
        <x14:conditionalFormatting xmlns:xm="http://schemas.microsoft.com/office/excel/2006/main">
          <x14:cfRule type="dataBar" id="{8C038067-089E-49FF-8126-BD91D38602D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AK22:AK23</xm:sqref>
        </x14:conditionalFormatting>
        <x14:conditionalFormatting xmlns:xm="http://schemas.microsoft.com/office/excel/2006/main">
          <x14:cfRule type="dataBar" id="{B86A584F-5630-40E1-B995-7746D53887D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AK20:AK21</xm:sqref>
        </x14:conditionalFormatting>
        <x14:conditionalFormatting xmlns:xm="http://schemas.microsoft.com/office/excel/2006/main">
          <x14:cfRule type="dataBar" id="{62207A90-4DCB-469A-A9CB-D988FA8A2AE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AK20:AK21 AK24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249C6-FF3D-4DBB-B370-A9A55622C4B9}">
  <dimension ref="A1:U46"/>
  <sheetViews>
    <sheetView topLeftCell="A4" zoomScale="85" zoomScaleNormal="85" workbookViewId="0">
      <selection activeCell="H56" sqref="H56"/>
    </sheetView>
  </sheetViews>
  <sheetFormatPr defaultRowHeight="12.75" x14ac:dyDescent="0.2"/>
  <cols>
    <col min="1" max="1" width="7.5703125" bestFit="1" customWidth="1"/>
    <col min="2" max="2" width="16" bestFit="1" customWidth="1"/>
    <col min="3" max="3" width="12.7109375" bestFit="1" customWidth="1"/>
    <col min="4" max="4" width="11.5703125" customWidth="1"/>
    <col min="5" max="5" width="18" bestFit="1" customWidth="1"/>
    <col min="6" max="6" width="12.140625" bestFit="1" customWidth="1"/>
    <col min="7" max="7" width="10.7109375" bestFit="1" customWidth="1"/>
    <col min="8" max="8" width="19.7109375" bestFit="1" customWidth="1"/>
    <col min="9" max="9" width="13.5703125" bestFit="1" customWidth="1"/>
    <col min="10" max="10" width="8.7109375" bestFit="1" customWidth="1"/>
    <col min="11" max="11" width="21.85546875" bestFit="1" customWidth="1"/>
    <col min="12" max="12" width="16.42578125" bestFit="1" customWidth="1"/>
    <col min="13" max="13" width="14.5703125" bestFit="1" customWidth="1"/>
    <col min="14" max="14" width="23.5703125" bestFit="1" customWidth="1"/>
    <col min="15" max="15" width="17.85546875" bestFit="1" customWidth="1"/>
    <col min="16" max="16" width="11.42578125" bestFit="1" customWidth="1"/>
    <col min="17" max="17" width="14" bestFit="1" customWidth="1"/>
    <col min="18" max="18" width="10.28515625" bestFit="1" customWidth="1"/>
    <col min="19" max="19" width="16.140625" bestFit="1" customWidth="1"/>
  </cols>
  <sheetData>
    <row r="1" spans="1:21" x14ac:dyDescent="0.2">
      <c r="A1" t="s">
        <v>80</v>
      </c>
      <c r="B1" t="s">
        <v>81</v>
      </c>
    </row>
    <row r="4" spans="1:21" x14ac:dyDescent="0.2">
      <c r="A4" s="168" t="s">
        <v>76</v>
      </c>
      <c r="B4" s="168"/>
      <c r="T4" s="71" t="s">
        <v>166</v>
      </c>
    </row>
    <row r="5" spans="1:21" x14ac:dyDescent="0.2">
      <c r="A5" s="17" t="s">
        <v>56</v>
      </c>
      <c r="B5" s="17" t="s">
        <v>57</v>
      </c>
      <c r="C5" s="17" t="s">
        <v>68</v>
      </c>
      <c r="D5" s="17" t="s">
        <v>58</v>
      </c>
      <c r="E5" s="17" t="s">
        <v>59</v>
      </c>
      <c r="F5" s="17" t="s">
        <v>69</v>
      </c>
      <c r="G5" s="17" t="s">
        <v>60</v>
      </c>
      <c r="H5" s="17" t="s">
        <v>61</v>
      </c>
      <c r="I5" s="17" t="s">
        <v>70</v>
      </c>
      <c r="J5" s="17" t="s">
        <v>62</v>
      </c>
      <c r="K5" s="17" t="s">
        <v>63</v>
      </c>
      <c r="L5" s="17" t="s">
        <v>73</v>
      </c>
      <c r="M5" s="17" t="s">
        <v>64</v>
      </c>
      <c r="N5" s="17" t="s">
        <v>65</v>
      </c>
      <c r="O5" s="17" t="s">
        <v>74</v>
      </c>
      <c r="P5" s="17" t="s">
        <v>66</v>
      </c>
      <c r="Q5" s="17" t="s">
        <v>67</v>
      </c>
      <c r="R5" s="17" t="s">
        <v>0</v>
      </c>
      <c r="S5" s="17" t="s">
        <v>72</v>
      </c>
      <c r="T5" s="37" t="s">
        <v>0</v>
      </c>
      <c r="U5" s="37" t="s">
        <v>72</v>
      </c>
    </row>
    <row r="6" spans="1:21" x14ac:dyDescent="0.2">
      <c r="A6" t="s">
        <v>170</v>
      </c>
      <c r="B6" t="s">
        <v>171</v>
      </c>
      <c r="C6" t="s">
        <v>172</v>
      </c>
      <c r="D6">
        <v>20170720</v>
      </c>
      <c r="E6">
        <v>448.77571899999998</v>
      </c>
      <c r="F6">
        <v>449.29901599999999</v>
      </c>
      <c r="G6">
        <v>421.65089499999999</v>
      </c>
      <c r="H6">
        <v>446.47501899999997</v>
      </c>
      <c r="I6">
        <v>460.30760299999997</v>
      </c>
      <c r="J6">
        <v>445.30165039999991</v>
      </c>
      <c r="R6">
        <v>381.1</v>
      </c>
      <c r="S6">
        <v>424</v>
      </c>
      <c r="T6" s="99"/>
      <c r="U6" s="98"/>
    </row>
    <row r="7" spans="1:21" x14ac:dyDescent="0.2">
      <c r="A7" t="s">
        <v>170</v>
      </c>
      <c r="B7" t="s">
        <v>171</v>
      </c>
      <c r="C7" t="s">
        <v>173</v>
      </c>
      <c r="D7">
        <v>20171019</v>
      </c>
      <c r="E7">
        <v>450.77550000000002</v>
      </c>
      <c r="F7">
        <v>442.22727900000001</v>
      </c>
      <c r="G7">
        <v>403.73336899999998</v>
      </c>
      <c r="H7">
        <v>406.17690499999998</v>
      </c>
      <c r="I7">
        <v>402.878083</v>
      </c>
      <c r="J7">
        <v>421.15822719999994</v>
      </c>
      <c r="K7">
        <v>425.88937838680175</v>
      </c>
      <c r="L7">
        <v>417.32645658854506</v>
      </c>
      <c r="M7">
        <v>405.98265172898539</v>
      </c>
      <c r="N7">
        <v>385.73044490984165</v>
      </c>
      <c r="O7">
        <v>371.10033829269599</v>
      </c>
      <c r="P7">
        <v>401.01151247114268</v>
      </c>
      <c r="Q7">
        <v>401.17346372966875</v>
      </c>
      <c r="R7">
        <v>382</v>
      </c>
      <c r="S7">
        <v>412</v>
      </c>
      <c r="T7" s="99"/>
      <c r="U7" s="98"/>
    </row>
    <row r="8" spans="1:21" x14ac:dyDescent="0.2">
      <c r="A8" t="s">
        <v>170</v>
      </c>
      <c r="B8" t="s">
        <v>171</v>
      </c>
      <c r="C8" t="s">
        <v>168</v>
      </c>
      <c r="D8">
        <v>20180125</v>
      </c>
      <c r="E8">
        <v>483.19915700000001</v>
      </c>
      <c r="F8">
        <v>481.58978999999999</v>
      </c>
      <c r="G8">
        <v>435.319546</v>
      </c>
      <c r="H8">
        <v>438.17703899999998</v>
      </c>
      <c r="I8">
        <v>425.735366</v>
      </c>
      <c r="J8">
        <v>452.80417959999994</v>
      </c>
      <c r="K8">
        <v>441.63458902269525</v>
      </c>
      <c r="L8">
        <v>448.67199040428255</v>
      </c>
      <c r="M8">
        <v>444.23291885987265</v>
      </c>
      <c r="N8">
        <v>444.45889917842567</v>
      </c>
      <c r="O8">
        <v>435.37481484690244</v>
      </c>
      <c r="P8">
        <v>442.95780052898846</v>
      </c>
      <c r="Q8">
        <v>442.88850214019453</v>
      </c>
      <c r="R8">
        <v>382</v>
      </c>
      <c r="S8">
        <v>438</v>
      </c>
      <c r="T8" s="99"/>
      <c r="U8" s="98"/>
    </row>
    <row r="9" spans="1:21" x14ac:dyDescent="0.2">
      <c r="A9" t="s">
        <v>170</v>
      </c>
      <c r="B9" t="s">
        <v>171</v>
      </c>
      <c r="C9" t="s">
        <v>42</v>
      </c>
      <c r="D9">
        <v>20180419</v>
      </c>
      <c r="E9">
        <v>409.59222599999998</v>
      </c>
      <c r="F9">
        <v>406.253715</v>
      </c>
      <c r="G9">
        <v>384.43275499999999</v>
      </c>
      <c r="H9">
        <v>384.27035100000001</v>
      </c>
      <c r="I9">
        <v>387.264252</v>
      </c>
      <c r="J9">
        <v>394.36265979999996</v>
      </c>
      <c r="K9">
        <v>371.27836915493623</v>
      </c>
      <c r="L9">
        <v>369.48276492738768</v>
      </c>
      <c r="M9">
        <v>386.79987663590919</v>
      </c>
      <c r="N9">
        <v>384.11509220591546</v>
      </c>
      <c r="O9">
        <v>398.42060566798199</v>
      </c>
      <c r="P9">
        <v>381.4691930295071</v>
      </c>
      <c r="Q9">
        <v>381.92765027027298</v>
      </c>
      <c r="R9">
        <v>381.7</v>
      </c>
      <c r="S9">
        <v>426</v>
      </c>
      <c r="T9" s="9"/>
      <c r="U9" s="63"/>
    </row>
    <row r="10" spans="1:21" x14ac:dyDescent="0.2">
      <c r="A10" t="s">
        <v>170</v>
      </c>
      <c r="B10" t="s">
        <v>171</v>
      </c>
      <c r="C10" t="s">
        <v>43</v>
      </c>
      <c r="D10">
        <v>20180719</v>
      </c>
      <c r="E10">
        <v>475.02023700000001</v>
      </c>
      <c r="F10">
        <v>473.03268100000003</v>
      </c>
      <c r="G10">
        <v>437.31486999999998</v>
      </c>
      <c r="H10">
        <v>454.391955</v>
      </c>
      <c r="I10">
        <v>451.72028999999998</v>
      </c>
      <c r="J10">
        <v>458.29600659999994</v>
      </c>
      <c r="K10">
        <v>494.04897875674044</v>
      </c>
      <c r="L10">
        <v>496.02481076634592</v>
      </c>
      <c r="M10">
        <v>484.60005604881405</v>
      </c>
      <c r="N10">
        <v>503.73642495775067</v>
      </c>
      <c r="O10">
        <v>496.90319348143697</v>
      </c>
      <c r="P10">
        <v>495.06233402171608</v>
      </c>
      <c r="Q10">
        <v>495.06263300546738</v>
      </c>
      <c r="R10">
        <v>407</v>
      </c>
      <c r="S10">
        <v>448</v>
      </c>
      <c r="T10" s="9"/>
      <c r="U10" s="63"/>
    </row>
    <row r="11" spans="1:21" x14ac:dyDescent="0.2">
      <c r="A11" t="s">
        <v>170</v>
      </c>
      <c r="B11" t="s">
        <v>171</v>
      </c>
      <c r="C11" t="s">
        <v>44</v>
      </c>
      <c r="D11">
        <v>20181018</v>
      </c>
      <c r="E11">
        <v>464.26364599999999</v>
      </c>
      <c r="F11">
        <v>464.24258200000003</v>
      </c>
      <c r="G11">
        <v>413.88491099999999</v>
      </c>
      <c r="H11">
        <v>451.23891900000001</v>
      </c>
      <c r="I11">
        <v>440.13597499999997</v>
      </c>
      <c r="J11">
        <v>446.7532066</v>
      </c>
      <c r="K11">
        <v>437.85526848617189</v>
      </c>
      <c r="L11">
        <v>439.67506916504146</v>
      </c>
      <c r="M11">
        <v>423.99756525086832</v>
      </c>
      <c r="N11">
        <v>444.8913179195701</v>
      </c>
      <c r="O11">
        <v>436.51109141012904</v>
      </c>
      <c r="P11">
        <v>436.71651874437265</v>
      </c>
      <c r="Q11">
        <v>436.60780516269227</v>
      </c>
      <c r="R11">
        <v>384.5</v>
      </c>
      <c r="S11">
        <v>435</v>
      </c>
      <c r="T11" s="9"/>
      <c r="U11" s="63"/>
    </row>
    <row r="12" spans="1:21" x14ac:dyDescent="0.2">
      <c r="A12" t="s">
        <v>170</v>
      </c>
      <c r="B12" t="s">
        <v>171</v>
      </c>
      <c r="C12" t="s">
        <v>45</v>
      </c>
      <c r="D12">
        <v>20190131</v>
      </c>
      <c r="E12">
        <v>490.38388700000002</v>
      </c>
      <c r="F12">
        <v>491.17102899999998</v>
      </c>
      <c r="G12">
        <v>459.56235800000002</v>
      </c>
      <c r="H12">
        <v>469.71873099999999</v>
      </c>
      <c r="I12">
        <v>506.01963499999999</v>
      </c>
      <c r="J12">
        <v>483.37112800000006</v>
      </c>
      <c r="K12">
        <v>459.47381984976704</v>
      </c>
      <c r="L12">
        <v>460.23222750169867</v>
      </c>
      <c r="M12">
        <v>483.00776475999629</v>
      </c>
      <c r="N12">
        <v>452.81477146921355</v>
      </c>
      <c r="O12">
        <v>500.11485933409557</v>
      </c>
      <c r="P12">
        <v>470.65457521888999</v>
      </c>
      <c r="Q12">
        <v>471.04966968894354</v>
      </c>
      <c r="R12">
        <v>368.5</v>
      </c>
      <c r="S12">
        <v>453</v>
      </c>
      <c r="T12" s="9"/>
      <c r="U12" s="63"/>
    </row>
    <row r="13" spans="1:21" x14ac:dyDescent="0.2">
      <c r="A13" t="s">
        <v>170</v>
      </c>
      <c r="B13" t="s">
        <v>171</v>
      </c>
      <c r="C13" t="s">
        <v>46</v>
      </c>
      <c r="D13">
        <v>20190418</v>
      </c>
      <c r="E13">
        <v>466.38095700000002</v>
      </c>
      <c r="F13">
        <v>467.62671699999999</v>
      </c>
      <c r="G13">
        <v>440.74798399999997</v>
      </c>
      <c r="H13">
        <v>455.620541</v>
      </c>
      <c r="I13">
        <v>475.49776100000003</v>
      </c>
      <c r="J13">
        <v>461.17479199999997</v>
      </c>
      <c r="K13">
        <v>430.82690749380191</v>
      </c>
      <c r="L13">
        <v>431.28541850745029</v>
      </c>
      <c r="M13">
        <v>434.45428738095205</v>
      </c>
      <c r="N13">
        <v>439.40360784334996</v>
      </c>
      <c r="O13">
        <v>425.67614146632872</v>
      </c>
      <c r="P13">
        <v>432.19830203842866</v>
      </c>
      <c r="Q13">
        <v>432.30744412171862</v>
      </c>
      <c r="R13">
        <v>390.7</v>
      </c>
      <c r="S13">
        <v>452</v>
      </c>
      <c r="T13" s="9"/>
      <c r="U13" s="63"/>
    </row>
    <row r="14" spans="1:21" x14ac:dyDescent="0.2">
      <c r="A14" t="s">
        <v>170</v>
      </c>
      <c r="B14" t="s">
        <v>171</v>
      </c>
      <c r="C14" t="s">
        <v>47</v>
      </c>
      <c r="D14">
        <v>20190718</v>
      </c>
      <c r="E14">
        <v>494.83960200000001</v>
      </c>
      <c r="F14">
        <v>493.13597399999998</v>
      </c>
      <c r="G14">
        <v>470.187656</v>
      </c>
      <c r="H14">
        <v>462.89657499999998</v>
      </c>
      <c r="I14">
        <v>482.83220899999998</v>
      </c>
      <c r="J14">
        <v>480.77840320000007</v>
      </c>
      <c r="K14">
        <v>479.58111656775895</v>
      </c>
      <c r="L14">
        <v>476.65681224967307</v>
      </c>
      <c r="M14">
        <v>482.19124812151159</v>
      </c>
      <c r="N14">
        <v>459.21821575643145</v>
      </c>
      <c r="O14">
        <v>458.97200022357202</v>
      </c>
      <c r="P14">
        <v>471.21360927810656</v>
      </c>
      <c r="Q14">
        <v>471.30550036617564</v>
      </c>
      <c r="R14">
        <v>388.7</v>
      </c>
      <c r="S14">
        <v>473</v>
      </c>
      <c r="T14" s="9"/>
      <c r="U14" s="63"/>
    </row>
    <row r="15" spans="1:21" x14ac:dyDescent="0.2">
      <c r="A15" t="s">
        <v>170</v>
      </c>
      <c r="B15" t="s">
        <v>171</v>
      </c>
      <c r="C15" t="s">
        <v>48</v>
      </c>
      <c r="D15">
        <v>20191017</v>
      </c>
      <c r="E15">
        <v>497.172843</v>
      </c>
      <c r="F15">
        <v>505.24609199999998</v>
      </c>
      <c r="G15">
        <v>482.57932899999997</v>
      </c>
      <c r="H15">
        <v>472.568668</v>
      </c>
      <c r="I15">
        <v>473.415302</v>
      </c>
      <c r="J15">
        <v>486.19644679999993</v>
      </c>
      <c r="K15">
        <v>475.23026408666459</v>
      </c>
      <c r="L15">
        <v>484.61563162293248</v>
      </c>
      <c r="M15">
        <v>485.46579159236796</v>
      </c>
      <c r="N15">
        <v>482.88320120752678</v>
      </c>
      <c r="O15">
        <v>463.7748552644714</v>
      </c>
      <c r="P15">
        <v>478.33038631881698</v>
      </c>
      <c r="Q15">
        <v>478.38335501546339</v>
      </c>
      <c r="R15">
        <v>388.9</v>
      </c>
      <c r="S15">
        <v>482</v>
      </c>
      <c r="T15" s="9"/>
      <c r="U15" s="63"/>
    </row>
    <row r="16" spans="1:21" x14ac:dyDescent="0.2">
      <c r="A16" t="s">
        <v>170</v>
      </c>
      <c r="B16" t="s">
        <v>171</v>
      </c>
      <c r="C16" t="s">
        <v>49</v>
      </c>
      <c r="D16">
        <v>20200130</v>
      </c>
      <c r="E16">
        <v>573.81274599999995</v>
      </c>
      <c r="F16">
        <v>568.10519399999998</v>
      </c>
      <c r="G16">
        <v>572.007791</v>
      </c>
      <c r="H16">
        <v>567.67052200000001</v>
      </c>
      <c r="I16">
        <v>550.85037999999997</v>
      </c>
      <c r="J16">
        <v>566.48932659999991</v>
      </c>
      <c r="K16">
        <v>556.30098760643682</v>
      </c>
      <c r="L16">
        <v>541.96698963878384</v>
      </c>
      <c r="M16">
        <v>571.32110451834126</v>
      </c>
      <c r="N16">
        <v>578.99985786615878</v>
      </c>
      <c r="O16">
        <v>560.83925052342306</v>
      </c>
      <c r="P16">
        <v>561.59985787292271</v>
      </c>
      <c r="Q16">
        <v>561.83800800434449</v>
      </c>
      <c r="R16">
        <v>436.5</v>
      </c>
      <c r="S16">
        <v>587</v>
      </c>
      <c r="T16" s="9"/>
      <c r="U16" s="63"/>
    </row>
    <row r="17" spans="1:21" x14ac:dyDescent="0.2">
      <c r="A17" t="s">
        <v>170</v>
      </c>
      <c r="B17" t="s">
        <v>171</v>
      </c>
      <c r="C17" t="s">
        <v>50</v>
      </c>
      <c r="D17">
        <v>20200423</v>
      </c>
      <c r="E17">
        <v>553.05831599999999</v>
      </c>
      <c r="F17">
        <v>566.54640800000004</v>
      </c>
      <c r="G17">
        <v>562.91036099999997</v>
      </c>
      <c r="H17">
        <v>528.15868</v>
      </c>
      <c r="I17">
        <v>497.61593299999998</v>
      </c>
      <c r="J17">
        <v>541.65793959999996</v>
      </c>
      <c r="K17">
        <v>565.76859568748591</v>
      </c>
      <c r="L17">
        <v>585.38936980041069</v>
      </c>
      <c r="M17">
        <v>577.66412819191828</v>
      </c>
      <c r="N17">
        <v>546.14275912674566</v>
      </c>
      <c r="O17">
        <v>530.27203624875415</v>
      </c>
      <c r="P17">
        <v>561.26955198523603</v>
      </c>
      <c r="Q17">
        <v>561.08440684009167</v>
      </c>
      <c r="R17">
        <v>534.1</v>
      </c>
      <c r="S17">
        <v>521</v>
      </c>
      <c r="T17" s="9"/>
      <c r="U17" s="63"/>
    </row>
    <row r="18" spans="1:21" x14ac:dyDescent="0.2">
      <c r="A18" t="s">
        <v>170</v>
      </c>
      <c r="B18" t="s">
        <v>171</v>
      </c>
      <c r="C18" t="s">
        <v>51</v>
      </c>
      <c r="D18">
        <v>20200723</v>
      </c>
      <c r="E18">
        <v>417.85383999999999</v>
      </c>
      <c r="F18">
        <v>437.50717300000002</v>
      </c>
      <c r="G18">
        <v>404.487368</v>
      </c>
      <c r="H18">
        <v>417.09226000000001</v>
      </c>
      <c r="I18">
        <v>389.00676600000003</v>
      </c>
      <c r="J18">
        <v>413.18948140000003</v>
      </c>
      <c r="K18">
        <v>393.63272252107316</v>
      </c>
      <c r="L18">
        <v>402.33462592706081</v>
      </c>
      <c r="M18">
        <v>374.37207294182321</v>
      </c>
      <c r="N18">
        <v>411.43897788444946</v>
      </c>
      <c r="O18">
        <v>407.28704940000387</v>
      </c>
      <c r="P18">
        <v>397.43111670877101</v>
      </c>
      <c r="Q18">
        <v>397.74942756386355</v>
      </c>
      <c r="R18">
        <v>365</v>
      </c>
      <c r="S18">
        <v>378</v>
      </c>
      <c r="T18" s="9"/>
      <c r="U18" s="63"/>
    </row>
    <row r="19" spans="1:21" x14ac:dyDescent="0.2">
      <c r="A19" t="s">
        <v>170</v>
      </c>
      <c r="B19" t="s">
        <v>171</v>
      </c>
      <c r="C19" t="s">
        <v>52</v>
      </c>
      <c r="D19">
        <v>20201022</v>
      </c>
      <c r="E19">
        <v>573.08081800000002</v>
      </c>
      <c r="F19">
        <v>617.64619300000004</v>
      </c>
      <c r="G19">
        <v>581.56297800000004</v>
      </c>
      <c r="H19">
        <v>573.93016</v>
      </c>
      <c r="I19">
        <v>540.32557099999997</v>
      </c>
      <c r="J19">
        <v>577.30914399999995</v>
      </c>
      <c r="K19">
        <v>518.42182233864366</v>
      </c>
      <c r="L19">
        <v>533.63756153547683</v>
      </c>
      <c r="M19">
        <v>543.48002700544168</v>
      </c>
      <c r="N19">
        <v>520.13815955251721</v>
      </c>
      <c r="O19">
        <v>525.03730960299026</v>
      </c>
      <c r="P19">
        <v>528.14233240546366</v>
      </c>
      <c r="Q19">
        <v>528.14286874008883</v>
      </c>
      <c r="R19">
        <v>495.9</v>
      </c>
      <c r="S19">
        <v>491</v>
      </c>
      <c r="T19" s="9"/>
      <c r="U19" s="63"/>
    </row>
    <row r="20" spans="1:21" x14ac:dyDescent="0.2">
      <c r="A20" t="s">
        <v>170</v>
      </c>
      <c r="B20" t="s">
        <v>171</v>
      </c>
      <c r="C20" t="s">
        <v>53</v>
      </c>
      <c r="D20">
        <v>20210128</v>
      </c>
      <c r="E20">
        <v>569.04223400000001</v>
      </c>
      <c r="F20">
        <v>567.02509399999997</v>
      </c>
      <c r="G20">
        <v>542.14962500000001</v>
      </c>
      <c r="H20">
        <v>562.13315799999998</v>
      </c>
      <c r="I20">
        <v>544.50203199999999</v>
      </c>
      <c r="J20">
        <f>AVERAGE(E20:I20)</f>
        <v>556.97042859999999</v>
      </c>
      <c r="K20">
        <v>482.39290857402239</v>
      </c>
      <c r="L20">
        <v>446.55536874004491</v>
      </c>
      <c r="M20">
        <v>461.92655091603842</v>
      </c>
      <c r="N20">
        <v>476.87978824287609</v>
      </c>
      <c r="O20">
        <v>482.90502901999434</v>
      </c>
      <c r="P20">
        <v>469.60086098618939</v>
      </c>
      <c r="Q20">
        <v>470.04341774652761</v>
      </c>
      <c r="R20">
        <v>521.5</v>
      </c>
      <c r="S20">
        <v>479</v>
      </c>
    </row>
    <row r="21" spans="1:21" x14ac:dyDescent="0.2">
      <c r="A21" t="s">
        <v>170</v>
      </c>
      <c r="B21" t="s">
        <v>171</v>
      </c>
      <c r="C21" t="s">
        <v>54</v>
      </c>
      <c r="D21">
        <v>20210422</v>
      </c>
      <c r="E21">
        <v>549.42821000000004</v>
      </c>
      <c r="F21">
        <v>544.31553499999995</v>
      </c>
      <c r="G21">
        <v>522.87090799999999</v>
      </c>
      <c r="H21">
        <v>536.84183099999996</v>
      </c>
      <c r="I21">
        <v>576.94213100000002</v>
      </c>
      <c r="J21">
        <v>546.07972300000006</v>
      </c>
      <c r="K21">
        <v>467.42417780932027</v>
      </c>
      <c r="L21">
        <v>464.14390416961243</v>
      </c>
      <c r="M21">
        <v>457.76418081966222</v>
      </c>
      <c r="N21">
        <v>461.31267880061154</v>
      </c>
      <c r="O21">
        <v>520.03432531480769</v>
      </c>
      <c r="P21">
        <v>473.73528724198087</v>
      </c>
      <c r="Q21">
        <v>474.0690923593325</v>
      </c>
      <c r="R21">
        <v>518.6</v>
      </c>
      <c r="S21">
        <v>581</v>
      </c>
    </row>
    <row r="22" spans="1:21" x14ac:dyDescent="0.2">
      <c r="A22" t="s">
        <v>170</v>
      </c>
      <c r="B22" t="s">
        <v>171</v>
      </c>
      <c r="C22" t="s">
        <v>55</v>
      </c>
      <c r="D22">
        <v>20210722</v>
      </c>
      <c r="E22">
        <v>640.02292</v>
      </c>
      <c r="F22">
        <v>635.60952499999996</v>
      </c>
      <c r="G22">
        <v>617.26544100000001</v>
      </c>
      <c r="H22">
        <v>630.59345299999995</v>
      </c>
      <c r="I22">
        <v>652.96136100000001</v>
      </c>
      <c r="J22">
        <v>635.29054000000008</v>
      </c>
      <c r="K22">
        <v>676.80055328793549</v>
      </c>
      <c r="L22">
        <v>678.44680204653719</v>
      </c>
      <c r="M22">
        <v>685.88865001645877</v>
      </c>
      <c r="N22">
        <v>682.46320431203515</v>
      </c>
      <c r="O22">
        <v>657.55390420776882</v>
      </c>
      <c r="P22">
        <v>675.91560022088561</v>
      </c>
      <c r="Q22">
        <v>676.17811901527023</v>
      </c>
      <c r="R22">
        <v>604.9</v>
      </c>
      <c r="S22">
        <v>656</v>
      </c>
    </row>
    <row r="23" spans="1:21" x14ac:dyDescent="0.2">
      <c r="A23" t="s">
        <v>170</v>
      </c>
      <c r="B23" t="s">
        <v>171</v>
      </c>
      <c r="C23" t="s">
        <v>71</v>
      </c>
      <c r="D23" s="12">
        <v>20211021</v>
      </c>
      <c r="E23">
        <v>613.59083760600004</v>
      </c>
      <c r="F23">
        <v>610.55761442193932</v>
      </c>
      <c r="G23">
        <v>571.14093930449644</v>
      </c>
      <c r="H23">
        <v>575.41434539199997</v>
      </c>
      <c r="I23">
        <v>540.48275582724682</v>
      </c>
      <c r="J23">
        <f>AVERAGE(E23:H23)</f>
        <v>592.67593418110891</v>
      </c>
      <c r="K23" s="100">
        <f>(E23/E22)*$S21</f>
        <v>557.00548450528311</v>
      </c>
      <c r="L23" s="100">
        <f t="shared" ref="L23:Q23" si="0">(F23/F22)*$S21</f>
        <v>558.10046896189408</v>
      </c>
      <c r="M23" s="100">
        <f t="shared" si="0"/>
        <v>537.58539470203777</v>
      </c>
      <c r="N23" s="100">
        <f t="shared" si="0"/>
        <v>530.16049101409249</v>
      </c>
      <c r="O23" s="100">
        <f t="shared" si="0"/>
        <v>480.9174016893021</v>
      </c>
      <c r="P23" s="100">
        <f t="shared" si="0"/>
        <v>542.02714518497976</v>
      </c>
      <c r="Q23" s="100">
        <f t="shared" si="0"/>
        <v>478.16182319208258</v>
      </c>
      <c r="R23" s="6">
        <f>'1. Data &amp; Confidence Interval'!AJ14</f>
        <v>619.5</v>
      </c>
      <c r="S23" s="10"/>
    </row>
    <row r="24" spans="1:21" x14ac:dyDescent="0.2">
      <c r="A24" s="166" t="s">
        <v>75</v>
      </c>
      <c r="B24" s="167"/>
      <c r="C24" s="167"/>
      <c r="D24" s="167"/>
      <c r="E24" s="110">
        <f t="shared" ref="E24:Q24" si="1">CORREL(E$8:E$22,$S$8:$S$22)</f>
        <v>0.87984491697355749</v>
      </c>
      <c r="F24" s="110">
        <f t="shared" si="1"/>
        <v>0.80820496077483506</v>
      </c>
      <c r="G24" s="110">
        <f t="shared" si="1"/>
        <v>0.8498387616773283</v>
      </c>
      <c r="H24" s="110">
        <f t="shared" si="1"/>
        <v>0.85695654935199883</v>
      </c>
      <c r="I24" s="111">
        <f t="shared" si="1"/>
        <v>0.90878414806708241</v>
      </c>
      <c r="J24" s="111">
        <f>CORREL(J$8:J$22,$S$8:$S$22)</f>
        <v>0.87734449048142604</v>
      </c>
      <c r="K24" s="110">
        <f t="shared" si="1"/>
        <v>0.85071111434444147</v>
      </c>
      <c r="L24" s="110">
        <f t="shared" si="1"/>
        <v>0.80976452891084294</v>
      </c>
      <c r="M24" s="110">
        <f t="shared" si="1"/>
        <v>0.8408434926387095</v>
      </c>
      <c r="N24" s="110">
        <f t="shared" si="1"/>
        <v>0.8464451582331266</v>
      </c>
      <c r="O24" s="110">
        <f t="shared" si="1"/>
        <v>0.90662215112647937</v>
      </c>
      <c r="P24" s="110">
        <f t="shared" si="1"/>
        <v>0.86031472168700263</v>
      </c>
      <c r="Q24" s="110">
        <f t="shared" si="1"/>
        <v>0.86096825686909773</v>
      </c>
      <c r="R24" s="110">
        <f>CORREL(R$8:R$22,$S$8:$S$22)</f>
        <v>0.79645091728783413</v>
      </c>
      <c r="S24" s="5"/>
    </row>
    <row r="26" spans="1:21" x14ac:dyDescent="0.2">
      <c r="A26" s="169" t="s">
        <v>77</v>
      </c>
      <c r="B26" s="170"/>
    </row>
    <row r="27" spans="1:21" x14ac:dyDescent="0.2">
      <c r="A27" s="17" t="s">
        <v>56</v>
      </c>
      <c r="B27" s="17" t="s">
        <v>57</v>
      </c>
      <c r="C27" s="17" t="s">
        <v>68</v>
      </c>
      <c r="D27" s="17" t="s">
        <v>58</v>
      </c>
      <c r="E27" s="17" t="s">
        <v>59</v>
      </c>
      <c r="F27" s="17" t="s">
        <v>69</v>
      </c>
      <c r="G27" s="17" t="s">
        <v>60</v>
      </c>
      <c r="H27" s="17" t="s">
        <v>61</v>
      </c>
      <c r="I27" s="17" t="s">
        <v>70</v>
      </c>
      <c r="J27" s="17" t="s">
        <v>62</v>
      </c>
      <c r="K27" s="17" t="s">
        <v>63</v>
      </c>
      <c r="L27" s="17" t="s">
        <v>73</v>
      </c>
      <c r="M27" s="17" t="s">
        <v>64</v>
      </c>
      <c r="N27" s="17" t="s">
        <v>65</v>
      </c>
      <c r="O27" s="17" t="s">
        <v>74</v>
      </c>
      <c r="P27" s="17" t="s">
        <v>66</v>
      </c>
      <c r="Q27" s="17" t="s">
        <v>67</v>
      </c>
      <c r="R27" s="17" t="s">
        <v>0</v>
      </c>
    </row>
    <row r="28" spans="1:21" x14ac:dyDescent="0.2">
      <c r="A28" s="9" t="str">
        <f>A8</f>
        <v>BSX_CARDIO</v>
      </c>
      <c r="B28" s="9" t="str">
        <f t="shared" ref="B28:D29" si="2">B8</f>
        <v>Cardiovascular</v>
      </c>
      <c r="C28" s="9" t="str">
        <f t="shared" si="2"/>
        <v>2017Q4</v>
      </c>
      <c r="D28" s="9">
        <f t="shared" si="2"/>
        <v>20180125</v>
      </c>
      <c r="E28" s="18">
        <f t="shared" ref="E28:J29" si="3">$S8/E8-1</f>
        <v>-9.3541464932646812E-2</v>
      </c>
      <c r="F28" s="18">
        <f t="shared" si="3"/>
        <v>-9.0512280171055948E-2</v>
      </c>
      <c r="G28" s="18">
        <f t="shared" si="3"/>
        <v>6.1574400337172097E-3</v>
      </c>
      <c r="H28" s="18">
        <f t="shared" si="3"/>
        <v>-4.0403531961419326E-4</v>
      </c>
      <c r="I28" s="18">
        <f t="shared" si="3"/>
        <v>2.880811644856407E-2</v>
      </c>
      <c r="J28" s="18">
        <f t="shared" si="3"/>
        <v>-3.2694441144685782E-2</v>
      </c>
      <c r="K28" s="18"/>
      <c r="L28" s="18"/>
      <c r="M28" s="18"/>
      <c r="N28" s="18"/>
      <c r="O28" s="18"/>
      <c r="P28" s="18"/>
      <c r="Q28" s="18"/>
      <c r="R28" s="41">
        <f>$S8/R8-1</f>
        <v>0.14659685863874339</v>
      </c>
    </row>
    <row r="29" spans="1:21" x14ac:dyDescent="0.2">
      <c r="A29" s="9" t="str">
        <f>A9</f>
        <v>BSX_CARDIO</v>
      </c>
      <c r="B29" s="9" t="str">
        <f t="shared" si="2"/>
        <v>Cardiovascular</v>
      </c>
      <c r="C29" s="9" t="str">
        <f t="shared" si="2"/>
        <v>2018Q1</v>
      </c>
      <c r="D29" s="9">
        <f t="shared" si="2"/>
        <v>20180419</v>
      </c>
      <c r="E29" s="18">
        <f t="shared" ref="E29:E39" si="4">$S9/E9-1</f>
        <v>4.0058802287912698E-2</v>
      </c>
      <c r="F29" s="18">
        <f t="shared" si="3"/>
        <v>4.8605795518694483E-2</v>
      </c>
      <c r="G29" s="18">
        <f t="shared" si="3"/>
        <v>0.10812617931060542</v>
      </c>
      <c r="H29" s="18">
        <f t="shared" si="3"/>
        <v>0.10859450616318811</v>
      </c>
      <c r="I29" s="18">
        <f t="shared" si="3"/>
        <v>0.10002407348458275</v>
      </c>
      <c r="J29" s="18">
        <f t="shared" si="3"/>
        <v>8.0223975099581679E-2</v>
      </c>
      <c r="K29" s="18">
        <f t="shared" ref="K29:Q29" si="5">$S9/K9-1</f>
        <v>0.14738706962545445</v>
      </c>
      <c r="L29" s="18">
        <f t="shared" si="5"/>
        <v>0.15296311611102986</v>
      </c>
      <c r="M29" s="18">
        <f t="shared" si="5"/>
        <v>0.10134471526987965</v>
      </c>
      <c r="N29" s="18">
        <f t="shared" si="5"/>
        <v>0.1090425985439567</v>
      </c>
      <c r="O29" s="18">
        <f t="shared" si="5"/>
        <v>6.9221807154725479E-2</v>
      </c>
      <c r="P29" s="18">
        <f t="shared" si="5"/>
        <v>0.11673500189318919</v>
      </c>
      <c r="Q29" s="18">
        <f t="shared" si="5"/>
        <v>0.11539449866627627</v>
      </c>
      <c r="R29" s="41">
        <f>$S9/R9-1</f>
        <v>0.11605973277443016</v>
      </c>
    </row>
    <row r="30" spans="1:21" x14ac:dyDescent="0.2">
      <c r="A30" s="9" t="str">
        <f t="shared" ref="A30:D30" si="6">A10</f>
        <v>BSX_CARDIO</v>
      </c>
      <c r="B30" s="9" t="str">
        <f t="shared" si="6"/>
        <v>Cardiovascular</v>
      </c>
      <c r="C30" s="9" t="str">
        <f t="shared" si="6"/>
        <v>2018Q2</v>
      </c>
      <c r="D30" s="9">
        <f t="shared" si="6"/>
        <v>20180719</v>
      </c>
      <c r="E30" s="18">
        <f t="shared" si="4"/>
        <v>-5.6882286048794195E-2</v>
      </c>
      <c r="F30" s="18">
        <f t="shared" ref="F30:J30" si="7">$S10/F10-1</f>
        <v>-5.2919559272480821E-2</v>
      </c>
      <c r="G30" s="18">
        <f t="shared" si="7"/>
        <v>2.443349342317136E-2</v>
      </c>
      <c r="H30" s="18">
        <f t="shared" si="7"/>
        <v>-1.4067051429200617E-2</v>
      </c>
      <c r="I30" s="18">
        <f t="shared" si="7"/>
        <v>-8.2358266439613859E-3</v>
      </c>
      <c r="J30" s="18">
        <f t="shared" si="7"/>
        <v>-2.2465844021604786E-2</v>
      </c>
      <c r="K30" s="18">
        <f t="shared" ref="K30:Q30" si="8">$S10/K10-1</f>
        <v>-9.3207314935902397E-2</v>
      </c>
      <c r="L30" s="18">
        <f t="shared" si="8"/>
        <v>-9.6819372184525965E-2</v>
      </c>
      <c r="M30" s="18">
        <f t="shared" si="8"/>
        <v>-7.5526314105765047E-2</v>
      </c>
      <c r="N30" s="18">
        <f t="shared" si="8"/>
        <v>-0.11064600889726284</v>
      </c>
      <c r="O30" s="18">
        <f t="shared" si="8"/>
        <v>-9.8415937194543002E-2</v>
      </c>
      <c r="P30" s="18">
        <f t="shared" si="8"/>
        <v>-9.5063451180779301E-2</v>
      </c>
      <c r="Q30" s="18">
        <f t="shared" si="8"/>
        <v>-9.506399770016094E-2</v>
      </c>
      <c r="R30" s="41">
        <f t="shared" ref="R30:R37" si="9">$S10/R10-1</f>
        <v>0.10073710073710074</v>
      </c>
    </row>
    <row r="31" spans="1:21" x14ac:dyDescent="0.2">
      <c r="A31" s="9" t="str">
        <f t="shared" ref="A31:D31" si="10">A11</f>
        <v>BSX_CARDIO</v>
      </c>
      <c r="B31" s="9" t="str">
        <f t="shared" si="10"/>
        <v>Cardiovascular</v>
      </c>
      <c r="C31" s="9" t="str">
        <f t="shared" si="10"/>
        <v>2018Q3</v>
      </c>
      <c r="D31" s="9">
        <f t="shared" si="10"/>
        <v>20181018</v>
      </c>
      <c r="E31" s="18">
        <f t="shared" si="4"/>
        <v>-6.3032387420659641E-2</v>
      </c>
      <c r="F31" s="18">
        <f t="shared" ref="F31:J31" si="11">$S11/F11-1</f>
        <v>-6.2989874547957792E-2</v>
      </c>
      <c r="G31" s="18">
        <f t="shared" si="11"/>
        <v>5.1016812739037132E-2</v>
      </c>
      <c r="H31" s="18">
        <f t="shared" si="11"/>
        <v>-3.5987407814883077E-2</v>
      </c>
      <c r="I31" s="18">
        <f t="shared" si="11"/>
        <v>-1.1669064315862787E-2</v>
      </c>
      <c r="J31" s="18">
        <f t="shared" si="11"/>
        <v>-2.6308052021489448E-2</v>
      </c>
      <c r="K31" s="18">
        <f t="shared" ref="K31:Q31" si="12">$S11/K11-1</f>
        <v>-6.5210326143696484E-3</v>
      </c>
      <c r="L31" s="18">
        <f t="shared" si="12"/>
        <v>-1.063300944927259E-2</v>
      </c>
      <c r="M31" s="18">
        <f t="shared" si="12"/>
        <v>2.5949287568719503E-2</v>
      </c>
      <c r="N31" s="18">
        <f t="shared" si="12"/>
        <v>-2.2233110697292391E-2</v>
      </c>
      <c r="O31" s="18">
        <f t="shared" si="12"/>
        <v>-3.4617480285495938E-3</v>
      </c>
      <c r="P31" s="18">
        <f t="shared" si="12"/>
        <v>-3.9305102296288696E-3</v>
      </c>
      <c r="Q31" s="18">
        <f t="shared" si="12"/>
        <v>-3.6824929460277378E-3</v>
      </c>
      <c r="R31" s="41">
        <f t="shared" si="9"/>
        <v>0.13133940182054626</v>
      </c>
    </row>
    <row r="32" spans="1:21" x14ac:dyDescent="0.2">
      <c r="A32" s="9" t="str">
        <f t="shared" ref="A32:D32" si="13">A12</f>
        <v>BSX_CARDIO</v>
      </c>
      <c r="B32" s="9" t="str">
        <f t="shared" si="13"/>
        <v>Cardiovascular</v>
      </c>
      <c r="C32" s="9" t="str">
        <f t="shared" si="13"/>
        <v>2018Q4</v>
      </c>
      <c r="D32" s="9">
        <f t="shared" si="13"/>
        <v>20190131</v>
      </c>
      <c r="E32" s="18">
        <f t="shared" si="4"/>
        <v>-7.623392201709922E-2</v>
      </c>
      <c r="F32" s="18">
        <f t="shared" ref="F32:J32" si="14">$S12/F12-1</f>
        <v>-7.771433318800236E-2</v>
      </c>
      <c r="G32" s="18">
        <f t="shared" si="14"/>
        <v>-1.4279581183626933E-2</v>
      </c>
      <c r="H32" s="18">
        <f t="shared" si="14"/>
        <v>-3.5593068567665864E-2</v>
      </c>
      <c r="I32" s="18">
        <f t="shared" si="14"/>
        <v>-0.10477782151674808</v>
      </c>
      <c r="J32" s="18">
        <f t="shared" si="14"/>
        <v>-6.2831903356875829E-2</v>
      </c>
      <c r="K32" s="18">
        <f t="shared" ref="K32:Q32" si="15">$S12/K12-1</f>
        <v>-1.4089638125375115E-2</v>
      </c>
      <c r="L32" s="18">
        <f t="shared" si="15"/>
        <v>-1.5714300454267915E-2</v>
      </c>
      <c r="M32" s="18">
        <f t="shared" si="15"/>
        <v>-6.2126878591500456E-2</v>
      </c>
      <c r="N32" s="18">
        <f t="shared" si="15"/>
        <v>4.0906026582443467E-4</v>
      </c>
      <c r="O32" s="18">
        <f t="shared" si="15"/>
        <v>-9.4208077314137717E-2</v>
      </c>
      <c r="P32" s="18">
        <f t="shared" si="15"/>
        <v>-3.7510684371185099E-2</v>
      </c>
      <c r="Q32" s="18">
        <f t="shared" si="15"/>
        <v>-3.8317975471382049E-2</v>
      </c>
      <c r="R32" s="41">
        <f t="shared" si="9"/>
        <v>0.22930800542740837</v>
      </c>
    </row>
    <row r="33" spans="1:18" x14ac:dyDescent="0.2">
      <c r="A33" s="9" t="str">
        <f t="shared" ref="A33:D33" si="16">A13</f>
        <v>BSX_CARDIO</v>
      </c>
      <c r="B33" s="9" t="str">
        <f t="shared" si="16"/>
        <v>Cardiovascular</v>
      </c>
      <c r="C33" s="9" t="str">
        <f t="shared" si="16"/>
        <v>2019Q1</v>
      </c>
      <c r="D33" s="9">
        <f t="shared" si="16"/>
        <v>20190418</v>
      </c>
      <c r="E33" s="18">
        <f t="shared" si="4"/>
        <v>-3.0835214826320678E-2</v>
      </c>
      <c r="F33" s="18">
        <f t="shared" ref="F33:J33" si="17">$S13/F13-1</f>
        <v>-3.341707484176959E-2</v>
      </c>
      <c r="G33" s="18">
        <f t="shared" si="17"/>
        <v>2.5529364644808039E-2</v>
      </c>
      <c r="H33" s="18">
        <f t="shared" si="17"/>
        <v>-7.9463954633248735E-3</v>
      </c>
      <c r="I33" s="18">
        <f t="shared" si="17"/>
        <v>-4.9417185373455519E-2</v>
      </c>
      <c r="J33" s="18">
        <f t="shared" si="17"/>
        <v>-1.9894391799281097E-2</v>
      </c>
      <c r="K33" s="18">
        <f t="shared" ref="K33:Q33" si="18">$S13/K13-1</f>
        <v>4.9145241715207177E-2</v>
      </c>
      <c r="L33" s="18">
        <f t="shared" si="18"/>
        <v>4.8029867469752796E-2</v>
      </c>
      <c r="M33" s="18">
        <f t="shared" si="18"/>
        <v>4.0385635793399155E-2</v>
      </c>
      <c r="N33" s="18">
        <f t="shared" si="18"/>
        <v>2.866702032437729E-2</v>
      </c>
      <c r="O33" s="18">
        <f t="shared" si="18"/>
        <v>6.1840107935092092E-2</v>
      </c>
      <c r="P33" s="18">
        <f t="shared" si="18"/>
        <v>4.5816232660281564E-2</v>
      </c>
      <c r="Q33" s="18">
        <f t="shared" si="18"/>
        <v>4.555220167047791E-2</v>
      </c>
      <c r="R33" s="41">
        <f t="shared" si="9"/>
        <v>0.15689787560788337</v>
      </c>
    </row>
    <row r="34" spans="1:18" x14ac:dyDescent="0.2">
      <c r="A34" s="9" t="str">
        <f t="shared" ref="A34:D34" si="19">A14</f>
        <v>BSX_CARDIO</v>
      </c>
      <c r="B34" s="9" t="str">
        <f t="shared" si="19"/>
        <v>Cardiovascular</v>
      </c>
      <c r="C34" s="9" t="str">
        <f t="shared" si="19"/>
        <v>2019Q2</v>
      </c>
      <c r="D34" s="9">
        <f t="shared" si="19"/>
        <v>20190718</v>
      </c>
      <c r="E34" s="18">
        <f t="shared" si="4"/>
        <v>-4.4134709331530075E-2</v>
      </c>
      <c r="F34" s="18">
        <f t="shared" ref="F34:J34" si="20">$S14/F14-1</f>
        <v>-4.0832498664962524E-2</v>
      </c>
      <c r="G34" s="18">
        <f>$S14/G14-1</f>
        <v>5.9813224871221315E-3</v>
      </c>
      <c r="H34" s="18">
        <f t="shared" si="20"/>
        <v>2.1826527880445035E-2</v>
      </c>
      <c r="I34" s="18">
        <f t="shared" si="20"/>
        <v>-2.0363614557453835E-2</v>
      </c>
      <c r="J34" s="18">
        <f t="shared" si="20"/>
        <v>-1.6178769986813113E-2</v>
      </c>
      <c r="K34" s="18">
        <f t="shared" ref="K34:Q34" si="21">$S14/K14-1</f>
        <v>-1.3722634900344532E-2</v>
      </c>
      <c r="L34" s="18">
        <f t="shared" si="21"/>
        <v>-7.6717926938126846E-3</v>
      </c>
      <c r="M34" s="18">
        <f t="shared" si="21"/>
        <v>-1.9061416310060086E-2</v>
      </c>
      <c r="N34" s="18">
        <f t="shared" si="21"/>
        <v>3.0011405843008543E-2</v>
      </c>
      <c r="O34" s="18">
        <f t="shared" si="21"/>
        <v>3.0563955469167459E-2</v>
      </c>
      <c r="P34" s="18">
        <f t="shared" si="21"/>
        <v>3.7910422931759502E-3</v>
      </c>
      <c r="Q34" s="18">
        <f t="shared" si="21"/>
        <v>3.5953317593531153E-3</v>
      </c>
      <c r="R34" s="41">
        <f t="shared" si="9"/>
        <v>0.21687676871623363</v>
      </c>
    </row>
    <row r="35" spans="1:18" x14ac:dyDescent="0.2">
      <c r="A35" s="9" t="str">
        <f t="shared" ref="A35:D35" si="22">A15</f>
        <v>BSX_CARDIO</v>
      </c>
      <c r="B35" s="9" t="str">
        <f t="shared" si="22"/>
        <v>Cardiovascular</v>
      </c>
      <c r="C35" s="9" t="str">
        <f t="shared" si="22"/>
        <v>2019Q3</v>
      </c>
      <c r="D35" s="9">
        <f t="shared" si="22"/>
        <v>20191017</v>
      </c>
      <c r="E35" s="18">
        <f t="shared" si="4"/>
        <v>-3.0518245744166728E-2</v>
      </c>
      <c r="F35" s="18">
        <f t="shared" ref="F35:J35" si="23">$S15/F15-1</f>
        <v>-4.600944444316446E-2</v>
      </c>
      <c r="G35" s="18">
        <f>$S15/G15-1</f>
        <v>-1.2004844907063106E-3</v>
      </c>
      <c r="H35" s="18">
        <f t="shared" si="23"/>
        <v>1.9957590586602292E-2</v>
      </c>
      <c r="I35" s="18">
        <f t="shared" si="23"/>
        <v>1.8133545670646622E-2</v>
      </c>
      <c r="J35" s="18">
        <f t="shared" si="23"/>
        <v>-8.6311753769894306E-3</v>
      </c>
      <c r="K35" s="18">
        <f t="shared" ref="K35:Q35" si="24">$S15/K15-1</f>
        <v>1.4245170025831699E-2</v>
      </c>
      <c r="L35" s="18">
        <f t="shared" si="24"/>
        <v>-5.397332343929917E-3</v>
      </c>
      <c r="M35" s="18">
        <f t="shared" si="24"/>
        <v>-7.1391056844600786E-3</v>
      </c>
      <c r="N35" s="18">
        <f t="shared" si="24"/>
        <v>-1.8290162203161708E-3</v>
      </c>
      <c r="O35" s="18">
        <f t="shared" si="24"/>
        <v>3.9297397279409507E-2</v>
      </c>
      <c r="P35" s="18">
        <f t="shared" si="24"/>
        <v>7.6717134979109591E-3</v>
      </c>
      <c r="Q35" s="18">
        <f t="shared" si="24"/>
        <v>7.5601396800684117E-3</v>
      </c>
      <c r="R35" s="41">
        <f t="shared" si="9"/>
        <v>0.23939316019542312</v>
      </c>
    </row>
    <row r="36" spans="1:18" x14ac:dyDescent="0.2">
      <c r="A36" s="9" t="str">
        <f t="shared" ref="A36:D36" si="25">A16</f>
        <v>BSX_CARDIO</v>
      </c>
      <c r="B36" s="9" t="str">
        <f t="shared" si="25"/>
        <v>Cardiovascular</v>
      </c>
      <c r="C36" s="9" t="str">
        <f t="shared" si="25"/>
        <v>2019Q4</v>
      </c>
      <c r="D36" s="9">
        <f t="shared" si="25"/>
        <v>20200130</v>
      </c>
      <c r="E36" s="18">
        <f t="shared" si="4"/>
        <v>2.2981807378674057E-2</v>
      </c>
      <c r="F36" s="18">
        <f t="shared" ref="F36:J36" si="26">$S16/F16-1</f>
        <v>3.3259343867220403E-2</v>
      </c>
      <c r="G36" s="18">
        <f t="shared" si="26"/>
        <v>2.6209798600453027E-2</v>
      </c>
      <c r="H36" s="18">
        <f t="shared" si="26"/>
        <v>3.4050522707959052E-2</v>
      </c>
      <c r="I36" s="18">
        <f t="shared" si="26"/>
        <v>6.56251158436163E-2</v>
      </c>
      <c r="J36" s="18">
        <f t="shared" si="26"/>
        <v>3.6206636977792028E-2</v>
      </c>
      <c r="K36" s="18">
        <f t="shared" ref="K36:Q36" si="27">$S16/K16-1</f>
        <v>5.5184177410236179E-2</v>
      </c>
      <c r="L36" s="18">
        <f t="shared" si="27"/>
        <v>8.3091795666799362E-2</v>
      </c>
      <c r="M36" s="18">
        <f t="shared" si="27"/>
        <v>2.7443228261061714E-2</v>
      </c>
      <c r="N36" s="18">
        <f t="shared" si="27"/>
        <v>1.3817174607477334E-2</v>
      </c>
      <c r="O36" s="18">
        <f t="shared" si="27"/>
        <v>4.6645717916785401E-2</v>
      </c>
      <c r="P36" s="18">
        <f t="shared" si="27"/>
        <v>4.5228184749335876E-2</v>
      </c>
      <c r="Q36" s="18">
        <f t="shared" si="27"/>
        <v>4.4785136706986473E-2</v>
      </c>
      <c r="R36" s="41">
        <f t="shared" si="9"/>
        <v>0.3447880870561284</v>
      </c>
    </row>
    <row r="37" spans="1:18" x14ac:dyDescent="0.2">
      <c r="A37" s="9" t="str">
        <f t="shared" ref="A37:D37" si="28">A17</f>
        <v>BSX_CARDIO</v>
      </c>
      <c r="B37" s="9" t="str">
        <f t="shared" si="28"/>
        <v>Cardiovascular</v>
      </c>
      <c r="C37" s="9" t="str">
        <f t="shared" si="28"/>
        <v>2020Q1</v>
      </c>
      <c r="D37" s="9">
        <f t="shared" si="28"/>
        <v>20200423</v>
      </c>
      <c r="E37" s="18">
        <f t="shared" si="4"/>
        <v>-5.7965525646304528E-2</v>
      </c>
      <c r="F37" s="18">
        <f t="shared" ref="F37:J37" si="29">$S17/F17-1</f>
        <v>-8.0393075230652644E-2</v>
      </c>
      <c r="G37" s="18">
        <f t="shared" ref="G37:G42" si="30">$S17/G17-1</f>
        <v>-7.4452992703042398E-2</v>
      </c>
      <c r="H37" s="18">
        <f t="shared" si="29"/>
        <v>-1.3554032663062543E-2</v>
      </c>
      <c r="I37" s="18">
        <f t="shared" si="29"/>
        <v>4.6992199102274368E-2</v>
      </c>
      <c r="J37" s="18">
        <f t="shared" si="29"/>
        <v>-3.8138349112458836E-2</v>
      </c>
      <c r="K37" s="18">
        <f t="shared" ref="K37:Q37" si="31">$S17/K17-1</f>
        <v>-7.912880995645577E-2</v>
      </c>
      <c r="L37" s="18">
        <f t="shared" si="31"/>
        <v>-0.10999408790488341</v>
      </c>
      <c r="M37" s="18">
        <f t="shared" si="31"/>
        <v>-9.8091824343111478E-2</v>
      </c>
      <c r="N37" s="18">
        <f t="shared" si="31"/>
        <v>-4.6036972397011433E-2</v>
      </c>
      <c r="O37" s="18">
        <f t="shared" si="31"/>
        <v>-1.7485433164355246E-2</v>
      </c>
      <c r="P37" s="18">
        <f t="shared" si="31"/>
        <v>-7.1747259124961937E-2</v>
      </c>
      <c r="Q37" s="18">
        <f t="shared" si="31"/>
        <v>-7.1440956746309459E-2</v>
      </c>
      <c r="R37" s="41">
        <f t="shared" si="9"/>
        <v>-2.4527242089496415E-2</v>
      </c>
    </row>
    <row r="38" spans="1:18" x14ac:dyDescent="0.2">
      <c r="A38" s="9" t="str">
        <f t="shared" ref="A38:D38" si="32">A18</f>
        <v>BSX_CARDIO</v>
      </c>
      <c r="B38" s="9" t="str">
        <f t="shared" si="32"/>
        <v>Cardiovascular</v>
      </c>
      <c r="C38" s="9" t="str">
        <f t="shared" si="32"/>
        <v>2020Q2</v>
      </c>
      <c r="D38" s="9">
        <f t="shared" si="32"/>
        <v>20200723</v>
      </c>
      <c r="E38" s="18">
        <f t="shared" si="4"/>
        <v>-9.5377465000680561E-2</v>
      </c>
      <c r="F38" s="18">
        <f t="shared" ref="F38:J38" si="33">$S18/F18-1</f>
        <v>-0.13601416541803768</v>
      </c>
      <c r="G38" s="18">
        <f t="shared" si="30"/>
        <v>-6.5483795281339963E-2</v>
      </c>
      <c r="H38" s="18">
        <f t="shared" si="33"/>
        <v>-9.3725690330479949E-2</v>
      </c>
      <c r="I38" s="18">
        <f t="shared" si="33"/>
        <v>-2.8294536141821314E-2</v>
      </c>
      <c r="J38" s="18">
        <f t="shared" si="33"/>
        <v>-8.5165482143370053E-2</v>
      </c>
      <c r="K38" s="18">
        <f t="shared" ref="K38:Q38" si="34">$S18/K18-1</f>
        <v>-3.9713981147073585E-2</v>
      </c>
      <c r="L38" s="18">
        <f t="shared" si="34"/>
        <v>-6.0483548665464459E-2</v>
      </c>
      <c r="M38" s="18">
        <f t="shared" si="34"/>
        <v>9.69069896071173E-3</v>
      </c>
      <c r="N38" s="18">
        <f t="shared" si="34"/>
        <v>-8.1273237787015451E-2</v>
      </c>
      <c r="O38" s="18">
        <f t="shared" si="34"/>
        <v>-7.1907637238031952E-2</v>
      </c>
      <c r="P38" s="18">
        <f t="shared" si="34"/>
        <v>-4.8891784995812815E-2</v>
      </c>
      <c r="Q38" s="18">
        <f t="shared" si="34"/>
        <v>-4.9652937742298953E-2</v>
      </c>
      <c r="R38" s="41">
        <f t="shared" ref="R38" si="35">$S18/R18-1</f>
        <v>3.5616438356164348E-2</v>
      </c>
    </row>
    <row r="39" spans="1:18" x14ac:dyDescent="0.2">
      <c r="A39" s="9" t="str">
        <f t="shared" ref="A39:D39" si="36">A19</f>
        <v>BSX_CARDIO</v>
      </c>
      <c r="B39" s="9" t="str">
        <f t="shared" si="36"/>
        <v>Cardiovascular</v>
      </c>
      <c r="C39" s="9" t="str">
        <f t="shared" si="36"/>
        <v>2020Q3</v>
      </c>
      <c r="D39" s="9">
        <f t="shared" si="36"/>
        <v>20201022</v>
      </c>
      <c r="E39" s="18">
        <f t="shared" si="4"/>
        <v>-0.14322729957435076</v>
      </c>
      <c r="F39" s="18">
        <f t="shared" ref="F39:I39" si="37">$S19/F19-1</f>
        <v>-0.20504650467423835</v>
      </c>
      <c r="G39" s="18">
        <f t="shared" si="30"/>
        <v>-0.15572342364613179</v>
      </c>
      <c r="H39" s="18">
        <f t="shared" si="37"/>
        <v>-0.14449521175189683</v>
      </c>
      <c r="I39" s="18">
        <f t="shared" si="37"/>
        <v>-9.1288611251011842E-2</v>
      </c>
      <c r="J39" s="18">
        <f>$S19/J19-1</f>
        <v>-0.14950247176407094</v>
      </c>
      <c r="K39" s="18">
        <f t="shared" ref="K39:Q39" si="38">$S19/K19-1</f>
        <v>-5.2894807195695503E-2</v>
      </c>
      <c r="L39" s="18">
        <f t="shared" si="38"/>
        <v>-7.9899850776606662E-2</v>
      </c>
      <c r="M39" s="18">
        <f t="shared" si="38"/>
        <v>-9.6562935890404322E-2</v>
      </c>
      <c r="N39" s="18">
        <f t="shared" si="38"/>
        <v>-5.6020038171368136E-2</v>
      </c>
      <c r="O39" s="18">
        <f t="shared" si="38"/>
        <v>-6.4828363585680671E-2</v>
      </c>
      <c r="P39" s="18">
        <f t="shared" si="38"/>
        <v>-7.0326368720144306E-2</v>
      </c>
      <c r="Q39" s="18">
        <f t="shared" si="38"/>
        <v>-7.0327312813472265E-2</v>
      </c>
      <c r="R39" s="41">
        <f>$S19/R19-1</f>
        <v>-9.8810244000806513E-3</v>
      </c>
    </row>
    <row r="40" spans="1:18" x14ac:dyDescent="0.2">
      <c r="A40" s="9" t="str">
        <f t="shared" ref="A40:D40" si="39">A20</f>
        <v>BSX_CARDIO</v>
      </c>
      <c r="B40" s="9" t="str">
        <f t="shared" si="39"/>
        <v>Cardiovascular</v>
      </c>
      <c r="C40" s="9" t="str">
        <f t="shared" si="39"/>
        <v>2020Q4</v>
      </c>
      <c r="D40" s="9">
        <f t="shared" si="39"/>
        <v>20210128</v>
      </c>
      <c r="E40" s="18">
        <f t="shared" ref="E40:H40" si="40">$S20/E20-1</f>
        <v>-0.15823471197745931</v>
      </c>
      <c r="F40" s="18">
        <f t="shared" si="40"/>
        <v>-0.15524020882222189</v>
      </c>
      <c r="G40" s="18">
        <f t="shared" si="30"/>
        <v>-0.11648006765659946</v>
      </c>
      <c r="H40" s="18">
        <f t="shared" si="40"/>
        <v>-0.14788872852791224</v>
      </c>
      <c r="I40" s="18">
        <f>$S20/I20-1</f>
        <v>-0.12029713049812818</v>
      </c>
      <c r="J40" s="18">
        <f>$S20/J20-1</f>
        <v>-0.13999024830813067</v>
      </c>
      <c r="K40" s="18">
        <f t="shared" ref="K40:Q40" si="41">$S20/K20-1</f>
        <v>-7.0334959609004155E-3</v>
      </c>
      <c r="L40" s="18">
        <f t="shared" si="41"/>
        <v>7.2655338018883464E-2</v>
      </c>
      <c r="M40" s="18">
        <f t="shared" si="41"/>
        <v>3.6961393646032015E-2</v>
      </c>
      <c r="N40" s="18">
        <f t="shared" si="41"/>
        <v>4.4460088462463521E-3</v>
      </c>
      <c r="O40" s="18">
        <f t="shared" si="41"/>
        <v>-8.0865362448578892E-3</v>
      </c>
      <c r="P40" s="18">
        <f t="shared" si="41"/>
        <v>2.0015165632515819E-2</v>
      </c>
      <c r="Q40" s="18">
        <f t="shared" si="41"/>
        <v>1.9054797738498053E-2</v>
      </c>
      <c r="R40" s="41">
        <f>$S20/R20-1</f>
        <v>-8.1495685522531169E-2</v>
      </c>
    </row>
    <row r="41" spans="1:18" x14ac:dyDescent="0.2">
      <c r="A41" s="9" t="str">
        <f t="shared" ref="A41:D41" si="42">A21</f>
        <v>BSX_CARDIO</v>
      </c>
      <c r="B41" s="9" t="str">
        <f t="shared" si="42"/>
        <v>Cardiovascular</v>
      </c>
      <c r="C41" s="9" t="str">
        <f t="shared" si="42"/>
        <v>2021Q1</v>
      </c>
      <c r="D41" s="9">
        <f t="shared" si="42"/>
        <v>20210422</v>
      </c>
      <c r="E41" s="18">
        <f t="shared" ref="E41:J41" si="43">$S21/E21-1</f>
        <v>5.7462994118922195E-2</v>
      </c>
      <c r="F41" s="18">
        <f t="shared" si="43"/>
        <v>6.7395587010023572E-2</v>
      </c>
      <c r="G41" s="18">
        <f t="shared" si="30"/>
        <v>0.11117293219151536</v>
      </c>
      <c r="H41" s="18">
        <f t="shared" si="43"/>
        <v>8.2255454865997724E-2</v>
      </c>
      <c r="I41" s="18">
        <f t="shared" si="43"/>
        <v>7.0334073071880443E-3</v>
      </c>
      <c r="J41" s="18">
        <f t="shared" si="43"/>
        <v>6.3947214168946331E-2</v>
      </c>
      <c r="K41" s="18">
        <f t="shared" ref="K41:Q41" si="44">$S21/K21-1</f>
        <v>0.24298234362410653</v>
      </c>
      <c r="L41" s="18">
        <f t="shared" si="44"/>
        <v>0.25176695154372797</v>
      </c>
      <c r="M41" s="18">
        <f t="shared" si="44"/>
        <v>0.26921245554790785</v>
      </c>
      <c r="N41" s="18">
        <f t="shared" si="44"/>
        <v>0.25944945088127458</v>
      </c>
      <c r="O41" s="18">
        <f t="shared" si="44"/>
        <v>0.11723394344841798</v>
      </c>
      <c r="P41" s="18">
        <f t="shared" si="44"/>
        <v>0.22642331201988131</v>
      </c>
      <c r="Q41" s="18">
        <f t="shared" si="44"/>
        <v>0.22555975355511371</v>
      </c>
      <c r="R41" s="41">
        <f>$S21/R21-1</f>
        <v>0.1203239490937138</v>
      </c>
    </row>
    <row r="42" spans="1:18" x14ac:dyDescent="0.2">
      <c r="A42" s="9" t="str">
        <f t="shared" ref="A42:D42" si="45">A22</f>
        <v>BSX_CARDIO</v>
      </c>
      <c r="B42" s="9" t="str">
        <f t="shared" si="45"/>
        <v>Cardiovascular</v>
      </c>
      <c r="C42" s="9" t="str">
        <f t="shared" si="45"/>
        <v>2021Q2</v>
      </c>
      <c r="D42" s="9">
        <f t="shared" si="45"/>
        <v>20210722</v>
      </c>
      <c r="E42" s="18">
        <f>$S22/E22-1</f>
        <v>2.4963293502051398E-2</v>
      </c>
      <c r="F42" s="18">
        <f t="shared" ref="F42:J42" si="46">$S22/F22-1</f>
        <v>3.2080191057552332E-2</v>
      </c>
      <c r="G42" s="18">
        <f t="shared" si="30"/>
        <v>6.2751867231134906E-2</v>
      </c>
      <c r="H42" s="18">
        <f t="shared" si="46"/>
        <v>4.0289899743060076E-2</v>
      </c>
      <c r="I42" s="18">
        <f t="shared" si="46"/>
        <v>4.6536275827200324E-3</v>
      </c>
      <c r="J42" s="18">
        <f t="shared" si="46"/>
        <v>3.2598407651402983E-2</v>
      </c>
      <c r="K42" s="18">
        <f t="shared" ref="K42:Q42" si="47">$S22/K22-1</f>
        <v>-3.073365290096941E-2</v>
      </c>
      <c r="L42" s="18">
        <f t="shared" si="47"/>
        <v>-3.308557425405545E-2</v>
      </c>
      <c r="M42" s="18">
        <f t="shared" si="47"/>
        <v>-4.3576533910776316E-2</v>
      </c>
      <c r="N42" s="18">
        <f t="shared" si="47"/>
        <v>-3.8776016267003999E-2</v>
      </c>
      <c r="O42" s="18">
        <f t="shared" si="47"/>
        <v>-2.3631586670312954E-3</v>
      </c>
      <c r="P42" s="18">
        <f t="shared" si="47"/>
        <v>-2.9464625782238629E-2</v>
      </c>
      <c r="Q42" s="18">
        <f t="shared" si="47"/>
        <v>-2.9841425576822789E-2</v>
      </c>
      <c r="R42" s="41">
        <f>$S22/R22-1</f>
        <v>8.4476773020333962E-2</v>
      </c>
    </row>
    <row r="43" spans="1:18" x14ac:dyDescent="0.2">
      <c r="A43" s="175" t="s">
        <v>78</v>
      </c>
      <c r="B43" s="175"/>
      <c r="C43" s="171"/>
      <c r="D43" s="172"/>
      <c r="E43" s="74" cm="1">
        <f t="array" ref="E43">SUM(ABS(E28:E42))/COUNT(E28:E42)</f>
        <v>6.6363341987171517E-2</v>
      </c>
      <c r="F43" s="74" cm="1">
        <f t="array" ref="F43">SUM(ABS(F28:F42))/COUNT(F28:F42)</f>
        <v>7.7495329115202322E-2</v>
      </c>
      <c r="G43" s="74" cm="1">
        <f t="array" ref="G43">SUM(ABS(G28:G42))/COUNT(G28:G42)</f>
        <v>5.6599970374867428E-2</v>
      </c>
      <c r="H43" s="76" cm="1">
        <f t="array" ref="H43">SUM(ABS(H28:H42))/COUNT(H28:H42)</f>
        <v>5.3375741587686168E-2</v>
      </c>
      <c r="I43" s="76" cm="1">
        <f t="array" ref="I43">SUM(ABS(I28:I42))/COUNT(I28:I42)</f>
        <v>4.7040925049202341E-2</v>
      </c>
      <c r="J43" s="76" cm="1">
        <f t="array" ref="J43">SUM(ABS(J28:J42))/COUNT(J28:J42)</f>
        <v>5.4318490862232865E-2</v>
      </c>
      <c r="K43" s="74" cm="1">
        <f t="array" ref="K43">SUM(ABS(K28:K42))/COUNT(K28:K42)</f>
        <v>6.0427812152708746E-2</v>
      </c>
      <c r="L43" s="74" cm="1">
        <f t="array" ref="L43">SUM(ABS(L28:L42))/COUNT(L28:L42)</f>
        <v>7.3443281252643752E-2</v>
      </c>
      <c r="M43" s="74" cm="1">
        <f t="array" ref="M43">SUM(ABS(M28:M42))/COUNT(M28:M42)</f>
        <v>6.5219458848842102E-2</v>
      </c>
      <c r="N43" s="74" cm="1">
        <f t="array" ref="N43">SUM(ABS(N28:N42))/COUNT(N28:N42)</f>
        <v>5.7332651410673972E-2</v>
      </c>
      <c r="O43" s="74" cm="1">
        <f t="array" ref="O43">SUM(ABS(O28:O42))/COUNT(O28:O42)</f>
        <v>5.1825701474341804E-2</v>
      </c>
      <c r="P43" s="74" cm="1">
        <f t="array" ref="P43">SUM(ABS(P28:P42))/COUNT(P28:P42)</f>
        <v>5.8758238367931544E-2</v>
      </c>
      <c r="Q43" s="74" cm="1">
        <f t="array" ref="Q43">SUM(ABS(Q28:Q42))/COUNT(Q28:Q42)</f>
        <v>5.8559211340946292E-2</v>
      </c>
      <c r="R43" s="74" cm="1">
        <f t="array" ref="R43">SUM(ABS(R28:R42))/COUNT(R28:R42)</f>
        <v>0.13588787356374785</v>
      </c>
    </row>
    <row r="44" spans="1:18" x14ac:dyDescent="0.2">
      <c r="A44" s="176" t="s">
        <v>79</v>
      </c>
      <c r="B44" s="176"/>
      <c r="C44" s="173"/>
      <c r="D44" s="174"/>
      <c r="E44" s="75" cm="1">
        <f t="array" ref="E44">SQRT(SUM(POWER(E28:E42,2))/COUNT(E28:E42))</f>
        <v>7.7316457265137403E-2</v>
      </c>
      <c r="F44" s="75" cm="1">
        <f t="array" ref="F44">SQRT(SUM(POWER(F28:F42,2))/COUNT(F28:F42))</f>
        <v>9.1668809556594524E-2</v>
      </c>
      <c r="G44" s="75" cm="1">
        <f t="array" ref="G44">SQRT(SUM(POWER(G28:G42,2))/COUNT(G28:G42))</f>
        <v>7.3236923938051368E-2</v>
      </c>
      <c r="H44" s="77" cm="1">
        <f t="array" ref="H44">SQRT(SUM(POWER(H28:H42,2))/COUNT(H28:H42))</f>
        <v>7.1534352116150349E-2</v>
      </c>
      <c r="I44" s="77" cm="1">
        <f t="array" ref="I44">SQRT(SUM(POWER(I28:I42,2))/COUNT(I28:I42))</f>
        <v>6.0769679786568186E-2</v>
      </c>
      <c r="J44" s="77" cm="1">
        <f t="array" ref="J44">SQRT(SUM(POWER(J28:J42,2))/COUNT(J28:J42))</f>
        <v>6.8556691748162646E-2</v>
      </c>
      <c r="K44" s="75" cm="1">
        <f t="array" ref="K44">SQRT(SUM(POWER(K28:K42,2))/COUNT(K28:K42))</f>
        <v>8.7494593183008326E-2</v>
      </c>
      <c r="L44" s="75" cm="1">
        <f t="array" ref="L44">SQRT(SUM(POWER(L28:L42,2))/COUNT(L28:L42))</f>
        <v>9.7954728817697012E-2</v>
      </c>
      <c r="M44" s="75" cm="1">
        <f t="array" ref="M44">SQRT(SUM(POWER(M28:M42,2))/COUNT(M28:M42))</f>
        <v>9.1841185193742195E-2</v>
      </c>
      <c r="N44" s="75" cm="1">
        <f t="array" ref="N44">SQRT(SUM(POWER(N28:N42,2))/COUNT(N28:N42))</f>
        <v>8.7523220981020139E-2</v>
      </c>
      <c r="O44" s="75" cm="1">
        <f t="array" ref="O44">SQRT(SUM(POWER(O28:O42,2))/COUNT(O28:O42))</f>
        <v>6.2869992297955438E-2</v>
      </c>
      <c r="P44" s="75" cm="1">
        <f t="array" ref="P44">SQRT(SUM(POWER(P28:P42,2))/COUNT(P28:P42))</f>
        <v>8.1645892668036193E-2</v>
      </c>
      <c r="Q44" s="75" cm="1">
        <f t="array" ref="Q44">SQRT(SUM(POWER(Q28:Q42,2))/COUNT(Q28:Q42))</f>
        <v>8.1342147537872458E-2</v>
      </c>
      <c r="R44" s="75" cm="1">
        <f t="array" ref="R44">SQRT(SUM(POWER(R28:R42,2))/COUNT(R28:R42))</f>
        <v>0.16186507255928984</v>
      </c>
    </row>
    <row r="45" spans="1:18" x14ac:dyDescent="0.2">
      <c r="I45" s="3">
        <f>AVERAGE(I38:I40,I30:I34)</f>
        <v>-5.4292973787305368E-2</v>
      </c>
      <c r="J45" s="3"/>
    </row>
    <row r="46" spans="1:18" x14ac:dyDescent="0.2">
      <c r="B46" t="s">
        <v>159</v>
      </c>
      <c r="J46" s="3"/>
    </row>
  </sheetData>
  <mergeCells count="7">
    <mergeCell ref="A24:D24"/>
    <mergeCell ref="A4:B4"/>
    <mergeCell ref="A26:B26"/>
    <mergeCell ref="C43:D43"/>
    <mergeCell ref="C44:D44"/>
    <mergeCell ref="A43:B43"/>
    <mergeCell ref="A44:B4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46E01-FCEE-49F0-80B2-AA1066C7B862}">
  <dimension ref="A1:Q39"/>
  <sheetViews>
    <sheetView zoomScale="85" zoomScaleNormal="85" workbookViewId="0">
      <selection activeCell="A9" sqref="A9"/>
    </sheetView>
  </sheetViews>
  <sheetFormatPr defaultRowHeight="12.75" x14ac:dyDescent="0.2"/>
  <cols>
    <col min="1" max="1" width="9.140625" style="68"/>
    <col min="3" max="3" width="13" bestFit="1" customWidth="1"/>
    <col min="4" max="4" width="8.85546875" customWidth="1"/>
    <col min="5" max="5" width="6.42578125" customWidth="1"/>
    <col min="6" max="6" width="8.5703125" bestFit="1" customWidth="1"/>
    <col min="7" max="7" width="14.5703125" bestFit="1" customWidth="1"/>
    <col min="8" max="8" width="8.28515625" bestFit="1" customWidth="1"/>
    <col min="9" max="9" width="7.5703125" bestFit="1" customWidth="1"/>
    <col min="10" max="10" width="12" bestFit="1" customWidth="1"/>
    <col min="11" max="11" width="12.5703125" bestFit="1" customWidth="1"/>
    <col min="12" max="12" width="7.42578125" bestFit="1" customWidth="1"/>
    <col min="13" max="13" width="7.5703125" bestFit="1" customWidth="1"/>
  </cols>
  <sheetData>
    <row r="1" spans="1:17" x14ac:dyDescent="0.2">
      <c r="A1" s="68" t="s">
        <v>104</v>
      </c>
      <c r="B1" t="s">
        <v>84</v>
      </c>
    </row>
    <row r="2" spans="1:17" x14ac:dyDescent="0.2">
      <c r="A2" s="68" t="s">
        <v>99</v>
      </c>
      <c r="B2" t="s">
        <v>82</v>
      </c>
    </row>
    <row r="3" spans="1:17" x14ac:dyDescent="0.2">
      <c r="A3" s="68" t="s">
        <v>100</v>
      </c>
      <c r="B3" t="s">
        <v>148</v>
      </c>
    </row>
    <row r="4" spans="1:17" x14ac:dyDescent="0.2">
      <c r="A4" s="68" t="s">
        <v>101</v>
      </c>
      <c r="B4" t="s">
        <v>167</v>
      </c>
      <c r="O4" s="6"/>
      <c r="P4" s="6"/>
      <c r="Q4" s="6"/>
    </row>
    <row r="5" spans="1:17" x14ac:dyDescent="0.2">
      <c r="O5" s="6"/>
      <c r="P5" s="6"/>
      <c r="Q5" s="6"/>
    </row>
    <row r="6" spans="1:17" x14ac:dyDescent="0.2">
      <c r="O6" s="6"/>
      <c r="P6" s="6"/>
      <c r="Q6" s="6"/>
    </row>
    <row r="7" spans="1:17" x14ac:dyDescent="0.2">
      <c r="A7" s="68" t="s">
        <v>102</v>
      </c>
      <c r="B7" s="177" t="s">
        <v>83</v>
      </c>
      <c r="C7" s="177"/>
      <c r="D7" s="177" t="s">
        <v>113</v>
      </c>
      <c r="E7" s="177"/>
      <c r="F7" s="177"/>
      <c r="G7" s="177"/>
      <c r="H7" s="177"/>
      <c r="I7" s="177"/>
      <c r="J7" s="177"/>
      <c r="K7" s="177"/>
      <c r="L7" s="177"/>
      <c r="M7" s="177"/>
      <c r="N7" s="177"/>
      <c r="O7" s="6"/>
      <c r="P7" s="6"/>
      <c r="Q7" s="6"/>
    </row>
    <row r="8" spans="1:17" ht="15" x14ac:dyDescent="0.2">
      <c r="A8" s="68" t="s">
        <v>174</v>
      </c>
      <c r="C8" s="72" t="s">
        <v>85</v>
      </c>
      <c r="D8" s="72" t="s">
        <v>86</v>
      </c>
      <c r="E8" s="72" t="s">
        <v>87</v>
      </c>
      <c r="F8" s="72" t="s">
        <v>88</v>
      </c>
      <c r="G8" s="72" t="s">
        <v>89</v>
      </c>
      <c r="H8" s="72" t="s">
        <v>90</v>
      </c>
      <c r="I8" s="72" t="s">
        <v>91</v>
      </c>
      <c r="J8" s="72" t="s">
        <v>92</v>
      </c>
      <c r="K8" s="72" t="s">
        <v>93</v>
      </c>
      <c r="L8" s="72" t="s">
        <v>94</v>
      </c>
      <c r="M8" s="72" t="s">
        <v>95</v>
      </c>
      <c r="O8" s="6"/>
      <c r="P8" s="6"/>
      <c r="Q8" s="6"/>
    </row>
    <row r="9" spans="1:17" ht="15" x14ac:dyDescent="0.2">
      <c r="B9" s="72" t="s">
        <v>96</v>
      </c>
      <c r="C9" s="2">
        <v>0.12602729695528239</v>
      </c>
      <c r="D9" s="2">
        <v>2.9723149359348319E-2</v>
      </c>
      <c r="E9" s="2">
        <v>5.7085143423877847E-2</v>
      </c>
      <c r="F9" s="2">
        <v>0.1393111702084685</v>
      </c>
      <c r="G9" s="2">
        <v>8.1708945815636633E-2</v>
      </c>
      <c r="H9" s="2">
        <v>5.7113239407995627E-2</v>
      </c>
      <c r="I9" s="2">
        <v>5.7085938241554397E-2</v>
      </c>
      <c r="J9" s="2">
        <v>8.1828572725143101E-2</v>
      </c>
      <c r="K9" s="2">
        <v>8.3484267144698324E-2</v>
      </c>
      <c r="L9" s="2">
        <v>9.1462583797569108E-2</v>
      </c>
      <c r="M9" s="2">
        <v>0.11975454528814621</v>
      </c>
      <c r="O9" s="6"/>
      <c r="P9" s="6"/>
      <c r="Q9" s="6"/>
    </row>
    <row r="10" spans="1:17" ht="15" x14ac:dyDescent="0.2">
      <c r="B10" s="72" t="s">
        <v>97</v>
      </c>
      <c r="C10" s="2">
        <v>0.14689179405948799</v>
      </c>
      <c r="D10" s="2">
        <v>3.5666920277174413E-2</v>
      </c>
      <c r="E10" s="2">
        <v>7.4051756256617418E-2</v>
      </c>
      <c r="F10" s="2">
        <v>0.19893190719033529</v>
      </c>
      <c r="G10" s="2">
        <v>0.12398641513487201</v>
      </c>
      <c r="H10" s="2">
        <v>7.4082482443710018E-2</v>
      </c>
      <c r="I10" s="2">
        <v>7.4052458172777613E-2</v>
      </c>
      <c r="J10" s="2">
        <v>0.1240792642652488</v>
      </c>
      <c r="K10" s="2">
        <v>0.1255248142818588</v>
      </c>
      <c r="L10" s="2">
        <v>0.1028278862179945</v>
      </c>
      <c r="M10" s="2">
        <v>0.16842634392026451</v>
      </c>
      <c r="O10" s="6"/>
      <c r="P10" s="6"/>
      <c r="Q10" s="6"/>
    </row>
    <row r="11" spans="1:17" ht="15" x14ac:dyDescent="0.2">
      <c r="B11" s="72" t="s">
        <v>98</v>
      </c>
      <c r="C11" s="2">
        <v>-0.121510250864393</v>
      </c>
      <c r="D11" s="2">
        <v>-5.8081778197283662E-3</v>
      </c>
      <c r="E11" s="2">
        <v>-3.7821544953574697E-2</v>
      </c>
      <c r="F11" s="2">
        <v>-4.6161083307447781E-2</v>
      </c>
      <c r="G11" s="2">
        <v>5.7342079792859213E-3</v>
      </c>
      <c r="H11" s="2">
        <v>-3.7832896441980353E-2</v>
      </c>
      <c r="I11" s="2">
        <v>-3.7822343556199678E-2</v>
      </c>
      <c r="J11" s="2">
        <v>5.6429370662479106E-3</v>
      </c>
      <c r="K11" s="2">
        <v>5.6513306788412154E-3</v>
      </c>
      <c r="L11" s="2">
        <v>-3.7269111931439843E-2</v>
      </c>
      <c r="M11" s="2">
        <v>-3.7014334331129217E-2</v>
      </c>
      <c r="O11" s="6"/>
      <c r="P11" s="6"/>
      <c r="Q11" s="6"/>
    </row>
    <row r="12" spans="1:17" x14ac:dyDescent="0.2">
      <c r="O12" s="6"/>
      <c r="P12" s="6"/>
      <c r="Q12" s="6"/>
    </row>
    <row r="13" spans="1:17" x14ac:dyDescent="0.2">
      <c r="O13" s="6"/>
      <c r="P13" s="6"/>
      <c r="Q13" s="6"/>
    </row>
    <row r="14" spans="1:17" x14ac:dyDescent="0.2">
      <c r="A14" s="68" t="s">
        <v>103</v>
      </c>
      <c r="B14" t="s">
        <v>106</v>
      </c>
      <c r="O14" s="6"/>
      <c r="P14" s="6"/>
      <c r="Q14" s="6"/>
    </row>
    <row r="15" spans="1:17" x14ac:dyDescent="0.2">
      <c r="B15" t="s">
        <v>140</v>
      </c>
      <c r="H15" s="69" t="s">
        <v>107</v>
      </c>
      <c r="O15" s="6"/>
      <c r="P15" s="6"/>
      <c r="Q15" s="6"/>
    </row>
    <row r="16" spans="1:17" x14ac:dyDescent="0.2">
      <c r="B16" t="s">
        <v>141</v>
      </c>
      <c r="H16" s="69"/>
      <c r="O16" s="6"/>
      <c r="P16" s="6"/>
      <c r="Q16" s="6"/>
    </row>
    <row r="17" spans="1:17" x14ac:dyDescent="0.2">
      <c r="O17" s="6"/>
      <c r="P17" s="6"/>
      <c r="Q17" s="6"/>
    </row>
    <row r="18" spans="1:17" x14ac:dyDescent="0.2">
      <c r="O18" s="6"/>
      <c r="P18" s="6"/>
      <c r="Q18" s="6"/>
    </row>
    <row r="19" spans="1:17" x14ac:dyDescent="0.2">
      <c r="A19" s="68" t="s">
        <v>105</v>
      </c>
      <c r="B19" s="178" t="s">
        <v>109</v>
      </c>
      <c r="C19" s="178"/>
      <c r="D19" s="178"/>
      <c r="E19" s="178"/>
      <c r="F19" s="67" t="e">
        <f>#REF!+#REF!*'2. Past Proj &amp; Candidate Model'!R22</f>
        <v>#REF!</v>
      </c>
      <c r="G19" s="70" t="s">
        <v>110</v>
      </c>
      <c r="H19" s="2" t="e">
        <f>'2. Past Proj &amp; Candidate Model'!S22/'3. Improved Alpha Model'!F19-1</f>
        <v>#REF!</v>
      </c>
      <c r="O19" s="6"/>
      <c r="P19" s="6"/>
      <c r="Q19" s="6"/>
    </row>
    <row r="20" spans="1:17" x14ac:dyDescent="0.2">
      <c r="O20" s="6"/>
      <c r="P20" s="6"/>
      <c r="Q20" s="6"/>
    </row>
    <row r="21" spans="1:17" x14ac:dyDescent="0.2">
      <c r="O21" s="6"/>
      <c r="P21" s="6"/>
      <c r="Q21" s="6"/>
    </row>
    <row r="22" spans="1:17" x14ac:dyDescent="0.2">
      <c r="O22" s="6"/>
      <c r="P22" s="6"/>
      <c r="Q22" s="6"/>
    </row>
    <row r="23" spans="1:17" x14ac:dyDescent="0.2">
      <c r="B23" s="179" t="s">
        <v>160</v>
      </c>
      <c r="C23" s="179"/>
      <c r="D23" s="179"/>
      <c r="E23" s="3">
        <f>C9</f>
        <v>0.12602729695528239</v>
      </c>
      <c r="F23" t="s">
        <v>111</v>
      </c>
      <c r="G23" s="179" t="s">
        <v>112</v>
      </c>
      <c r="H23" s="179"/>
      <c r="I23" s="3" t="e">
        <f>#REF!</f>
        <v>#REF!</v>
      </c>
      <c r="O23" s="6"/>
      <c r="P23" s="6"/>
      <c r="Q23" s="6"/>
    </row>
    <row r="24" spans="1:17" x14ac:dyDescent="0.2">
      <c r="O24" s="6"/>
      <c r="P24" s="6"/>
      <c r="Q24" s="6"/>
    </row>
    <row r="25" spans="1:17" x14ac:dyDescent="0.2">
      <c r="O25" s="6"/>
      <c r="P25" s="6"/>
      <c r="Q25" s="6"/>
    </row>
    <row r="26" spans="1:17" x14ac:dyDescent="0.2">
      <c r="A26" s="68" t="s">
        <v>108</v>
      </c>
      <c r="B26" t="s">
        <v>114</v>
      </c>
      <c r="O26" s="6"/>
      <c r="P26" s="6"/>
      <c r="Q26" s="6"/>
    </row>
    <row r="27" spans="1:17" x14ac:dyDescent="0.2">
      <c r="B27" t="s">
        <v>115</v>
      </c>
      <c r="O27" s="6"/>
      <c r="P27" s="6"/>
      <c r="Q27" s="6"/>
    </row>
    <row r="28" spans="1:17" x14ac:dyDescent="0.2">
      <c r="B28" t="s">
        <v>116</v>
      </c>
      <c r="O28" s="6"/>
      <c r="P28" s="6"/>
      <c r="Q28" s="6"/>
    </row>
    <row r="29" spans="1:17" x14ac:dyDescent="0.2">
      <c r="B29" t="s">
        <v>117</v>
      </c>
      <c r="O29" s="6"/>
      <c r="P29" s="6"/>
      <c r="Q29" s="6"/>
    </row>
    <row r="30" spans="1:17" x14ac:dyDescent="0.2">
      <c r="B30" t="s">
        <v>118</v>
      </c>
      <c r="O30" s="6"/>
      <c r="P30" s="6"/>
      <c r="Q30" s="6"/>
    </row>
    <row r="31" spans="1:17" x14ac:dyDescent="0.2">
      <c r="B31" t="s">
        <v>119</v>
      </c>
      <c r="O31" s="6"/>
      <c r="P31" s="6"/>
      <c r="Q31" s="6"/>
    </row>
    <row r="32" spans="1:17" x14ac:dyDescent="0.2">
      <c r="B32" t="s">
        <v>120</v>
      </c>
      <c r="O32" s="6"/>
      <c r="P32" s="6"/>
      <c r="Q32" s="6"/>
    </row>
    <row r="33" spans="2:17" x14ac:dyDescent="0.2">
      <c r="B33" t="s">
        <v>121</v>
      </c>
      <c r="O33" s="6"/>
      <c r="P33" s="6"/>
      <c r="Q33" s="6"/>
    </row>
    <row r="34" spans="2:17" x14ac:dyDescent="0.2">
      <c r="B34" t="s">
        <v>122</v>
      </c>
      <c r="O34" s="6"/>
      <c r="P34" s="6"/>
      <c r="Q34" s="6"/>
    </row>
    <row r="35" spans="2:17" x14ac:dyDescent="0.2">
      <c r="B35" t="s">
        <v>123</v>
      </c>
      <c r="O35" s="6"/>
      <c r="P35" s="6"/>
      <c r="Q35" s="6"/>
    </row>
    <row r="36" spans="2:17" x14ac:dyDescent="0.2">
      <c r="O36" s="6"/>
      <c r="P36" s="6"/>
      <c r="Q36" s="6"/>
    </row>
    <row r="37" spans="2:17" x14ac:dyDescent="0.2">
      <c r="O37" s="6"/>
      <c r="P37" s="6"/>
      <c r="Q37" s="6"/>
    </row>
    <row r="38" spans="2:17" x14ac:dyDescent="0.2">
      <c r="O38" s="6"/>
      <c r="P38" s="6"/>
    </row>
    <row r="39" spans="2:17" x14ac:dyDescent="0.2">
      <c r="O39" s="6"/>
      <c r="P39" s="6"/>
    </row>
  </sheetData>
  <mergeCells count="5">
    <mergeCell ref="D7:N7"/>
    <mergeCell ref="B7:C7"/>
    <mergeCell ref="B19:E19"/>
    <mergeCell ref="B23:D23"/>
    <mergeCell ref="G23:H23"/>
  </mergeCells>
  <conditionalFormatting sqref="C9:K9">
    <cfRule type="colorScale" priority="6">
      <colorScale>
        <cfvo type="min"/>
        <cfvo type="max"/>
        <color rgb="FF63BE7B"/>
        <color rgb="FFFFEF9C"/>
      </colorScale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0:K10">
    <cfRule type="colorScale" priority="5">
      <colorScale>
        <cfvo type="min"/>
        <cfvo type="max"/>
        <color rgb="FF63BE7B"/>
        <color rgb="FFFFEF9C"/>
      </colorScale>
    </cfRule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7F763-2C58-4893-AC1B-19A7BE0B0DA5}">
  <dimension ref="A1:Y48"/>
  <sheetViews>
    <sheetView tabSelected="1" zoomScale="85" zoomScaleNormal="85" workbookViewId="0">
      <selection activeCell="E29" sqref="E29"/>
    </sheetView>
  </sheetViews>
  <sheetFormatPr defaultRowHeight="12.75" x14ac:dyDescent="0.2"/>
  <cols>
    <col min="1" max="1" width="9.140625" style="68"/>
    <col min="3" max="3" width="18.5703125" customWidth="1"/>
    <col min="4" max="13" width="14.7109375" customWidth="1"/>
    <col min="23" max="23" width="22.5703125" customWidth="1"/>
  </cols>
  <sheetData>
    <row r="1" spans="1:25" x14ac:dyDescent="0.2">
      <c r="A1" s="68" t="s">
        <v>125</v>
      </c>
      <c r="B1" t="s">
        <v>84</v>
      </c>
    </row>
    <row r="2" spans="1:25" x14ac:dyDescent="0.2">
      <c r="A2" s="68" t="s">
        <v>99</v>
      </c>
      <c r="B2" s="78" t="s">
        <v>161</v>
      </c>
      <c r="C2" s="79" t="str">
        <f>D5</f>
        <v>PROJ</v>
      </c>
      <c r="D2" t="s">
        <v>162</v>
      </c>
    </row>
    <row r="4" spans="1:25" x14ac:dyDescent="0.2">
      <c r="A4" s="68" t="s">
        <v>100</v>
      </c>
      <c r="B4" t="s">
        <v>124</v>
      </c>
    </row>
    <row r="5" spans="1:25" ht="15" x14ac:dyDescent="0.2">
      <c r="A5" s="68" t="s">
        <v>174</v>
      </c>
      <c r="C5" s="72" t="s">
        <v>85</v>
      </c>
      <c r="D5" s="72" t="s">
        <v>86</v>
      </c>
      <c r="E5" s="72" t="s">
        <v>87</v>
      </c>
      <c r="F5" s="72" t="s">
        <v>88</v>
      </c>
      <c r="G5" s="72" t="s">
        <v>89</v>
      </c>
      <c r="H5" s="72" t="s">
        <v>90</v>
      </c>
      <c r="I5" s="72" t="s">
        <v>91</v>
      </c>
      <c r="J5" s="72" t="s">
        <v>92</v>
      </c>
      <c r="K5" s="72" t="s">
        <v>93</v>
      </c>
      <c r="L5" s="72" t="s">
        <v>94</v>
      </c>
      <c r="M5" s="72" t="s">
        <v>95</v>
      </c>
    </row>
    <row r="6" spans="1:25" ht="15" x14ac:dyDescent="0.2">
      <c r="B6" s="72" t="s">
        <v>96</v>
      </c>
      <c r="C6" s="2">
        <v>0.112024263960251</v>
      </c>
      <c r="D6" s="2">
        <v>4.0592802874169193E-2</v>
      </c>
      <c r="E6" s="2">
        <v>6.506298241080706E-2</v>
      </c>
      <c r="F6" s="2">
        <v>0.13129734325125869</v>
      </c>
      <c r="G6" s="2">
        <v>7.8347613138821964E-2</v>
      </c>
      <c r="H6" s="2">
        <v>6.5087958127591716E-2</v>
      </c>
      <c r="I6" s="2">
        <v>6.5063711587242307E-2</v>
      </c>
      <c r="J6" s="2">
        <v>7.8452162006051318E-2</v>
      </c>
      <c r="K6" s="2">
        <v>7.992588729520797E-2</v>
      </c>
      <c r="L6" s="2">
        <v>9.66072623488691E-2</v>
      </c>
      <c r="M6" s="2">
        <v>0.1196843972787856</v>
      </c>
    </row>
    <row r="7" spans="1:25" ht="15" x14ac:dyDescent="0.2">
      <c r="B7" s="72" t="s">
        <v>97</v>
      </c>
      <c r="C7" s="2">
        <v>0.13849091157349569</v>
      </c>
      <c r="D7" s="2">
        <v>5.4207465683770592E-2</v>
      </c>
      <c r="E7" s="2">
        <v>8.1976163903036511E-2</v>
      </c>
      <c r="F7" s="2">
        <v>0.1888871755989707</v>
      </c>
      <c r="G7" s="2">
        <v>0.1181472090161404</v>
      </c>
      <c r="H7" s="2">
        <v>8.2000839654937888E-2</v>
      </c>
      <c r="I7" s="2">
        <v>8.1976763161304908E-2</v>
      </c>
      <c r="J7" s="2">
        <v>0.1182330440343011</v>
      </c>
      <c r="K7" s="2">
        <v>0.1195825354643922</v>
      </c>
      <c r="L7" s="2">
        <v>0.1072731215648913</v>
      </c>
      <c r="M7" s="2">
        <v>0.1636832328801239</v>
      </c>
    </row>
    <row r="8" spans="1:25" ht="15" x14ac:dyDescent="0.2">
      <c r="B8" s="72" t="s">
        <v>98</v>
      </c>
      <c r="C8" s="2">
        <v>-0.1074010327022374</v>
      </c>
      <c r="D8" s="2">
        <v>-6.9842839931152367E-3</v>
      </c>
      <c r="E8" s="2">
        <v>-5.458962288603264E-2</v>
      </c>
      <c r="F8" s="2">
        <v>-3.8320690910419453E-2</v>
      </c>
      <c r="G8" s="2">
        <v>-1.256371740659268E-2</v>
      </c>
      <c r="H8" s="2">
        <v>-5.4612256382416513E-2</v>
      </c>
      <c r="I8" s="2">
        <v>-5.4590258036127493E-2</v>
      </c>
      <c r="J8" s="2">
        <v>-1.2685700132842981E-2</v>
      </c>
      <c r="K8" s="2">
        <v>-1.272848247466263E-2</v>
      </c>
      <c r="L8" s="2">
        <v>-5.4569793198036683E-2</v>
      </c>
      <c r="M8" s="2">
        <v>-5.1282700318646353E-2</v>
      </c>
    </row>
    <row r="10" spans="1:25" ht="15" x14ac:dyDescent="0.2">
      <c r="A10" s="68" t="s">
        <v>101</v>
      </c>
      <c r="B10" s="73" t="s">
        <v>163</v>
      </c>
    </row>
    <row r="12" spans="1:25" x14ac:dyDescent="0.2">
      <c r="A12" s="68" t="s">
        <v>102</v>
      </c>
      <c r="B12" t="s">
        <v>139</v>
      </c>
    </row>
    <row r="13" spans="1:25" ht="15" x14ac:dyDescent="0.2">
      <c r="B13" s="72" t="s">
        <v>126</v>
      </c>
      <c r="C13" s="72" t="s">
        <v>127</v>
      </c>
      <c r="D13" s="72" t="s">
        <v>85</v>
      </c>
      <c r="E13" s="72" t="s">
        <v>86</v>
      </c>
      <c r="F13" s="72" t="s">
        <v>87</v>
      </c>
      <c r="G13" s="72" t="s">
        <v>88</v>
      </c>
      <c r="H13" s="72" t="s">
        <v>89</v>
      </c>
      <c r="I13" s="72" t="s">
        <v>90</v>
      </c>
      <c r="J13" s="72" t="s">
        <v>91</v>
      </c>
      <c r="K13" s="72" t="s">
        <v>92</v>
      </c>
      <c r="L13" s="72" t="s">
        <v>93</v>
      </c>
      <c r="M13" s="72" t="s">
        <v>94</v>
      </c>
      <c r="N13" s="72" t="s">
        <v>95</v>
      </c>
      <c r="O13" s="72" t="s">
        <v>128</v>
      </c>
      <c r="P13" s="72" t="s">
        <v>129</v>
      </c>
      <c r="Q13" s="72" t="s">
        <v>130</v>
      </c>
      <c r="R13" s="72" t="s">
        <v>131</v>
      </c>
      <c r="S13" s="72" t="s">
        <v>132</v>
      </c>
      <c r="T13" s="72" t="s">
        <v>133</v>
      </c>
      <c r="U13" s="72" t="s">
        <v>134</v>
      </c>
      <c r="V13" s="72" t="s">
        <v>135</v>
      </c>
      <c r="W13" s="72" t="s">
        <v>136</v>
      </c>
      <c r="X13" s="72" t="s">
        <v>137</v>
      </c>
      <c r="Y13" s="72" t="s">
        <v>138</v>
      </c>
    </row>
    <row r="14" spans="1:25" x14ac:dyDescent="0.2">
      <c r="B14" t="s">
        <v>172</v>
      </c>
      <c r="C14">
        <v>424</v>
      </c>
      <c r="D14">
        <v>381.1</v>
      </c>
      <c r="E14">
        <v>460.30760299999997</v>
      </c>
      <c r="P14" s="2">
        <f>E14/C14-1</f>
        <v>8.5631139150943225E-2</v>
      </c>
    </row>
    <row r="15" spans="1:25" x14ac:dyDescent="0.2">
      <c r="B15" t="s">
        <v>173</v>
      </c>
      <c r="C15">
        <v>412</v>
      </c>
      <c r="D15">
        <v>382</v>
      </c>
      <c r="E15">
        <v>402.878083</v>
      </c>
      <c r="P15" s="2">
        <f t="shared" ref="P15:P20" si="0">E15/C15-1</f>
        <v>-2.2140575242718397E-2</v>
      </c>
    </row>
    <row r="16" spans="1:25" x14ac:dyDescent="0.2">
      <c r="B16" t="s">
        <v>168</v>
      </c>
      <c r="C16">
        <v>438</v>
      </c>
      <c r="D16">
        <v>382</v>
      </c>
      <c r="E16">
        <v>425.735366</v>
      </c>
      <c r="P16" s="2">
        <f t="shared" si="0"/>
        <v>-2.8001447488584463E-2</v>
      </c>
    </row>
    <row r="17" spans="2:25" x14ac:dyDescent="0.2">
      <c r="B17" t="s">
        <v>42</v>
      </c>
      <c r="C17">
        <v>426</v>
      </c>
      <c r="D17">
        <v>381.7</v>
      </c>
      <c r="E17">
        <v>387.264252</v>
      </c>
      <c r="P17" s="2">
        <f t="shared" si="0"/>
        <v>-9.0928985915492921E-2</v>
      </c>
    </row>
    <row r="18" spans="2:25" x14ac:dyDescent="0.2">
      <c r="B18" t="s">
        <v>43</v>
      </c>
      <c r="C18">
        <v>448</v>
      </c>
      <c r="D18">
        <v>407</v>
      </c>
      <c r="E18">
        <v>451.72028999999998</v>
      </c>
      <c r="P18" s="2">
        <f t="shared" si="0"/>
        <v>8.3042187499999809E-3</v>
      </c>
    </row>
    <row r="19" spans="2:25" x14ac:dyDescent="0.2">
      <c r="B19" t="s">
        <v>44</v>
      </c>
      <c r="C19">
        <v>435</v>
      </c>
      <c r="D19">
        <v>384.5</v>
      </c>
      <c r="E19">
        <v>440.13597499999997</v>
      </c>
      <c r="P19" s="2">
        <f t="shared" si="0"/>
        <v>1.1806839080459763E-2</v>
      </c>
    </row>
    <row r="20" spans="2:25" x14ac:dyDescent="0.2">
      <c r="B20" t="s">
        <v>45</v>
      </c>
      <c r="C20">
        <v>453</v>
      </c>
      <c r="D20">
        <v>368.5</v>
      </c>
      <c r="E20">
        <v>506.01963499999999</v>
      </c>
      <c r="P20" s="2">
        <f t="shared" si="0"/>
        <v>0.11704113686534212</v>
      </c>
    </row>
    <row r="21" spans="2:25" x14ac:dyDescent="0.2">
      <c r="B21" t="s">
        <v>46</v>
      </c>
      <c r="C21">
        <v>452</v>
      </c>
      <c r="D21">
        <v>390.7</v>
      </c>
      <c r="E21">
        <v>475.49776100000003</v>
      </c>
      <c r="F21">
        <v>443.11012787371698</v>
      </c>
      <c r="G21">
        <v>434.67904770849037</v>
      </c>
      <c r="H21">
        <v>446.32119973222012</v>
      </c>
      <c r="I21">
        <v>443.10000869982179</v>
      </c>
      <c r="J21">
        <v>443.10985329402217</v>
      </c>
      <c r="K21">
        <v>446.26606353995498</v>
      </c>
      <c r="L21">
        <v>446.24672592145248</v>
      </c>
      <c r="M21">
        <v>442.97426933949089</v>
      </c>
      <c r="N21">
        <v>441.71882230868732</v>
      </c>
      <c r="O21" s="2">
        <v>-0.13561946902654859</v>
      </c>
      <c r="P21" s="2">
        <v>5.1986196902654942E-2</v>
      </c>
      <c r="Q21" s="2">
        <v>-1.9667858686466699E-2</v>
      </c>
      <c r="R21" s="2">
        <v>-3.8320690910419453E-2</v>
      </c>
      <c r="S21" s="2">
        <v>-1.256371740659268E-2</v>
      </c>
      <c r="T21" s="2">
        <v>-1.969024623933224E-2</v>
      </c>
      <c r="U21" s="2">
        <v>-1.9668466163667801E-2</v>
      </c>
      <c r="V21" s="2">
        <v>-1.2685700132842981E-2</v>
      </c>
      <c r="W21" s="2">
        <v>-1.272848247466263E-2</v>
      </c>
      <c r="X21" s="2">
        <v>-1.9968430664842999E-2</v>
      </c>
      <c r="Y21" s="2">
        <v>-2.2745968343612089E-2</v>
      </c>
    </row>
    <row r="22" spans="2:25" x14ac:dyDescent="0.2">
      <c r="B22" t="s">
        <v>47</v>
      </c>
      <c r="C22">
        <v>473</v>
      </c>
      <c r="D22">
        <v>388.7</v>
      </c>
      <c r="E22">
        <v>482.83220899999998</v>
      </c>
      <c r="F22">
        <v>447.17910837490649</v>
      </c>
      <c r="G22">
        <v>437.06542493996261</v>
      </c>
      <c r="H22">
        <v>449.33692328715699</v>
      </c>
      <c r="I22">
        <v>447.168402731117</v>
      </c>
      <c r="J22">
        <v>447.1788079489117</v>
      </c>
      <c r="K22">
        <v>449.29899733420632</v>
      </c>
      <c r="L22">
        <v>449.28524308688412</v>
      </c>
      <c r="M22">
        <v>447.18848781732868</v>
      </c>
      <c r="N22">
        <v>448.7432827492803</v>
      </c>
      <c r="O22" s="2">
        <v>-0.17822410147991541</v>
      </c>
      <c r="P22" s="2">
        <v>2.0786911205074029E-2</v>
      </c>
      <c r="Q22" s="2">
        <v>-5.458962288603264E-2</v>
      </c>
      <c r="R22" s="2">
        <v>-7.5971617463081231E-2</v>
      </c>
      <c r="S22" s="2">
        <v>-5.0027646327363562E-2</v>
      </c>
      <c r="T22" s="2">
        <v>-5.4612256382416513E-2</v>
      </c>
      <c r="U22" s="2">
        <v>-5.4590258036127493E-2</v>
      </c>
      <c r="V22" s="2">
        <v>-5.0107828046075609E-2</v>
      </c>
      <c r="W22" s="2">
        <v>-5.0136906793056928E-2</v>
      </c>
      <c r="X22" s="2">
        <v>-5.4569793198036683E-2</v>
      </c>
      <c r="Y22" s="2">
        <v>-5.1282700318646353E-2</v>
      </c>
    </row>
    <row r="23" spans="2:25" x14ac:dyDescent="0.2">
      <c r="B23" t="s">
        <v>48</v>
      </c>
      <c r="C23">
        <v>482</v>
      </c>
      <c r="D23">
        <v>388.9</v>
      </c>
      <c r="E23">
        <v>473.415302</v>
      </c>
      <c r="F23">
        <v>449.2924316352769</v>
      </c>
      <c r="G23">
        <v>441.68148244391517</v>
      </c>
      <c r="H23">
        <v>451.50421155896731</v>
      </c>
      <c r="I23">
        <v>449.28465425532869</v>
      </c>
      <c r="J23">
        <v>449.29223784804333</v>
      </c>
      <c r="K23">
        <v>451.46992111426869</v>
      </c>
      <c r="L23">
        <v>450.84630455947831</v>
      </c>
      <c r="M23">
        <v>449.16667435537431</v>
      </c>
      <c r="N23">
        <v>453.55102253866971</v>
      </c>
      <c r="O23" s="2">
        <v>-0.19315352697095439</v>
      </c>
      <c r="P23" s="2">
        <v>-1.7810576763485519E-2</v>
      </c>
      <c r="Q23" s="2">
        <v>-6.7858025652952514E-2</v>
      </c>
      <c r="R23" s="2">
        <v>-8.3648376672375013E-2</v>
      </c>
      <c r="S23" s="2">
        <v>-6.3269270624549123E-2</v>
      </c>
      <c r="T23" s="2">
        <v>-6.7874161295998547E-2</v>
      </c>
      <c r="U23" s="2">
        <v>-6.7858427701154911E-2</v>
      </c>
      <c r="V23" s="2">
        <v>-6.3340412625998543E-2</v>
      </c>
      <c r="W23" s="2">
        <v>-6.4634222905646799E-2</v>
      </c>
      <c r="X23" s="2">
        <v>-6.811893287266757E-2</v>
      </c>
      <c r="Y23" s="2">
        <v>-5.9022774816037897E-2</v>
      </c>
    </row>
    <row r="24" spans="2:25" x14ac:dyDescent="0.2">
      <c r="B24" t="s">
        <v>49</v>
      </c>
      <c r="C24">
        <v>587</v>
      </c>
      <c r="D24">
        <v>436.5</v>
      </c>
      <c r="E24">
        <v>550.85037999999997</v>
      </c>
      <c r="F24">
        <v>486.6422318847026</v>
      </c>
      <c r="G24">
        <v>473.66798155433759</v>
      </c>
      <c r="H24">
        <v>520.48351721672657</v>
      </c>
      <c r="I24">
        <v>486.60804383136667</v>
      </c>
      <c r="J24">
        <v>486.64142081945141</v>
      </c>
      <c r="K24">
        <v>520.05604998670299</v>
      </c>
      <c r="L24">
        <v>513.52529074277322</v>
      </c>
      <c r="M24">
        <v>479.84837973772608</v>
      </c>
      <c r="N24">
        <v>343.2074004212518</v>
      </c>
      <c r="O24" s="2">
        <v>-0.25638841567291321</v>
      </c>
      <c r="P24" s="2">
        <v>-6.158367972742762E-2</v>
      </c>
      <c r="Q24" s="2">
        <v>-0.17096723699369229</v>
      </c>
      <c r="R24" s="2">
        <v>-0.19306987810163939</v>
      </c>
      <c r="S24" s="2">
        <v>-0.1133159842985919</v>
      </c>
      <c r="T24" s="2">
        <v>-0.17102547899256099</v>
      </c>
      <c r="U24" s="2">
        <v>-0.1709686187062156</v>
      </c>
      <c r="V24" s="2">
        <v>-0.1140442078591091</v>
      </c>
      <c r="W24" s="2">
        <v>-0.1251698624484272</v>
      </c>
      <c r="X24" s="2">
        <v>-0.18254109073641209</v>
      </c>
      <c r="Y24" s="2">
        <v>-0.41531959042376188</v>
      </c>
    </row>
    <row r="25" spans="2:25" x14ac:dyDescent="0.2">
      <c r="B25" t="s">
        <v>50</v>
      </c>
      <c r="C25">
        <v>521</v>
      </c>
      <c r="D25">
        <v>534.1</v>
      </c>
      <c r="E25">
        <v>497.61593299999998</v>
      </c>
      <c r="F25">
        <v>489.41812568223378</v>
      </c>
      <c r="G25">
        <v>774.8279500680901</v>
      </c>
      <c r="H25">
        <v>685.83773860019346</v>
      </c>
      <c r="I25">
        <v>489.4031981227771</v>
      </c>
      <c r="J25">
        <v>489.41793169837899</v>
      </c>
      <c r="K25">
        <v>685.83693572137338</v>
      </c>
      <c r="L25">
        <v>685.8315830242168</v>
      </c>
      <c r="M25">
        <v>481.99127288824479</v>
      </c>
      <c r="N25">
        <v>470.61855511787331</v>
      </c>
      <c r="O25" s="2">
        <v>2.5143953934740889E-2</v>
      </c>
      <c r="P25" s="2">
        <v>-4.4883046065259169E-2</v>
      </c>
      <c r="Q25" s="2">
        <v>-6.0617800993793103E-2</v>
      </c>
      <c r="R25" s="2">
        <v>0.4871937621268525</v>
      </c>
      <c r="S25" s="2">
        <v>0.31638721420382621</v>
      </c>
      <c r="T25" s="2">
        <v>-6.0646452739391399E-2</v>
      </c>
      <c r="U25" s="2">
        <v>-6.0618173323648723E-2</v>
      </c>
      <c r="V25" s="2">
        <v>0.31638567316962263</v>
      </c>
      <c r="W25" s="2">
        <v>0.31637539927872699</v>
      </c>
      <c r="X25" s="2">
        <v>-7.4872796759606897E-2</v>
      </c>
      <c r="Y25" s="2">
        <v>-9.6701429716174125E-2</v>
      </c>
    </row>
    <row r="26" spans="2:25" x14ac:dyDescent="0.2">
      <c r="B26" t="s">
        <v>51</v>
      </c>
      <c r="C26">
        <v>378</v>
      </c>
      <c r="D26">
        <v>365</v>
      </c>
      <c r="E26">
        <v>389.00676600000003</v>
      </c>
      <c r="F26">
        <v>396.42737149079181</v>
      </c>
      <c r="G26">
        <v>436.64133275369949</v>
      </c>
      <c r="H26">
        <v>393.98098290811191</v>
      </c>
      <c r="I26">
        <v>396.4563191210658</v>
      </c>
      <c r="J26">
        <v>396.42775981658781</v>
      </c>
      <c r="K26">
        <v>394.00503703954121</v>
      </c>
      <c r="L26">
        <v>394.25436335293278</v>
      </c>
      <c r="M26">
        <v>423.86952462346608</v>
      </c>
      <c r="N26">
        <v>420.11186238501801</v>
      </c>
      <c r="O26" s="2">
        <v>-3.4391534391534417E-2</v>
      </c>
      <c r="P26" s="2">
        <v>2.9118428571428549E-2</v>
      </c>
      <c r="Q26" s="2">
        <v>4.8749660028549517E-2</v>
      </c>
      <c r="R26" s="2">
        <v>0.15513580093571311</v>
      </c>
      <c r="S26" s="2">
        <v>4.2277732561142527E-2</v>
      </c>
      <c r="T26" s="2">
        <v>4.8826241061020743E-2</v>
      </c>
      <c r="U26" s="2">
        <v>4.8750687345470389E-2</v>
      </c>
      <c r="V26" s="2">
        <v>4.2341367829473953E-2</v>
      </c>
      <c r="W26" s="2">
        <v>4.3000961251145053E-2</v>
      </c>
      <c r="X26" s="2">
        <v>0.1213479487393283</v>
      </c>
      <c r="Y26" s="2">
        <v>0.11140704334660829</v>
      </c>
    </row>
    <row r="27" spans="2:25" x14ac:dyDescent="0.2">
      <c r="B27" t="s">
        <v>54</v>
      </c>
      <c r="C27">
        <v>581</v>
      </c>
      <c r="D27">
        <v>518.6</v>
      </c>
      <c r="E27">
        <v>576.94213100000002</v>
      </c>
      <c r="F27">
        <v>568.76793566073115</v>
      </c>
      <c r="G27">
        <v>549.62514261569936</v>
      </c>
      <c r="H27">
        <v>594.96266948516063</v>
      </c>
      <c r="I27">
        <v>568.76789529260282</v>
      </c>
      <c r="J27">
        <v>568.76737670668604</v>
      </c>
      <c r="K27">
        <v>594.92748464816191</v>
      </c>
      <c r="L27">
        <v>594.96209456659244</v>
      </c>
      <c r="M27">
        <v>630.39369302730029</v>
      </c>
      <c r="N27">
        <v>670.68552774557793</v>
      </c>
      <c r="O27" s="2">
        <v>-0.1074010327022374</v>
      </c>
      <c r="P27" s="2">
        <v>-6.9842839931152367E-3</v>
      </c>
      <c r="Q27" s="2">
        <v>-2.1053467021116771E-2</v>
      </c>
      <c r="R27" s="2">
        <v>-5.400147570447611E-2</v>
      </c>
      <c r="S27" s="2">
        <v>2.4032133365164521E-2</v>
      </c>
      <c r="T27" s="2">
        <v>-2.1053536501544179E-2</v>
      </c>
      <c r="U27" s="2">
        <v>-2.105442907627186E-2</v>
      </c>
      <c r="V27" s="2">
        <v>2.3971574265338799E-2</v>
      </c>
      <c r="W27" s="2">
        <v>2.4031143832345059E-2</v>
      </c>
      <c r="X27" s="2">
        <v>8.5014962181239717E-2</v>
      </c>
      <c r="Y27" s="2">
        <v>0.15436407529359369</v>
      </c>
    </row>
    <row r="28" spans="2:25" x14ac:dyDescent="0.2">
      <c r="B28" t="s">
        <v>55</v>
      </c>
      <c r="C28">
        <v>656</v>
      </c>
      <c r="D28">
        <v>604.9</v>
      </c>
      <c r="E28">
        <v>652.96136100000001</v>
      </c>
      <c r="F28">
        <v>647.35557631575693</v>
      </c>
      <c r="G28">
        <v>638.19106960190652</v>
      </c>
      <c r="H28">
        <v>676.8594012360378</v>
      </c>
      <c r="I28">
        <v>647.35553241408456</v>
      </c>
      <c r="J28">
        <v>647.35493969959975</v>
      </c>
      <c r="K28">
        <v>676.82919252448016</v>
      </c>
      <c r="L28">
        <v>676.85893576186584</v>
      </c>
      <c r="M28">
        <v>738.17496518984262</v>
      </c>
      <c r="N28">
        <v>686.95846371065818</v>
      </c>
      <c r="O28" s="2">
        <v>-7.789634146341462E-2</v>
      </c>
      <c r="P28" s="2">
        <v>-4.6320716463414957E-3</v>
      </c>
      <c r="Q28" s="2">
        <v>-1.3177475128419269E-2</v>
      </c>
      <c r="R28" s="2">
        <v>-2.7147759753191281E-2</v>
      </c>
      <c r="S28" s="2">
        <v>3.1797867737862529E-2</v>
      </c>
      <c r="T28" s="2">
        <v>-1.317754205170041E-2</v>
      </c>
      <c r="U28" s="2">
        <v>-1.317844557987846E-2</v>
      </c>
      <c r="V28" s="2">
        <v>3.1751817872683219E-2</v>
      </c>
      <c r="W28" s="2">
        <v>3.1797158173575868E-2</v>
      </c>
      <c r="X28" s="2">
        <v>0.12526671522841859</v>
      </c>
      <c r="Y28" s="2">
        <v>4.7192780046735112E-2</v>
      </c>
    </row>
    <row r="29" spans="2:25" x14ac:dyDescent="0.2">
      <c r="B29" t="s">
        <v>71</v>
      </c>
      <c r="C29">
        <v>619.5</v>
      </c>
      <c r="D29">
        <v>619.5</v>
      </c>
      <c r="E29">
        <v>540.48275579999995</v>
      </c>
      <c r="F29">
        <v>539.65531237728385</v>
      </c>
      <c r="G29">
        <v>661.12217774422288</v>
      </c>
      <c r="H29">
        <v>587.62241840679326</v>
      </c>
      <c r="I29">
        <v>539.65530396563872</v>
      </c>
      <c r="J29">
        <v>539.65518597047412</v>
      </c>
      <c r="K29">
        <v>587.63237716107005</v>
      </c>
      <c r="L29">
        <v>587.62124335469287</v>
      </c>
      <c r="M29">
        <v>534.15477407463288</v>
      </c>
      <c r="N29">
        <v>545.70316942018326</v>
      </c>
      <c r="O29" s="2">
        <v>0</v>
      </c>
      <c r="P29" s="2">
        <v>-0.12755003099273621</v>
      </c>
      <c r="Q29" s="2">
        <v>-0.12888569430624081</v>
      </c>
      <c r="R29" s="2">
        <v>6.718672759358002E-2</v>
      </c>
      <c r="S29" s="2">
        <v>-5.1456951724304638E-2</v>
      </c>
      <c r="T29" s="2">
        <v>-0.12888570788436041</v>
      </c>
      <c r="U29" s="2">
        <v>-0.12888589835274561</v>
      </c>
      <c r="V29" s="2">
        <v>-5.1440876253317058E-2</v>
      </c>
      <c r="W29" s="2">
        <v>-5.145884849928517E-2</v>
      </c>
      <c r="X29" s="2">
        <v>-0.137764690759269</v>
      </c>
      <c r="Y29" s="2">
        <v>-0.1191232132039011</v>
      </c>
    </row>
    <row r="30" spans="2:25" x14ac:dyDescent="0.2">
      <c r="B30" s="101" t="s">
        <v>149</v>
      </c>
      <c r="C30" s="101"/>
      <c r="D30" s="101"/>
      <c r="E30">
        <f t="shared" ref="E30:E35" si="1">$E$29/(1+P30)</f>
        <v>538.76910355540042</v>
      </c>
      <c r="L30" s="101" t="s">
        <v>142</v>
      </c>
      <c r="M30" s="101"/>
      <c r="N30" s="101"/>
      <c r="O30" s="101"/>
      <c r="P30" s="1">
        <f>AVERAGE(P14:P28)</f>
        <v>3.1806802455651853E-3</v>
      </c>
    </row>
    <row r="31" spans="2:25" x14ac:dyDescent="0.2">
      <c r="B31" s="102" t="s">
        <v>150</v>
      </c>
      <c r="C31" s="102"/>
      <c r="D31" s="102"/>
      <c r="E31">
        <f t="shared" si="1"/>
        <v>542.9979612603754</v>
      </c>
      <c r="L31" s="102" t="s">
        <v>144</v>
      </c>
      <c r="M31" s="102"/>
      <c r="N31" s="102"/>
      <c r="O31" s="102"/>
      <c r="P31" s="1">
        <f>MEDIAN(P14:P28)</f>
        <v>-4.6320716463414957E-3</v>
      </c>
    </row>
    <row r="32" spans="2:25" x14ac:dyDescent="0.2">
      <c r="B32" s="103" t="s">
        <v>151</v>
      </c>
      <c r="C32" s="103"/>
      <c r="D32" s="103"/>
      <c r="E32">
        <f t="shared" si="1"/>
        <v>565.91857599650325</v>
      </c>
      <c r="F32" s="3">
        <f>AVERAGE(P24:P25,P17)</f>
        <v>-6.5798570569393242E-2</v>
      </c>
      <c r="G32">
        <f>$E$29/(1+F32)</f>
        <v>578.55055534374708</v>
      </c>
      <c r="L32" s="103" t="s">
        <v>143</v>
      </c>
      <c r="M32" s="103"/>
      <c r="N32" s="103"/>
      <c r="O32" s="103"/>
      <c r="P32" s="1">
        <f>AVERAGE(P27:P29,P23:P25,P15:P17)</f>
        <v>-4.4946077537240114E-2</v>
      </c>
    </row>
    <row r="33" spans="1:16" x14ac:dyDescent="0.2">
      <c r="B33" s="104" t="s">
        <v>152</v>
      </c>
      <c r="C33" s="104"/>
      <c r="D33" s="104"/>
      <c r="E33">
        <f t="shared" si="1"/>
        <v>556.05304596752705</v>
      </c>
      <c r="F33" s="3">
        <f>MIN(P14:P28)</f>
        <v>-9.0928985915492921E-2</v>
      </c>
      <c r="G33">
        <f>$E$29/(1+F33)</f>
        <v>594.54404268328892</v>
      </c>
      <c r="L33" s="104" t="s">
        <v>145</v>
      </c>
      <c r="M33" s="104"/>
      <c r="N33" s="104"/>
      <c r="O33" s="104"/>
      <c r="P33" s="1">
        <f>MEDIAN(P27:P29,P23:P25,P15:P17)</f>
        <v>-2.8001447488584463E-2</v>
      </c>
    </row>
    <row r="34" spans="1:16" x14ac:dyDescent="0.2">
      <c r="B34" s="105" t="s">
        <v>153</v>
      </c>
      <c r="C34" s="105"/>
      <c r="D34" s="105"/>
      <c r="E34">
        <f t="shared" si="1"/>
        <v>516.52521886317629</v>
      </c>
      <c r="L34" s="105" t="s">
        <v>146</v>
      </c>
      <c r="M34" s="105"/>
      <c r="N34" s="105"/>
      <c r="O34" s="105"/>
      <c r="P34" s="1">
        <f>AVERAGE(P26,P21:P22,P18:P19,P20,P14)</f>
        <v>4.6382124360843227E-2</v>
      </c>
    </row>
    <row r="35" spans="1:16" x14ac:dyDescent="0.2">
      <c r="B35" s="106" t="s">
        <v>154</v>
      </c>
      <c r="C35" s="106"/>
      <c r="D35" s="106"/>
      <c r="E35">
        <f t="shared" si="1"/>
        <v>525.19004693198576</v>
      </c>
      <c r="F35" s="109"/>
      <c r="L35" s="106" t="s">
        <v>147</v>
      </c>
      <c r="M35" s="106"/>
      <c r="N35" s="106"/>
      <c r="O35" s="106"/>
      <c r="P35" s="1">
        <f>MEDIAN(P26,P21:P22,P18:P19,P20,P14)</f>
        <v>2.9118428571428549E-2</v>
      </c>
    </row>
    <row r="38" spans="1:16" x14ac:dyDescent="0.2">
      <c r="A38" s="68" t="s">
        <v>103</v>
      </c>
      <c r="B38" t="s">
        <v>155</v>
      </c>
    </row>
    <row r="39" spans="1:16" x14ac:dyDescent="0.2">
      <c r="B39" t="s">
        <v>156</v>
      </c>
    </row>
    <row r="45" spans="1:16" x14ac:dyDescent="0.2">
      <c r="A45" s="68" t="s">
        <v>105</v>
      </c>
      <c r="B45" s="80" t="s">
        <v>157</v>
      </c>
      <c r="C45" s="81">
        <f>G33</f>
        <v>594.54404268328892</v>
      </c>
      <c r="D45" t="s">
        <v>169</v>
      </c>
    </row>
    <row r="47" spans="1:16" x14ac:dyDescent="0.2">
      <c r="B47" s="180" t="s">
        <v>165</v>
      </c>
      <c r="C47" s="180"/>
      <c r="D47" s="2">
        <f>C45/D29-1</f>
        <v>-4.0284031181131663E-2</v>
      </c>
    </row>
    <row r="48" spans="1:16" x14ac:dyDescent="0.2">
      <c r="B48" s="168" t="s">
        <v>164</v>
      </c>
      <c r="C48" s="168"/>
      <c r="D48" s="2">
        <f>'1. Data &amp; Confidence Interval'!N25</f>
        <v>-2.4527242089496415E-2</v>
      </c>
    </row>
  </sheetData>
  <mergeCells count="2">
    <mergeCell ref="B48:C48"/>
    <mergeCell ref="B47:C47"/>
  </mergeCells>
  <conditionalFormatting sqref="P30:P35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21:W29 Q20:W20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6:K6">
    <cfRule type="colorScale" priority="1">
      <colorScale>
        <cfvo type="min"/>
        <cfvo type="max"/>
        <color rgb="FF92D050"/>
        <color rgb="FFFF0000"/>
      </colorScale>
    </cfRule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7:K7">
    <cfRule type="colorScale" priority="2">
      <colorScale>
        <cfvo type="min"/>
        <cfvo type="max"/>
        <color rgb="FF92D050"/>
        <color rgb="FFC00000"/>
      </colorScale>
    </cfRule>
    <cfRule type="colorScale" priority="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 Data &amp; Confidence Interval</vt:lpstr>
      <vt:lpstr>2. Past Proj &amp; Candidate Model</vt:lpstr>
      <vt:lpstr>3. Improved Alpha Model</vt:lpstr>
      <vt:lpstr>4.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Redmond Xia</dc:creator>
  <cp:lastModifiedBy>Redmond Xia</cp:lastModifiedBy>
  <dcterms:created xsi:type="dcterms:W3CDTF">2021-10-08T16:56:03Z</dcterms:created>
  <dcterms:modified xsi:type="dcterms:W3CDTF">2021-11-03T14:02:37Z</dcterms:modified>
</cp:coreProperties>
</file>