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BSX\"/>
    </mc:Choice>
  </mc:AlternateContent>
  <xr:revisionPtr revIDLastSave="0" documentId="13_ncr:1_{4C8DB64E-AEF0-4FFB-86CE-3AC209BC1E37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2" i="4" l="1"/>
  <c r="H32" i="4" s="1"/>
  <c r="S31" i="4"/>
  <c r="H31" i="4" s="1"/>
  <c r="C45" i="4"/>
  <c r="H36" i="4"/>
  <c r="H35" i="4"/>
  <c r="H34" i="4"/>
  <c r="H33" i="4"/>
  <c r="S36" i="4"/>
  <c r="S35" i="4"/>
  <c r="S34" i="4"/>
  <c r="S33" i="4"/>
  <c r="J20" i="2"/>
  <c r="L20" i="2"/>
  <c r="M20" i="2"/>
  <c r="N20" i="2"/>
  <c r="O20" i="2"/>
  <c r="P20" i="2"/>
  <c r="Q20" i="2" s="1"/>
  <c r="K20" i="2"/>
  <c r="AJ10" i="1" l="1"/>
  <c r="J10" i="1"/>
  <c r="AK21" i="1"/>
  <c r="D47" i="4"/>
  <c r="J23" i="2"/>
  <c r="K25" i="1"/>
  <c r="K24" i="1"/>
  <c r="C2" i="4"/>
  <c r="R23" i="2"/>
  <c r="R45" i="2" a="1"/>
  <c r="R45" i="2" s="1"/>
  <c r="R46" i="2" a="1"/>
  <c r="R46" i="2" s="1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K26" i="1"/>
  <c r="AK25" i="1"/>
  <c r="AK22" i="1"/>
  <c r="N25" i="1"/>
  <c r="N24" i="1"/>
  <c r="F13" i="1"/>
  <c r="G13" i="1"/>
  <c r="H13" i="1"/>
  <c r="I13" i="1"/>
  <c r="F17" i="1"/>
  <c r="E17" i="1"/>
  <c r="D17" i="1"/>
  <c r="C17" i="1"/>
  <c r="B17" i="1"/>
  <c r="E18" i="1"/>
  <c r="D18" i="1"/>
  <c r="C18" i="1"/>
  <c r="B18" i="1"/>
  <c r="F18" i="1"/>
  <c r="K22" i="1"/>
  <c r="K20" i="1"/>
  <c r="N21" i="1" l="1"/>
  <c r="P23" i="2"/>
  <c r="J39" i="2"/>
  <c r="J42" i="2"/>
  <c r="L23" i="2"/>
  <c r="M23" i="2"/>
  <c r="N23" i="2"/>
  <c r="O23" i="2"/>
  <c r="K23" i="2"/>
  <c r="Q23" i="2" s="1"/>
  <c r="H18" i="1"/>
  <c r="G18" i="1"/>
  <c r="L22" i="1"/>
  <c r="M22" i="1"/>
  <c r="N22" i="1"/>
  <c r="O22" i="1"/>
  <c r="P22" i="1"/>
  <c r="L20" i="1"/>
  <c r="M20" i="1"/>
  <c r="N20" i="1"/>
  <c r="O20" i="1"/>
  <c r="O21" i="1" s="1"/>
  <c r="P20" i="1"/>
  <c r="J41" i="2"/>
  <c r="J40" i="2"/>
  <c r="G40" i="2"/>
  <c r="R24" i="2"/>
  <c r="Q22" i="1"/>
  <c r="R22" i="1"/>
  <c r="Q20" i="1"/>
  <c r="R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J18" i="1"/>
  <c r="AK18" i="1"/>
  <c r="J17" i="1"/>
  <c r="I17" i="1"/>
  <c r="H17" i="1"/>
  <c r="G17" i="1"/>
  <c r="R17" i="1"/>
  <c r="Q17" i="1"/>
  <c r="P17" i="1"/>
  <c r="O17" i="1"/>
  <c r="M18" i="1"/>
  <c r="L18" i="1"/>
  <c r="J18" i="1"/>
  <c r="I18" i="1"/>
  <c r="S20" i="1"/>
  <c r="S22" i="1"/>
  <c r="G46" i="2" l="1" a="1"/>
  <c r="G46" i="2" s="1"/>
  <c r="G45" i="2" a="1"/>
  <c r="G45" i="2" s="1"/>
  <c r="R21" i="1"/>
  <c r="O23" i="1"/>
  <c r="N23" i="1"/>
  <c r="P21" i="1"/>
  <c r="S21" i="1"/>
  <c r="S23" i="1"/>
  <c r="Q23" i="1"/>
  <c r="P23" i="1"/>
  <c r="Q21" i="1"/>
  <c r="R23" i="1"/>
  <c r="J24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J17" i="1"/>
  <c r="AK24" i="1" s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8" i="3"/>
  <c r="E28" i="3"/>
  <c r="AE17" i="1"/>
  <c r="AD17" i="1"/>
  <c r="AC17" i="1"/>
  <c r="AB17" i="1"/>
  <c r="AK20" i="1" l="1"/>
  <c r="C7" i="1"/>
  <c r="U21" i="1"/>
  <c r="T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4" i="3"/>
  <c r="D48" i="4" l="1"/>
  <c r="U23" i="1"/>
  <c r="T23" i="1"/>
  <c r="B7" i="1"/>
  <c r="V21" i="1"/>
  <c r="R44" i="2"/>
  <c r="R43" i="2"/>
  <c r="R42" i="2"/>
  <c r="R41" i="2"/>
  <c r="R39" i="2"/>
  <c r="R38" i="2"/>
  <c r="R37" i="2"/>
  <c r="R36" i="2"/>
  <c r="R35" i="2"/>
  <c r="R34" i="2"/>
  <c r="R33" i="2"/>
  <c r="R32" i="2"/>
  <c r="M2" i="1" l="1"/>
  <c r="N2" i="1"/>
  <c r="N3" i="1"/>
  <c r="M3" i="1"/>
  <c r="H24" i="3"/>
  <c r="O2" i="1" l="1"/>
  <c r="P2" i="1" s="1"/>
  <c r="O3" i="1"/>
  <c r="P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Q45" i="2" l="1" a="1"/>
  <c r="Q45" i="2" s="1"/>
  <c r="Q46" i="2" a="1"/>
  <c r="Q46" i="2" s="1"/>
  <c r="P46" i="2" a="1"/>
  <c r="P46" i="2" s="1"/>
  <c r="P45" i="2" a="1"/>
  <c r="P45" i="2" s="1"/>
  <c r="O46" i="2" a="1"/>
  <c r="O46" i="2" s="1"/>
  <c r="O45" i="2" a="1"/>
  <c r="O45" i="2" s="1"/>
  <c r="L46" i="2" a="1"/>
  <c r="L46" i="2" s="1"/>
  <c r="L45" i="2" a="1"/>
  <c r="L45" i="2" s="1"/>
  <c r="N46" i="2" a="1"/>
  <c r="N46" i="2" s="1"/>
  <c r="N45" i="2" a="1"/>
  <c r="N45" i="2" s="1"/>
  <c r="M46" i="2" a="1"/>
  <c r="M46" i="2" s="1"/>
  <c r="M45" i="2" a="1"/>
  <c r="M45" i="2" s="1"/>
  <c r="K46" i="2" a="1"/>
  <c r="K46" i="2" s="1"/>
  <c r="K45" i="2" a="1"/>
  <c r="K45" i="2" s="1"/>
  <c r="J46" i="2" a="1"/>
  <c r="J46" i="2" s="1"/>
  <c r="J45" i="2" a="1"/>
  <c r="J45" i="2" s="1"/>
  <c r="I45" i="2" a="1"/>
  <c r="I45" i="2" s="1"/>
  <c r="I46" i="2" a="1"/>
  <c r="I46" i="2" s="1"/>
  <c r="E46" i="2" a="1"/>
  <c r="E46" i="2" s="1"/>
  <c r="E45" i="2" a="1"/>
  <c r="E45" i="2" s="1"/>
  <c r="F45" i="2" a="1"/>
  <c r="F45" i="2" s="1"/>
  <c r="F46" i="2" a="1"/>
  <c r="F46" i="2" s="1"/>
  <c r="H46" i="2" a="1"/>
  <c r="H46" i="2" s="1"/>
  <c r="H45" i="2" a="1"/>
  <c r="H45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AK23" i="1" l="1"/>
  <c r="O4" i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<sst xmlns="http://schemas.openxmlformats.org/spreadsheetml/2006/main" count="328" uniqueCount="176">
  <si>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</si>
  <si>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</si>
  <si>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</si>
  <si>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</si>
  <si>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</si>
  <si>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</si>
  <si>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</si>
  <si>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</si>
  <si>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</si>
  <si>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</si>
  <si>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</si>
  <si>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</si>
  <si>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</si>
  <si>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</si>
  <si>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</si>
  <si>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</si>
  <si>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</si>
  <si>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</si>
  <si>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</si>
  <si>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</si>
  <si>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</si>
  <si>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</si>
  <si>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</si>
  <si>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</si>
  <si>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</si>
  <si>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</si>
  <si>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</si>
  <si>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</si>
  <si>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</si>
  <si>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</si>
  <si>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</si>
  <si>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</si>
  <si>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</si>
  <si>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</si>
  <si>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</si>
  <si>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</si>
  <si>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</si>
  <si>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</si>
  <si>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</si>
  <si>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</si>
  <si>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</si>
  <si>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</si>
  <si>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</si>
  <si>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</si>
  <si>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</si>
  <si>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</si>
  <si>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</si>
  <si>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</si>
  <si>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</si>
  <si>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</si>
  <si>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</si>
  <si>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</si>
  <si>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</si>
  <si>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</si>
  <si>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</si>
  <si>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</si>
  <si>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</si>
  <si>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</si>
  <si>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</si>
  <si>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</si>
  <si>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</si>
  <si>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</si>
  <si>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</si>
  <si>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</si>
  <si>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</si>
  <si>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</si>
  <si>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</si>
  <si>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</si>
  <si>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</si>
  <si>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</si>
  <si>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</si>
  <si>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</si>
  <si>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</si>
  <si>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</si>
  <si>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</si>
  <si>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</si>
  <si>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</si>
  <si>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</si>
  <si>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</si>
  <si>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</si>
  <si>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</si>
  <si>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</si>
  <si>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</si>
  <si>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</si>
  <si>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</si>
  <si>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</si>
  <si>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</si>
  <si>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</si>
  <si>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</si>
  <si>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</si>
  <si>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</si>
  <si>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</si>
  <si>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</si>
  <si>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</si>
  <si>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</si>
  <si>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</si>
  <si>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</si>
  <si>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</si>
  <si>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</si>
  <si>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</si>
  <si>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</si>
  <si>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</si>
  <si>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</si>
  <si>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</si>
  <si>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</si>
  <si>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</si>
  <si>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</si>
  <si>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</si>
  <si>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</si>
  <si>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</si>
  <si>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</si>
  <si>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</si>
  <si>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</si>
  <si>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</si>
  <si>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</si>
  <si>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</si>
  <si>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</si>
  <si>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</si>
  <si>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</si>
  <si>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</si>
  <si>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</si>
  <si>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</si>
  <si>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</si>
  <si>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</si>
  <si>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</si>
  <si>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</si>
  <si>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</si>
  <si>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</si>
  <si>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</si>
  <si>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</si>
  <si>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</si>
  <si>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</si>
  <si>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</si>
  <si>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</si>
  <si>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</si>
  <si>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</si>
  <si>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</si>
  <si>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</si>
  <si>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</si>
  <si>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</si>
  <si>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</si>
  <si>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</si>
  <si>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</si>
  <si>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</si>
  <si>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</si>
  <si>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</si>
  <si>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</si>
  <si>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</si>
  <si>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</si>
  <si>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</si>
  <si>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</si>
  <si>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</si>
  <si>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</si>
  <si>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</si>
  <si>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</si>
  <si>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</si>
  <si>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</si>
  <si>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</si>
  <si>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</si>
  <si>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</si>
  <si>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</si>
  <si>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</si>
  <si>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</si>
  <si>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</si>
  <si>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</si>
  <si>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</si>
  <si>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</si>
  <si>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</si>
  <si>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</si>
  <si>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</si>
  <si>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</si>
  <si>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</si>
  <si>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BSX_MEDSG</t>
  </si>
  <si>
    <t>BSX_MEDSURG</t>
  </si>
  <si>
    <t>Medsurg</t>
  </si>
  <si>
    <t>AVG RM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</si>
</sst>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8" fillId="0" borderId="0" xfId="0" applyFont="1" applyBorder="1" applyAlignment="1">
      <alignment horizontal="center" vertical="top"/>
    </xf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3" fontId="0" fillId="0" borderId="0" xfId="0" applyNumberFormat="1"/>
    <xf numFmtId="10" fontId="4" fillId="0" borderId="6" xfId="1" applyNumberFormat="1" applyFont="1" applyBorder="1"/>
    <xf numFmtId="10" fontId="4" fillId="0" borderId="7" xfId="1" applyNumberFormat="1" applyFont="1" applyBorder="1"/>
    <xf numFmtId="10" fontId="4" fillId="0" borderId="11" xfId="1" applyNumberFormat="1" applyFont="1" applyBorder="1"/>
    <xf numFmtId="10" fontId="4" fillId="0" borderId="12" xfId="1" applyNumberFormat="1" applyFont="1" applyBorder="1"/>
    <xf numFmtId="10" fontId="2" fillId="0" borderId="6" xfId="1" applyNumberFormat="1" applyFont="1" applyBorder="1"/>
    <xf numFmtId="10" fontId="2" fillId="0" borderId="11" xfId="1" applyNumberFormat="1" applyFont="1" applyBorder="1"/>
    <xf numFmtId="10" fontId="0" fillId="0" borderId="0" xfId="1" applyNumberFormat="1" applyFont="1"/>
    <xf numFmtId="0" fontId="0" fillId="10" borderId="0" xfId="0" applyFill="1" applyAlignment="1"/>
    <xf numFmtId="0" fontId="0" fillId="10" borderId="0" xfId="0" applyFill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E1"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49" t="s">
        <v>172</v>
      </c>
      <c r="B1" s="150"/>
      <c r="C1" s="151"/>
      <c r="K1" s="158" t="s">
        <v>35</v>
      </c>
      <c r="L1" s="159"/>
      <c r="M1" s="62" t="s">
        <v>31</v>
      </c>
      <c r="N1" s="62" t="s">
        <v>32</v>
      </c>
      <c r="O1" s="4" t="s">
        <v>39</v>
      </c>
      <c r="P1" s="160" t="s">
        <v>41</v>
      </c>
      <c r="Q1" s="161"/>
    </row>
    <row r="2" spans="1:37" x14ac:dyDescent="0.2">
      <c r="A2" s="152"/>
      <c r="B2" s="153"/>
      <c r="C2" s="154"/>
      <c r="K2" s="60" t="s">
        <v>37</v>
      </c>
      <c r="L2" s="61"/>
      <c r="M2" s="63">
        <f>$B$7*($AK$25-2*$AK$26)</f>
        <v>544.58489292636762</v>
      </c>
      <c r="N2" s="63">
        <f>$B$7*($AK$25+2*$AK$26)</f>
        <v>626.21518238514864</v>
      </c>
      <c r="O2" s="65">
        <f>AVERAGE(M2:N2)</f>
        <v>585.40003765575807</v>
      </c>
      <c r="P2" s="162">
        <f>$O$2/AF14-1</f>
        <v>0.12360851757343205</v>
      </c>
      <c r="Q2" s="163"/>
    </row>
    <row r="3" spans="1:37" x14ac:dyDescent="0.2">
      <c r="A3" s="155"/>
      <c r="B3" s="156"/>
      <c r="C3" s="157"/>
      <c r="K3" s="46" t="s">
        <v>38</v>
      </c>
      <c r="L3" s="19"/>
      <c r="M3" s="64">
        <f>$C$7*($AK$25-2*$AK$26)</f>
        <v>553.81514534884832</v>
      </c>
      <c r="N3" s="64">
        <f>$C$7*($AK$25+2*$AK$26)</f>
        <v>636.82899903574435</v>
      </c>
      <c r="O3" s="66">
        <f>AVERAGE(M3:N3)</f>
        <v>595.32207219229633</v>
      </c>
      <c r="P3" s="164">
        <f>$O$3/AF15-1</f>
        <v>0.14265272973569343</v>
      </c>
      <c r="Q3" s="165"/>
    </row>
    <row r="4" spans="1:37" x14ac:dyDescent="0.2">
      <c r="A4" s="51"/>
      <c r="B4" s="51"/>
      <c r="C4" s="51"/>
      <c r="N4" s="4" t="s">
        <v>40</v>
      </c>
      <c r="O4" s="66">
        <f>AVERAGE(O2:O3)</f>
        <v>590.36105492402726</v>
      </c>
      <c r="P4" s="164">
        <f>$O$4/AF15-1</f>
        <v>0.13313062365456285</v>
      </c>
      <c r="Q4" s="165"/>
    </row>
    <row r="5" spans="1:37" x14ac:dyDescent="0.2">
      <c r="A5" s="59" t="s">
        <v>34</v>
      </c>
      <c r="B5" s="49" t="s">
        <v>31</v>
      </c>
      <c r="C5" s="50" t="s">
        <v>32</v>
      </c>
      <c r="D5" s="87"/>
      <c r="E5" s="87"/>
    </row>
    <row r="6" spans="1:37" ht="15.75" x14ac:dyDescent="0.25">
      <c r="A6" s="53" t="s">
        <v>33</v>
      </c>
      <c r="B6" s="57">
        <v>11697.34</v>
      </c>
      <c r="C6" s="58">
        <v>11895.6</v>
      </c>
    </row>
    <row r="7" spans="1:37" ht="14.25" x14ac:dyDescent="0.2">
      <c r="A7" s="54" t="s">
        <v>36</v>
      </c>
      <c r="B7" s="55">
        <f>B6*$AK$24</f>
        <v>2323.4799322326116</v>
      </c>
      <c r="C7" s="56">
        <f>C6*$AK$24</f>
        <v>2362.8609480331643</v>
      </c>
    </row>
    <row r="8" spans="1:37" x14ac:dyDescent="0.2">
      <c r="F8" s="51"/>
      <c r="G8" s="51"/>
      <c r="H8" s="51"/>
    </row>
    <row r="9" spans="1:37" x14ac:dyDescent="0.2">
      <c r="F9" s="51"/>
      <c r="G9" s="51"/>
      <c r="H9" s="51"/>
    </row>
    <row r="10" spans="1:37" x14ac:dyDescent="0.2">
      <c r="H10" s="148" t="s">
        <v>15</v>
      </c>
      <c r="I10" s="148"/>
      <c r="J10" s="36">
        <f>AVERAGE(F13:AJ13)</f>
        <v>1.1255370994240499</v>
      </c>
      <c r="AG10" s="148" t="s">
        <v>16</v>
      </c>
      <c r="AH10" s="148"/>
      <c r="AI10" s="148"/>
      <c r="AJ10" s="80">
        <f>AVERAGE(AF13:AJ13)</f>
        <v>1.1841909444497305</v>
      </c>
    </row>
    <row r="11" spans="1:37" x14ac:dyDescent="0.2">
      <c r="A11" s="52" t="s">
        <v>6</v>
      </c>
      <c r="B11" s="117">
        <v>2013</v>
      </c>
      <c r="C11" s="118"/>
      <c r="D11" s="118"/>
      <c r="E11" s="119"/>
      <c r="F11" s="135">
        <v>2014</v>
      </c>
      <c r="G11" s="135"/>
      <c r="H11" s="135"/>
      <c r="I11" s="136"/>
      <c r="J11" s="137">
        <v>2015</v>
      </c>
      <c r="K11" s="138"/>
      <c r="L11" s="138"/>
      <c r="M11" s="139"/>
      <c r="N11" s="137">
        <v>2016</v>
      </c>
      <c r="O11" s="138"/>
      <c r="P11" s="138"/>
      <c r="Q11" s="139"/>
      <c r="R11" s="140">
        <v>2017</v>
      </c>
      <c r="S11" s="141"/>
      <c r="T11" s="141"/>
      <c r="U11" s="142"/>
      <c r="V11" s="166">
        <v>2018</v>
      </c>
      <c r="W11" s="167"/>
      <c r="X11" s="167"/>
      <c r="Y11" s="168"/>
      <c r="Z11" s="143">
        <v>2019</v>
      </c>
      <c r="AA11" s="144"/>
      <c r="AB11" s="144"/>
      <c r="AC11" s="145"/>
      <c r="AD11" s="146">
        <v>2020</v>
      </c>
      <c r="AE11" s="135"/>
      <c r="AF11" s="135"/>
      <c r="AG11" s="136"/>
      <c r="AH11" s="137">
        <v>2021</v>
      </c>
      <c r="AI11" s="138"/>
      <c r="AJ11" s="138"/>
      <c r="AK11" s="139"/>
    </row>
    <row r="12" spans="1:37" x14ac:dyDescent="0.2">
      <c r="A12" s="14" t="s">
        <v>19</v>
      </c>
      <c r="B12" s="81" t="s">
        <v>20</v>
      </c>
      <c r="C12" s="82" t="s">
        <v>3</v>
      </c>
      <c r="D12" s="82" t="s">
        <v>4</v>
      </c>
      <c r="E12" s="83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8" t="s">
        <v>20</v>
      </c>
      <c r="AI12" s="39" t="s">
        <v>3</v>
      </c>
      <c r="AJ12" s="40" t="s">
        <v>21</v>
      </c>
      <c r="AK12" s="30" t="s">
        <v>22</v>
      </c>
    </row>
    <row r="13" spans="1:37" x14ac:dyDescent="0.2">
      <c r="A13" s="35" t="s">
        <v>2</v>
      </c>
      <c r="B13" s="31"/>
      <c r="C13" s="31"/>
      <c r="D13" s="31"/>
      <c r="E13" s="31"/>
      <c r="F13" s="86">
        <f t="shared" ref="F13:I13" si="0">F15/B15</f>
        <v>1</v>
      </c>
      <c r="G13" s="86">
        <f t="shared" si="0"/>
        <v>1.0284552845528456</v>
      </c>
      <c r="H13" s="86">
        <f t="shared" si="0"/>
        <v>1.0398406374501992</v>
      </c>
      <c r="I13" s="86">
        <f t="shared" si="0"/>
        <v>1.03515625</v>
      </c>
      <c r="J13" s="86">
        <f>J15/F15</f>
        <v>1.0423728813559323</v>
      </c>
      <c r="K13" s="86">
        <f t="shared" ref="K13:AI13" si="1">K15/G15</f>
        <v>1.0592885375494072</v>
      </c>
      <c r="L13" s="86">
        <f t="shared" si="1"/>
        <v>1.2337164750957854</v>
      </c>
      <c r="M13" s="86">
        <f t="shared" si="1"/>
        <v>1.3320754716981131</v>
      </c>
      <c r="N13" s="86">
        <f t="shared" si="1"/>
        <v>1.3943089430894309</v>
      </c>
      <c r="O13" s="86">
        <f t="shared" si="1"/>
        <v>1.3694029850746268</v>
      </c>
      <c r="P13" s="86">
        <f t="shared" si="1"/>
        <v>1.15527950310559</v>
      </c>
      <c r="Q13" s="86">
        <f t="shared" si="1"/>
        <v>1.1303116147308783</v>
      </c>
      <c r="R13" s="86">
        <f t="shared" si="1"/>
        <v>1.1603498542274053</v>
      </c>
      <c r="S13" s="86">
        <f t="shared" si="1"/>
        <v>1.1471389645776566</v>
      </c>
      <c r="T13" s="86">
        <f t="shared" si="1"/>
        <v>1.1021505376344085</v>
      </c>
      <c r="U13" s="86">
        <f t="shared" si="1"/>
        <v>1.1265664160401003</v>
      </c>
      <c r="V13" s="86">
        <f t="shared" si="1"/>
        <v>1.0753768844221105</v>
      </c>
      <c r="W13" s="86">
        <f t="shared" si="1"/>
        <v>1.0878859857482186</v>
      </c>
      <c r="X13" s="86">
        <f t="shared" si="1"/>
        <v>1.1243902439024391</v>
      </c>
      <c r="Y13" s="86">
        <f t="shared" si="1"/>
        <v>1.1078976640711902</v>
      </c>
      <c r="Z13" s="86">
        <f t="shared" si="1"/>
        <v>1.1308411214953271</v>
      </c>
      <c r="AA13" s="86">
        <f t="shared" si="1"/>
        <v>1.1310043668122272</v>
      </c>
      <c r="AB13" s="86">
        <f t="shared" si="1"/>
        <v>1.1583514099783081</v>
      </c>
      <c r="AC13" s="86">
        <f t="shared" si="1"/>
        <v>1.1004016064257027</v>
      </c>
      <c r="AD13" s="86">
        <f t="shared" si="1"/>
        <v>1.0185950413223142</v>
      </c>
      <c r="AE13" s="86">
        <f t="shared" si="1"/>
        <v>0.67953667953667951</v>
      </c>
      <c r="AF13" s="86">
        <f t="shared" si="1"/>
        <v>0.97565543071161054</v>
      </c>
      <c r="AG13" s="86">
        <f t="shared" si="1"/>
        <v>1.0091240875912408</v>
      </c>
      <c r="AH13" s="86">
        <f t="shared" si="1"/>
        <v>1.0892494929006085</v>
      </c>
      <c r="AI13" s="86">
        <f t="shared" si="1"/>
        <v>1.7073863636363635</v>
      </c>
      <c r="AJ13" s="86">
        <f>AJ14/AF14</f>
        <v>1.1395393474088293</v>
      </c>
      <c r="AK13" s="32"/>
    </row>
    <row r="14" spans="1:37" x14ac:dyDescent="0.2">
      <c r="A14" s="15" t="s">
        <v>0</v>
      </c>
      <c r="B14" s="7">
        <v>258</v>
      </c>
      <c r="C14" s="7">
        <v>274</v>
      </c>
      <c r="D14" s="7">
        <v>279.3</v>
      </c>
      <c r="E14" s="7">
        <v>290.7</v>
      </c>
      <c r="F14" s="7">
        <v>255.5</v>
      </c>
      <c r="G14" s="7">
        <v>273.39999999999998</v>
      </c>
      <c r="H14" s="7">
        <v>281.7</v>
      </c>
      <c r="I14" s="7">
        <v>288.89999999999998</v>
      </c>
      <c r="J14" s="9">
        <v>253.8</v>
      </c>
      <c r="K14" s="6">
        <v>276.5</v>
      </c>
      <c r="L14" s="6">
        <v>330.6</v>
      </c>
      <c r="M14" s="6">
        <v>361.5</v>
      </c>
      <c r="N14" s="9">
        <v>351.1</v>
      </c>
      <c r="O14" s="6">
        <v>375.8</v>
      </c>
      <c r="P14" s="6">
        <v>381</v>
      </c>
      <c r="Q14" s="6">
        <v>409.4</v>
      </c>
      <c r="R14" s="9">
        <v>397.9</v>
      </c>
      <c r="S14" s="6">
        <v>420.8</v>
      </c>
      <c r="T14" s="6">
        <v>410</v>
      </c>
      <c r="U14" s="6">
        <v>449.9</v>
      </c>
      <c r="V14" s="9">
        <v>427.9</v>
      </c>
      <c r="W14" s="6">
        <v>458</v>
      </c>
      <c r="X14" s="6">
        <v>460.9</v>
      </c>
      <c r="Y14" s="6">
        <v>498</v>
      </c>
      <c r="Z14" s="9">
        <v>484</v>
      </c>
      <c r="AA14" s="6">
        <v>518</v>
      </c>
      <c r="AB14" s="6">
        <v>534</v>
      </c>
      <c r="AC14" s="6">
        <v>548.29999999999995</v>
      </c>
      <c r="AD14" s="9">
        <v>492.9</v>
      </c>
      <c r="AE14" s="6">
        <v>351.9</v>
      </c>
      <c r="AF14" s="6">
        <v>521</v>
      </c>
      <c r="AG14" s="6">
        <v>553</v>
      </c>
      <c r="AH14" s="6">
        <v>537</v>
      </c>
      <c r="AI14" s="6">
        <v>601</v>
      </c>
      <c r="AJ14" s="6">
        <v>593.70000000000005</v>
      </c>
      <c r="AK14" s="6">
        <v>632.1</v>
      </c>
    </row>
    <row r="15" spans="1:37" x14ac:dyDescent="0.2">
      <c r="A15" s="15" t="s">
        <v>1</v>
      </c>
      <c r="B15" s="6">
        <v>236</v>
      </c>
      <c r="C15" s="6">
        <v>246</v>
      </c>
      <c r="D15" s="6">
        <v>251</v>
      </c>
      <c r="E15" s="6">
        <v>256</v>
      </c>
      <c r="F15" s="6">
        <v>236</v>
      </c>
      <c r="G15" s="6">
        <v>253</v>
      </c>
      <c r="H15" s="6">
        <v>261</v>
      </c>
      <c r="I15" s="6">
        <v>265</v>
      </c>
      <c r="J15" s="9">
        <v>246</v>
      </c>
      <c r="K15" s="6">
        <v>268</v>
      </c>
      <c r="L15" s="6">
        <v>322</v>
      </c>
      <c r="M15" s="6">
        <v>353</v>
      </c>
      <c r="N15" s="9">
        <v>343</v>
      </c>
      <c r="O15" s="6">
        <v>367</v>
      </c>
      <c r="P15" s="6">
        <v>372</v>
      </c>
      <c r="Q15" s="6">
        <v>399</v>
      </c>
      <c r="R15" s="9">
        <v>398</v>
      </c>
      <c r="S15" s="6">
        <v>421</v>
      </c>
      <c r="T15" s="6">
        <v>410</v>
      </c>
      <c r="U15" s="6">
        <v>449.5</v>
      </c>
      <c r="V15" s="9">
        <v>428</v>
      </c>
      <c r="W15" s="6">
        <v>458</v>
      </c>
      <c r="X15" s="6">
        <v>461</v>
      </c>
      <c r="Y15" s="6">
        <v>498</v>
      </c>
      <c r="Z15" s="9">
        <v>484</v>
      </c>
      <c r="AA15" s="6">
        <v>518</v>
      </c>
      <c r="AB15" s="6">
        <v>534</v>
      </c>
      <c r="AC15" s="6">
        <v>548</v>
      </c>
      <c r="AD15" s="9">
        <v>493</v>
      </c>
      <c r="AE15" s="6">
        <v>352</v>
      </c>
      <c r="AF15" s="6">
        <v>521</v>
      </c>
      <c r="AG15" s="6">
        <v>553</v>
      </c>
      <c r="AH15" s="9">
        <v>537</v>
      </c>
      <c r="AI15" s="6">
        <v>601</v>
      </c>
      <c r="AJ15" s="9"/>
      <c r="AK15" s="10"/>
    </row>
    <row r="16" spans="1:37" x14ac:dyDescent="0.2">
      <c r="A16" s="15" t="s">
        <v>158</v>
      </c>
      <c r="B16" s="9">
        <v>1761</v>
      </c>
      <c r="C16" s="6">
        <v>1809</v>
      </c>
      <c r="D16" s="6">
        <v>1735</v>
      </c>
      <c r="E16" s="10">
        <v>1836</v>
      </c>
      <c r="F16" s="9">
        <v>1774</v>
      </c>
      <c r="G16" s="6">
        <v>1873</v>
      </c>
      <c r="H16" s="6">
        <v>1845</v>
      </c>
      <c r="I16" s="10">
        <v>1886</v>
      </c>
      <c r="J16" s="9">
        <v>1768</v>
      </c>
      <c r="K16" s="6">
        <v>1843</v>
      </c>
      <c r="L16" s="6">
        <v>1888</v>
      </c>
      <c r="M16" s="10">
        <v>1978</v>
      </c>
      <c r="N16" s="9">
        <v>1964</v>
      </c>
      <c r="O16" s="6">
        <v>2126</v>
      </c>
      <c r="P16" s="6">
        <v>2105</v>
      </c>
      <c r="Q16" s="10">
        <v>2191</v>
      </c>
      <c r="R16" s="9">
        <v>2160</v>
      </c>
      <c r="S16" s="6">
        <v>2257</v>
      </c>
      <c r="T16" s="6">
        <v>2222</v>
      </c>
      <c r="U16" s="10">
        <v>2408</v>
      </c>
      <c r="V16" s="9">
        <v>2379</v>
      </c>
      <c r="W16" s="6">
        <v>2490</v>
      </c>
      <c r="X16" s="6">
        <v>2393</v>
      </c>
      <c r="Y16" s="10">
        <v>2561</v>
      </c>
      <c r="Z16" s="9">
        <v>2493</v>
      </c>
      <c r="AA16" s="6">
        <v>2631</v>
      </c>
      <c r="AB16" s="6">
        <v>2707</v>
      </c>
      <c r="AC16" s="10">
        <v>2905</v>
      </c>
      <c r="AD16" s="9">
        <v>2543</v>
      </c>
      <c r="AE16" s="6">
        <v>2003</v>
      </c>
      <c r="AF16" s="6">
        <v>2659</v>
      </c>
      <c r="AG16" s="10">
        <v>2708</v>
      </c>
      <c r="AH16" s="9">
        <v>2752</v>
      </c>
      <c r="AI16">
        <v>3077</v>
      </c>
      <c r="AJ16" s="107">
        <v>2970.4</v>
      </c>
      <c r="AK16" s="10"/>
    </row>
    <row r="17" spans="1:38" x14ac:dyDescent="0.2">
      <c r="A17" s="88" t="s">
        <v>18</v>
      </c>
      <c r="B17" s="89">
        <f>B15/B16</f>
        <v>0.13401476433844406</v>
      </c>
      <c r="C17" s="89">
        <f>C15/C16</f>
        <v>0.13598673300165837</v>
      </c>
      <c r="D17" s="89">
        <f>D15/D16</f>
        <v>0.14466858789625361</v>
      </c>
      <c r="E17" s="89">
        <f>E15/E16</f>
        <v>0.13943355119825709</v>
      </c>
      <c r="F17" s="89">
        <f>F15/F16</f>
        <v>0.13303269447576099</v>
      </c>
      <c r="G17" s="89">
        <f t="shared" ref="G17:L17" si="2">G15/G16</f>
        <v>0.13507741591030434</v>
      </c>
      <c r="H17" s="89">
        <f t="shared" si="2"/>
        <v>0.14146341463414633</v>
      </c>
      <c r="I17" s="89">
        <f t="shared" si="2"/>
        <v>0.14050901378579003</v>
      </c>
      <c r="J17" s="89">
        <f t="shared" si="2"/>
        <v>0.13914027149321267</v>
      </c>
      <c r="K17" s="89">
        <f t="shared" si="2"/>
        <v>0.1454150841020076</v>
      </c>
      <c r="L17" s="89">
        <f t="shared" si="2"/>
        <v>0.17055084745762711</v>
      </c>
      <c r="M17" s="89">
        <f t="shared" ref="M17:AA17" si="3">M15/M16</f>
        <v>0.17846309403437816</v>
      </c>
      <c r="N17" s="89">
        <f t="shared" si="3"/>
        <v>0.17464358452138493</v>
      </c>
      <c r="O17" s="89">
        <f>O15/O16</f>
        <v>0.17262464722483536</v>
      </c>
      <c r="P17" s="89">
        <f>P15/P16</f>
        <v>0.17672209026128266</v>
      </c>
      <c r="Q17" s="89">
        <f>Q15/Q16</f>
        <v>0.18210862619808307</v>
      </c>
      <c r="R17" s="89">
        <f>R15/R16</f>
        <v>0.18425925925925926</v>
      </c>
      <c r="S17" s="89">
        <f t="shared" si="3"/>
        <v>0.18653079308817014</v>
      </c>
      <c r="T17" s="89">
        <f t="shared" si="3"/>
        <v>0.18451845184518451</v>
      </c>
      <c r="U17" s="89">
        <f t="shared" si="3"/>
        <v>0.18666943521594684</v>
      </c>
      <c r="V17" s="89">
        <f t="shared" si="3"/>
        <v>0.17990752416981926</v>
      </c>
      <c r="W17" s="89">
        <f t="shared" si="3"/>
        <v>0.18393574297188756</v>
      </c>
      <c r="X17" s="89">
        <f t="shared" si="3"/>
        <v>0.19264521521103217</v>
      </c>
      <c r="Y17" s="89">
        <f t="shared" si="3"/>
        <v>0.1944552909019914</v>
      </c>
      <c r="Z17" s="89">
        <f t="shared" si="3"/>
        <v>0.19414360208584036</v>
      </c>
      <c r="AA17" s="89">
        <f t="shared" si="3"/>
        <v>0.1968833143291524</v>
      </c>
      <c r="AB17" s="89">
        <f t="shared" ref="AB17:AE17" si="4">AB15/AB16</f>
        <v>0.19726634650905062</v>
      </c>
      <c r="AC17" s="89">
        <f t="shared" si="4"/>
        <v>0.18864027538726333</v>
      </c>
      <c r="AD17" s="89">
        <f t="shared" si="4"/>
        <v>0.19386551317341721</v>
      </c>
      <c r="AE17" s="89">
        <f t="shared" si="4"/>
        <v>0.17573639540688968</v>
      </c>
      <c r="AF17" s="89">
        <f>AF15/AF16</f>
        <v>0.1959383226776984</v>
      </c>
      <c r="AG17" s="89">
        <f>AG15/AG16</f>
        <v>0.20420974889217133</v>
      </c>
      <c r="AH17" s="89">
        <f>AH15/AH16</f>
        <v>0.19513081395348839</v>
      </c>
      <c r="AI17" s="89">
        <f>AI15/AI16</f>
        <v>0.19532011699707508</v>
      </c>
      <c r="AJ17" s="90">
        <f>AJ14/AJ16</f>
        <v>0.19987207110153515</v>
      </c>
      <c r="AK17" s="91"/>
    </row>
    <row r="18" spans="1:38" x14ac:dyDescent="0.2">
      <c r="A18" s="88" t="s">
        <v>24</v>
      </c>
      <c r="B18" s="89">
        <f>B15/SUM(B15:E15)</f>
        <v>0.23862487360970677</v>
      </c>
      <c r="C18" s="89">
        <f>C15/SUM(B15:E15)</f>
        <v>0.24873609706774519</v>
      </c>
      <c r="D18" s="89">
        <f>D15/SUM(B15:E15)</f>
        <v>0.25379170879676438</v>
      </c>
      <c r="E18" s="92">
        <f>E15/SUM(B15:E15)</f>
        <v>0.25884732052578363</v>
      </c>
      <c r="F18" s="89">
        <f>F15/SUM(F15:I15)</f>
        <v>0.23251231527093597</v>
      </c>
      <c r="G18" s="89">
        <f>G15/SUM(F15:I15)</f>
        <v>0.24926108374384237</v>
      </c>
      <c r="H18" s="89">
        <f>H15/SUM(F15:I15)</f>
        <v>0.25714285714285712</v>
      </c>
      <c r="I18" s="92">
        <f>I15/SUM(F15:I15)</f>
        <v>0.26108374384236455</v>
      </c>
      <c r="J18" s="89">
        <f>J15/SUM(J15:M15)</f>
        <v>0.20689655172413793</v>
      </c>
      <c r="K18" s="89">
        <f>K15/SUM(J15:M15)</f>
        <v>0.2253994953742641</v>
      </c>
      <c r="L18" s="89">
        <f>L15/SUM(J15:M15)</f>
        <v>0.2708158116063919</v>
      </c>
      <c r="M18" s="92">
        <f>M15/SUM(J15:M15)</f>
        <v>0.29688814129520608</v>
      </c>
      <c r="N18" s="89">
        <f>N15/SUM(N15:Q15)</f>
        <v>0.23160027008777853</v>
      </c>
      <c r="O18" s="89">
        <f>O15/SUM(N15:Q15)</f>
        <v>0.24780553679945982</v>
      </c>
      <c r="P18" s="89">
        <f>P15/SUM(N15:Q15)</f>
        <v>0.25118163403106009</v>
      </c>
      <c r="Q18" s="92">
        <f>Q15/SUM(N15:Q15)</f>
        <v>0.26941255908170153</v>
      </c>
      <c r="R18" s="89">
        <f>R15/SUM(R15:U15)</f>
        <v>0.23711647304140601</v>
      </c>
      <c r="S18" s="89">
        <f>S15/SUM(R15:U15)</f>
        <v>0.25081918379505513</v>
      </c>
      <c r="T18" s="89">
        <f>T15/SUM(R15:U15)</f>
        <v>0.24426571343461423</v>
      </c>
      <c r="U18" s="92">
        <f>U15/SUM(R15:U15)</f>
        <v>0.26779862972892465</v>
      </c>
      <c r="V18" s="89">
        <f>V15/SUM(V15:Y15)</f>
        <v>0.23197831978319783</v>
      </c>
      <c r="W18" s="89">
        <f>W15/SUM(V15:Y15)</f>
        <v>0.24823848238482385</v>
      </c>
      <c r="X18" s="89">
        <f>X15/SUM(V15:Y15)</f>
        <v>0.24986449864498644</v>
      </c>
      <c r="Y18" s="92">
        <f>Y15/SUM(V15:Y15)</f>
        <v>0.26991869918699185</v>
      </c>
      <c r="Z18" s="89">
        <f>Z15/SUM(Z15:AC15)</f>
        <v>0.23224568138195778</v>
      </c>
      <c r="AA18" s="89">
        <f>AA15/SUM(Z15:AC15)</f>
        <v>0.24856046065259116</v>
      </c>
      <c r="AB18" s="89">
        <f>AB15/SUM(Z15:AC15)</f>
        <v>0.2562380038387716</v>
      </c>
      <c r="AC18" s="92">
        <f>AC15/SUM(Z15:AC15)</f>
        <v>0.26295585412667949</v>
      </c>
      <c r="AD18" s="89"/>
      <c r="AE18" s="89"/>
      <c r="AF18" s="89"/>
      <c r="AG18" s="92"/>
      <c r="AH18" s="89">
        <f>AH15/SUM(AH15:AI15,AJ14:AK14)</f>
        <v>0.22717658008291733</v>
      </c>
      <c r="AI18" s="89">
        <f>AI15/SUM(AH15:AI15,AJ14:AK14)</f>
        <v>0.25425162873339535</v>
      </c>
      <c r="AJ18" s="89">
        <f>AJ14/SUM(AH15:AI15,AJ14:AK14)</f>
        <v>0.25116338099670021</v>
      </c>
      <c r="AK18" s="92">
        <f>AK14/SUM(AH15:AI15,AJ14:AK14)</f>
        <v>0.26740841018698702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>
        <v>252.6</v>
      </c>
      <c r="L19" s="12">
        <v>275.10000000000002</v>
      </c>
      <c r="M19" s="6">
        <v>347.6</v>
      </c>
      <c r="N19" s="9">
        <v>321.60000000000002</v>
      </c>
      <c r="O19" s="12">
        <v>351.3</v>
      </c>
      <c r="P19" s="12">
        <v>368</v>
      </c>
      <c r="Q19" s="6">
        <v>419.5</v>
      </c>
      <c r="R19" s="84">
        <v>406.2</v>
      </c>
      <c r="S19" s="84">
        <v>426.1</v>
      </c>
      <c r="T19" s="84">
        <v>448.7</v>
      </c>
      <c r="U19" s="84">
        <v>474.8</v>
      </c>
      <c r="V19" s="84">
        <v>461.1</v>
      </c>
      <c r="W19" s="64">
        <v>438.7</v>
      </c>
      <c r="X19" s="64">
        <v>449.2</v>
      </c>
      <c r="Y19" s="64">
        <v>494.8</v>
      </c>
      <c r="Z19" s="84">
        <v>479.2</v>
      </c>
      <c r="AA19" s="64">
        <v>509.1</v>
      </c>
      <c r="AB19" s="64">
        <v>518.70000000000005</v>
      </c>
      <c r="AC19" s="64">
        <v>561</v>
      </c>
      <c r="AD19" s="84">
        <v>495.2</v>
      </c>
      <c r="AE19" s="64">
        <v>280.5</v>
      </c>
      <c r="AF19" s="64">
        <v>473.3</v>
      </c>
      <c r="AG19" s="64">
        <v>561.9</v>
      </c>
      <c r="AH19" s="84">
        <v>517.70000000000005</v>
      </c>
      <c r="AI19" s="64">
        <v>577</v>
      </c>
      <c r="AJ19" s="85"/>
      <c r="AK19" s="13"/>
    </row>
    <row r="20" spans="1:38" x14ac:dyDescent="0.2">
      <c r="I20" s="129" t="s">
        <v>7</v>
      </c>
      <c r="J20" s="147"/>
      <c r="K20" s="7">
        <f t="shared" ref="K20:P20" si="5">IF(K15&gt;K19,1,0)</f>
        <v>1</v>
      </c>
      <c r="L20" s="7">
        <f t="shared" si="5"/>
        <v>1</v>
      </c>
      <c r="M20" s="7">
        <f t="shared" si="5"/>
        <v>1</v>
      </c>
      <c r="N20" s="7">
        <f t="shared" si="5"/>
        <v>1</v>
      </c>
      <c r="O20" s="7">
        <f t="shared" si="5"/>
        <v>1</v>
      </c>
      <c r="P20" s="7">
        <f t="shared" si="5"/>
        <v>1</v>
      </c>
      <c r="Q20" s="7">
        <f t="shared" ref="Q20:AI20" si="6">IF(Q15&gt;Q19,1,0)</f>
        <v>0</v>
      </c>
      <c r="R20" s="7">
        <f t="shared" si="6"/>
        <v>0</v>
      </c>
      <c r="S20" s="7">
        <f t="shared" si="6"/>
        <v>0</v>
      </c>
      <c r="T20" s="7">
        <f t="shared" si="6"/>
        <v>0</v>
      </c>
      <c r="U20" s="7">
        <f t="shared" si="6"/>
        <v>0</v>
      </c>
      <c r="V20" s="7">
        <f t="shared" si="6"/>
        <v>0</v>
      </c>
      <c r="W20" s="7">
        <f t="shared" si="6"/>
        <v>1</v>
      </c>
      <c r="X20" s="7">
        <f t="shared" si="6"/>
        <v>1</v>
      </c>
      <c r="Y20" s="7">
        <f t="shared" si="6"/>
        <v>1</v>
      </c>
      <c r="Z20" s="7">
        <f t="shared" si="6"/>
        <v>1</v>
      </c>
      <c r="AA20" s="7">
        <f t="shared" si="6"/>
        <v>1</v>
      </c>
      <c r="AB20" s="7">
        <f t="shared" si="6"/>
        <v>1</v>
      </c>
      <c r="AC20" s="7">
        <f t="shared" si="6"/>
        <v>0</v>
      </c>
      <c r="AD20" s="7">
        <f t="shared" si="6"/>
        <v>0</v>
      </c>
      <c r="AE20" s="7">
        <f t="shared" si="6"/>
        <v>1</v>
      </c>
      <c r="AF20" s="7">
        <f t="shared" si="6"/>
        <v>1</v>
      </c>
      <c r="AG20" s="7">
        <f t="shared" si="6"/>
        <v>0</v>
      </c>
      <c r="AH20" s="7">
        <f t="shared" si="6"/>
        <v>1</v>
      </c>
      <c r="AI20" s="8">
        <f t="shared" si="6"/>
        <v>1</v>
      </c>
      <c r="AJ20" s="46" t="s">
        <v>8</v>
      </c>
      <c r="AK20" s="43">
        <f>AVERAGE(K20:AI20)</f>
        <v>0.64</v>
      </c>
    </row>
    <row r="21" spans="1:38" x14ac:dyDescent="0.2">
      <c r="I21" s="120" t="s">
        <v>9</v>
      </c>
      <c r="J21" s="121"/>
      <c r="M21" s="6"/>
      <c r="N21" s="6">
        <f t="shared" ref="N21:O21" si="7">AVERAGE(K20:N20)</f>
        <v>1</v>
      </c>
      <c r="O21" s="6">
        <f t="shared" si="7"/>
        <v>1</v>
      </c>
      <c r="P21" s="6">
        <f t="shared" ref="P21" si="8">AVERAGE(M20:P20)</f>
        <v>1</v>
      </c>
      <c r="Q21" s="6">
        <f t="shared" ref="Q21" si="9">AVERAGE(N20:Q20)</f>
        <v>0.75</v>
      </c>
      <c r="R21" s="6">
        <f t="shared" ref="R21" si="10">AVERAGE(O20:R20)</f>
        <v>0.5</v>
      </c>
      <c r="S21" s="6">
        <f t="shared" ref="S21" si="11">AVERAGE(P20:S20)</f>
        <v>0.25</v>
      </c>
      <c r="T21" s="6">
        <f t="shared" ref="T21" si="12">AVERAGE(Q20:T20)</f>
        <v>0</v>
      </c>
      <c r="U21" s="6">
        <f t="shared" ref="U21" si="13">AVERAGE(R20:U20)</f>
        <v>0</v>
      </c>
      <c r="V21" s="6">
        <f t="shared" ref="V21:AI21" si="14">AVERAGE(S20:V20)</f>
        <v>0</v>
      </c>
      <c r="W21" s="6">
        <f t="shared" si="14"/>
        <v>0.25</v>
      </c>
      <c r="X21" s="6">
        <f t="shared" si="14"/>
        <v>0.5</v>
      </c>
      <c r="Y21" s="6">
        <f t="shared" si="14"/>
        <v>0.75</v>
      </c>
      <c r="Z21" s="6">
        <f t="shared" si="14"/>
        <v>1</v>
      </c>
      <c r="AA21" s="6">
        <f t="shared" si="14"/>
        <v>1</v>
      </c>
      <c r="AB21" s="6">
        <f t="shared" si="14"/>
        <v>1</v>
      </c>
      <c r="AC21" s="6">
        <f t="shared" si="14"/>
        <v>0.75</v>
      </c>
      <c r="AD21" s="6">
        <f t="shared" si="14"/>
        <v>0.5</v>
      </c>
      <c r="AE21" s="6">
        <f t="shared" si="14"/>
        <v>0.5</v>
      </c>
      <c r="AF21" s="6">
        <f t="shared" si="14"/>
        <v>0.5</v>
      </c>
      <c r="AG21" s="6">
        <f t="shared" si="14"/>
        <v>0.5</v>
      </c>
      <c r="AH21" s="6">
        <f>AVERAGE(AE20:AH20)</f>
        <v>0.75</v>
      </c>
      <c r="AI21" s="10">
        <f t="shared" si="14"/>
        <v>0.75</v>
      </c>
      <c r="AJ21" s="42" t="s">
        <v>10</v>
      </c>
      <c r="AK21" s="43">
        <f>AVERAGE(N21:AI21)</f>
        <v>0.60227272727272729</v>
      </c>
    </row>
    <row r="22" spans="1:38" x14ac:dyDescent="0.2">
      <c r="I22" s="133" t="s">
        <v>11</v>
      </c>
      <c r="J22" s="134"/>
      <c r="K22" s="18">
        <f t="shared" ref="K22:P22" si="15">K15/K19-1</f>
        <v>6.0965954077593087E-2</v>
      </c>
      <c r="L22" s="18">
        <f t="shared" si="15"/>
        <v>0.17048346055979624</v>
      </c>
      <c r="M22" s="18">
        <f t="shared" si="15"/>
        <v>1.5535097813578869E-2</v>
      </c>
      <c r="N22" s="18">
        <f t="shared" si="15"/>
        <v>6.654228855721378E-2</v>
      </c>
      <c r="O22" s="18">
        <f t="shared" si="15"/>
        <v>4.4691147167662981E-2</v>
      </c>
      <c r="P22" s="18">
        <f t="shared" si="15"/>
        <v>1.0869565217391353E-2</v>
      </c>
      <c r="Q22" s="18">
        <f t="shared" ref="Q22:AI22" si="16">Q15/Q19-1</f>
        <v>-4.8867699642431428E-2</v>
      </c>
      <c r="R22" s="18">
        <f t="shared" si="16"/>
        <v>-2.0187099950763177E-2</v>
      </c>
      <c r="S22" s="18">
        <f t="shared" si="16"/>
        <v>-1.196902135648914E-2</v>
      </c>
      <c r="T22" s="18">
        <f t="shared" si="16"/>
        <v>-8.6249164252284349E-2</v>
      </c>
      <c r="U22" s="18">
        <f t="shared" si="16"/>
        <v>-5.3285593934288111E-2</v>
      </c>
      <c r="V22" s="18">
        <f t="shared" si="16"/>
        <v>-7.1784862285838247E-2</v>
      </c>
      <c r="W22" s="18">
        <f t="shared" si="16"/>
        <v>4.3993617506268512E-2</v>
      </c>
      <c r="X22" s="18">
        <f t="shared" si="16"/>
        <v>2.6268922528940308E-2</v>
      </c>
      <c r="Y22" s="18">
        <f t="shared" si="16"/>
        <v>6.4672594987873477E-3</v>
      </c>
      <c r="Z22" s="18">
        <f t="shared" si="16"/>
        <v>1.001669449081799E-2</v>
      </c>
      <c r="AA22" s="18">
        <f t="shared" si="16"/>
        <v>1.7481830681594923E-2</v>
      </c>
      <c r="AB22" s="18">
        <f t="shared" si="16"/>
        <v>2.9496818970503158E-2</v>
      </c>
      <c r="AC22" s="18">
        <f t="shared" si="16"/>
        <v>-2.3172905525846721E-2</v>
      </c>
      <c r="AD22" s="18">
        <f t="shared" si="16"/>
        <v>-4.4426494345718437E-3</v>
      </c>
      <c r="AE22" s="18">
        <f t="shared" si="16"/>
        <v>0.25490196078431371</v>
      </c>
      <c r="AF22" s="18">
        <f t="shared" si="16"/>
        <v>0.1007817451933235</v>
      </c>
      <c r="AG22" s="18">
        <f t="shared" si="16"/>
        <v>-1.5839117280654902E-2</v>
      </c>
      <c r="AH22" s="18">
        <f t="shared" si="16"/>
        <v>3.7280278153370539E-2</v>
      </c>
      <c r="AI22" s="41">
        <f t="shared" si="16"/>
        <v>4.1594454072790388E-2</v>
      </c>
      <c r="AJ22" s="42" t="s">
        <v>13</v>
      </c>
      <c r="AK22" s="44">
        <f>MEDIAN(K22:AI22)</f>
        <v>1.5535097813578869E-2</v>
      </c>
    </row>
    <row r="23" spans="1:38" x14ac:dyDescent="0.2">
      <c r="I23" s="120" t="s">
        <v>12</v>
      </c>
      <c r="J23" s="121"/>
      <c r="M23" s="6"/>
      <c r="N23" s="33">
        <f t="shared" ref="N23:O23" si="17">AVERAGE(K22:N22)</f>
        <v>7.8381700252045494E-2</v>
      </c>
      <c r="O23" s="33">
        <f t="shared" si="17"/>
        <v>7.4312998524562968E-2</v>
      </c>
      <c r="P23" s="33">
        <f t="shared" ref="P23" si="18">AVERAGE(M22:P22)</f>
        <v>3.4409524688961746E-2</v>
      </c>
      <c r="Q23" s="33">
        <f t="shared" ref="Q23" si="19">AVERAGE(N22:Q22)</f>
        <v>1.8308825324959171E-2</v>
      </c>
      <c r="R23" s="33">
        <f t="shared" ref="R23" si="20">AVERAGE(O22:R22)</f>
        <v>-3.3735218020350677E-3</v>
      </c>
      <c r="S23" s="33">
        <f t="shared" ref="S23" si="21">AVERAGE(P22:S22)</f>
        <v>-1.7538563933073098E-2</v>
      </c>
      <c r="T23" s="33">
        <f t="shared" ref="T23" si="22">AVERAGE(Q22:T22)</f>
        <v>-4.1818246300492024E-2</v>
      </c>
      <c r="U23" s="33">
        <f t="shared" ref="U23" si="23">AVERAGE(R22:U22)</f>
        <v>-4.2922719873456194E-2</v>
      </c>
      <c r="V23" s="33">
        <f t="shared" ref="V23:AI23" si="24">AVERAGE(S22:V22)</f>
        <v>-5.5822160457224962E-2</v>
      </c>
      <c r="W23" s="33">
        <f t="shared" si="24"/>
        <v>-4.1831500741535549E-2</v>
      </c>
      <c r="X23" s="33">
        <f t="shared" si="24"/>
        <v>-1.3701979046229384E-2</v>
      </c>
      <c r="Y23" s="33">
        <f t="shared" si="24"/>
        <v>1.2362343120394803E-3</v>
      </c>
      <c r="Z23" s="33">
        <f t="shared" si="24"/>
        <v>2.168662350620354E-2</v>
      </c>
      <c r="AA23" s="33">
        <f t="shared" si="24"/>
        <v>1.5058676800035142E-2</v>
      </c>
      <c r="AB23" s="33">
        <f t="shared" si="24"/>
        <v>1.5865650910425855E-2</v>
      </c>
      <c r="AC23" s="33">
        <f t="shared" si="24"/>
        <v>8.4556096542673376E-3</v>
      </c>
      <c r="AD23" s="33">
        <f t="shared" si="24"/>
        <v>4.8407736729198791E-3</v>
      </c>
      <c r="AE23" s="33">
        <f t="shared" si="24"/>
        <v>6.4195806198599575E-2</v>
      </c>
      <c r="AF23" s="33">
        <f t="shared" si="24"/>
        <v>8.2017037754304661E-2</v>
      </c>
      <c r="AG23" s="33">
        <f t="shared" si="24"/>
        <v>8.3850484815602616E-2</v>
      </c>
      <c r="AH23" s="33">
        <f t="shared" si="24"/>
        <v>9.4281216712588212E-2</v>
      </c>
      <c r="AI23" s="34">
        <f t="shared" si="24"/>
        <v>4.0954340034707382E-2</v>
      </c>
      <c r="AJ23" s="19" t="s">
        <v>14</v>
      </c>
      <c r="AK23" s="34">
        <f>MEDIAN(K23:AI23)</f>
        <v>1.5462163855230499E-2</v>
      </c>
    </row>
    <row r="24" spans="1:38" x14ac:dyDescent="0.2">
      <c r="I24" s="129" t="s">
        <v>25</v>
      </c>
      <c r="J24" s="147"/>
      <c r="K24" s="103">
        <f>AVERAGE(K22:P22,W22:AB22,AE22:AF22,AH22:AI22)</f>
        <v>5.8585693454621668E-2</v>
      </c>
      <c r="L24" s="129" t="s">
        <v>29</v>
      </c>
      <c r="M24" s="130"/>
      <c r="N24" s="47">
        <f>MEDIAN(K22:P22,W22:AB22,AE22:AF22,AH22:AI22)</f>
        <v>3.9437366113080463E-2</v>
      </c>
      <c r="AF24" s="3"/>
      <c r="AG24" s="122" t="s">
        <v>23</v>
      </c>
      <c r="AH24" s="123"/>
      <c r="AI24" s="123"/>
      <c r="AJ24" s="124"/>
      <c r="AK24" s="45">
        <f>AVERAGE(AG17:AJ17)</f>
        <v>0.19863318773606747</v>
      </c>
    </row>
    <row r="25" spans="1:38" x14ac:dyDescent="0.2">
      <c r="I25" s="131" t="s">
        <v>26</v>
      </c>
      <c r="J25" s="169"/>
      <c r="K25" s="102">
        <f>AVERAGE(Q22:V22,AC22:AD22,AG22)</f>
        <v>-3.7310901518129769E-2</v>
      </c>
      <c r="L25" s="131" t="s">
        <v>30</v>
      </c>
      <c r="M25" s="132"/>
      <c r="N25" s="34">
        <f>MEDIAN(Q22:V22,AC22:AD22,AG22)</f>
        <v>-2.3172905525846721E-2</v>
      </c>
      <c r="AG25" s="125" t="s">
        <v>27</v>
      </c>
      <c r="AH25" s="126"/>
      <c r="AI25" s="126"/>
      <c r="AJ25" s="126"/>
      <c r="AK25" s="47">
        <f>AVERAGE(AJ18,AB18,X18,T18,P18,H18,D18)</f>
        <v>0.25194968526939343</v>
      </c>
    </row>
    <row r="26" spans="1:38" x14ac:dyDescent="0.2">
      <c r="AG26" s="127" t="s">
        <v>28</v>
      </c>
      <c r="AH26" s="128"/>
      <c r="AI26" s="128"/>
      <c r="AJ26" s="128"/>
      <c r="AK26" s="48">
        <f>_xlfn.STDEV.S(AJ18,AB18,T18,H18,L18,D18)</f>
        <v>8.7831928658345659E-3</v>
      </c>
    </row>
    <row r="29" spans="1:38" ht="18" customHeight="1" x14ac:dyDescent="0.2"/>
  </sheetData>
  <mergeCells count="28">
    <mergeCell ref="I21:J21"/>
    <mergeCell ref="V11:Y11"/>
    <mergeCell ref="I24:J24"/>
    <mergeCell ref="I25:J25"/>
    <mergeCell ref="H10:I10"/>
    <mergeCell ref="AG10:AI10"/>
    <mergeCell ref="A1:C3"/>
    <mergeCell ref="K1:L1"/>
    <mergeCell ref="P1:Q1"/>
    <mergeCell ref="P2:Q2"/>
    <mergeCell ref="P3:Q3"/>
    <mergeCell ref="P4:Q4"/>
    <mergeCell ref="B11:E11"/>
    <mergeCell ref="I23:J23"/>
    <mergeCell ref="AG24:AJ24"/>
    <mergeCell ref="AG25:AJ25"/>
    <mergeCell ref="AG26:AJ26"/>
    <mergeCell ref="L24:M24"/>
    <mergeCell ref="L25:M25"/>
    <mergeCell ref="I22:J22"/>
    <mergeCell ref="F11:I11"/>
    <mergeCell ref="J11:M11"/>
    <mergeCell ref="N11:Q11"/>
    <mergeCell ref="R11:U11"/>
    <mergeCell ref="Z11:AC11"/>
    <mergeCell ref="AD11:AG11"/>
    <mergeCell ref="AH11:AK11"/>
    <mergeCell ref="I20:J20"/>
  </mergeCells>
  <conditionalFormatting sqref="K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J23" sqref="J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2" t="s">
        <v>76</v>
      </c>
      <c r="B4" s="172"/>
      <c r="T4" s="71" t="s">
        <v>166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173</v>
      </c>
      <c r="B6" t="s">
        <v>174</v>
      </c>
      <c r="C6" t="s">
        <v>170</v>
      </c>
      <c r="D6">
        <v>20170720</v>
      </c>
      <c r="E6">
        <v>445.33651700000001</v>
      </c>
      <c r="F6">
        <v>450.53796599999998</v>
      </c>
      <c r="G6">
        <v>413.27253300000001</v>
      </c>
      <c r="H6">
        <v>452.45110599999998</v>
      </c>
      <c r="I6">
        <v>416.10743000000002</v>
      </c>
      <c r="J6">
        <v>435.54111040000009</v>
      </c>
      <c r="R6">
        <v>426.1</v>
      </c>
      <c r="S6">
        <v>421</v>
      </c>
      <c r="T6" s="94"/>
      <c r="U6" s="93"/>
    </row>
    <row r="7" spans="1:21" x14ac:dyDescent="0.2">
      <c r="A7" t="s">
        <v>173</v>
      </c>
      <c r="B7" t="s">
        <v>174</v>
      </c>
      <c r="C7" t="s">
        <v>171</v>
      </c>
      <c r="D7">
        <v>20171019</v>
      </c>
      <c r="E7">
        <v>442.82460600000002</v>
      </c>
      <c r="F7">
        <v>437.72136999999998</v>
      </c>
      <c r="G7">
        <v>400.90399500000001</v>
      </c>
      <c r="H7">
        <v>400.89096999999998</v>
      </c>
      <c r="I7">
        <v>353.23899599999999</v>
      </c>
      <c r="J7">
        <v>407.11598739999999</v>
      </c>
      <c r="K7">
        <v>418.6253585982036</v>
      </c>
      <c r="L7">
        <v>409.02367986008971</v>
      </c>
      <c r="M7">
        <v>408.40019216810617</v>
      </c>
      <c r="N7">
        <v>373.02394917783664</v>
      </c>
      <c r="O7">
        <v>357.39236215032253</v>
      </c>
      <c r="P7">
        <v>393.52388695981051</v>
      </c>
      <c r="Q7">
        <v>393.33157148572815</v>
      </c>
      <c r="R7">
        <v>448.7</v>
      </c>
      <c r="S7">
        <v>410</v>
      </c>
      <c r="T7" s="94"/>
      <c r="U7" s="93"/>
    </row>
    <row r="8" spans="1:21" x14ac:dyDescent="0.2">
      <c r="A8" t="s">
        <v>173</v>
      </c>
      <c r="B8" t="s">
        <v>174</v>
      </c>
      <c r="C8" t="s">
        <v>168</v>
      </c>
      <c r="D8">
        <v>20180125</v>
      </c>
      <c r="E8">
        <v>473.03390400000001</v>
      </c>
      <c r="F8">
        <v>474.67082399999998</v>
      </c>
      <c r="G8">
        <v>441.68927600000001</v>
      </c>
      <c r="H8">
        <v>450.35661399999998</v>
      </c>
      <c r="I8">
        <v>387.22726299999999</v>
      </c>
      <c r="J8">
        <v>445.39557619999994</v>
      </c>
      <c r="K8">
        <v>437.97001795333841</v>
      </c>
      <c r="L8">
        <v>444.60940492807106</v>
      </c>
      <c r="M8">
        <v>451.7106474830714</v>
      </c>
      <c r="N8">
        <v>460.58960055897489</v>
      </c>
      <c r="O8">
        <v>449.44974826618522</v>
      </c>
      <c r="P8">
        <v>448.55076168399074</v>
      </c>
      <c r="Q8">
        <v>448.8133634789387</v>
      </c>
      <c r="R8">
        <v>474.8</v>
      </c>
      <c r="S8">
        <v>450</v>
      </c>
      <c r="T8" s="94"/>
      <c r="U8" s="93"/>
    </row>
    <row r="9" spans="1:21" x14ac:dyDescent="0.2">
      <c r="A9" t="s">
        <v>173</v>
      </c>
      <c r="B9" t="s">
        <v>174</v>
      </c>
      <c r="C9" t="s">
        <v>42</v>
      </c>
      <c r="D9">
        <v>20180419</v>
      </c>
      <c r="E9">
        <v>445.44946499999998</v>
      </c>
      <c r="F9">
        <v>441.40799700000002</v>
      </c>
      <c r="G9">
        <v>400.00529799999998</v>
      </c>
      <c r="H9">
        <v>412.160145</v>
      </c>
      <c r="I9">
        <v>355.43686000000002</v>
      </c>
      <c r="J9">
        <v>410.891953</v>
      </c>
      <c r="K9">
        <v>423.75875715242603</v>
      </c>
      <c r="L9">
        <v>418.46599497339236</v>
      </c>
      <c r="M9">
        <v>407.53170584109904</v>
      </c>
      <c r="N9">
        <v>411.83377679893476</v>
      </c>
      <c r="O9">
        <v>413.05611015307056</v>
      </c>
      <c r="P9">
        <v>415.13968420506291</v>
      </c>
      <c r="Q9">
        <v>414.96433818733095</v>
      </c>
      <c r="R9">
        <v>461.1</v>
      </c>
      <c r="S9">
        <v>428</v>
      </c>
      <c r="T9" s="9"/>
      <c r="U9" s="63"/>
    </row>
    <row r="10" spans="1:21" x14ac:dyDescent="0.2">
      <c r="A10" t="s">
        <v>173</v>
      </c>
      <c r="B10" t="s">
        <v>174</v>
      </c>
      <c r="C10" t="s">
        <v>43</v>
      </c>
      <c r="D10">
        <v>20180719</v>
      </c>
      <c r="E10">
        <v>486.59120999999999</v>
      </c>
      <c r="F10">
        <v>486.547843</v>
      </c>
      <c r="G10">
        <v>442.90855499999998</v>
      </c>
      <c r="H10">
        <v>464.54681799999997</v>
      </c>
      <c r="I10">
        <v>400.03952900000002</v>
      </c>
      <c r="J10">
        <v>456.12679099999997</v>
      </c>
      <c r="K10">
        <v>467.53011114291041</v>
      </c>
      <c r="L10">
        <v>471.76869975013159</v>
      </c>
      <c r="M10">
        <v>473.9058769666596</v>
      </c>
      <c r="N10">
        <v>482.3999615586315</v>
      </c>
      <c r="O10">
        <v>481.7083923485032</v>
      </c>
      <c r="P10">
        <v>475.1182521892805</v>
      </c>
      <c r="Q10">
        <v>475.40521565935279</v>
      </c>
      <c r="R10">
        <v>438.7</v>
      </c>
      <c r="S10">
        <v>458</v>
      </c>
      <c r="T10" s="9"/>
      <c r="U10" s="63"/>
    </row>
    <row r="11" spans="1:21" x14ac:dyDescent="0.2">
      <c r="A11" t="s">
        <v>173</v>
      </c>
      <c r="B11" t="s">
        <v>174</v>
      </c>
      <c r="C11" t="s">
        <v>44</v>
      </c>
      <c r="D11">
        <v>20181018</v>
      </c>
      <c r="E11">
        <v>488.14139</v>
      </c>
      <c r="F11">
        <v>489.60812299999998</v>
      </c>
      <c r="G11">
        <v>435.72594700000002</v>
      </c>
      <c r="H11">
        <v>477.97884800000003</v>
      </c>
      <c r="I11">
        <v>427.13814200000002</v>
      </c>
      <c r="J11">
        <v>463.71849000000003</v>
      </c>
      <c r="K11">
        <v>459.45909425696368</v>
      </c>
      <c r="L11">
        <v>460.88072028304106</v>
      </c>
      <c r="M11">
        <v>450.57265540061655</v>
      </c>
      <c r="N11">
        <v>471.24273356663059</v>
      </c>
      <c r="O11">
        <v>489.02484593216286</v>
      </c>
      <c r="P11">
        <v>465.6228763813175</v>
      </c>
      <c r="Q11">
        <v>466.13382097012203</v>
      </c>
      <c r="R11">
        <v>449.2</v>
      </c>
      <c r="S11">
        <v>461</v>
      </c>
      <c r="T11" s="9"/>
      <c r="U11" s="63"/>
    </row>
    <row r="12" spans="1:21" x14ac:dyDescent="0.2">
      <c r="A12" t="s">
        <v>173</v>
      </c>
      <c r="B12" t="s">
        <v>174</v>
      </c>
      <c r="C12" t="s">
        <v>45</v>
      </c>
      <c r="D12">
        <v>20190131</v>
      </c>
      <c r="E12">
        <v>506.64264900000001</v>
      </c>
      <c r="F12">
        <v>510.773819</v>
      </c>
      <c r="G12">
        <v>475.96146399999998</v>
      </c>
      <c r="H12">
        <v>526.62276499999996</v>
      </c>
      <c r="I12">
        <v>514.53552400000001</v>
      </c>
      <c r="J12">
        <v>506.90724419999998</v>
      </c>
      <c r="K12">
        <v>478.47256138021817</v>
      </c>
      <c r="L12">
        <v>480.92897053303182</v>
      </c>
      <c r="M12">
        <v>503.56935687375983</v>
      </c>
      <c r="N12">
        <v>507.91597929664027</v>
      </c>
      <c r="O12">
        <v>555.32590803843493</v>
      </c>
      <c r="P12">
        <v>503.93556568382684</v>
      </c>
      <c r="Q12">
        <v>505.02472363431866</v>
      </c>
      <c r="R12">
        <v>494.8</v>
      </c>
      <c r="S12">
        <v>498</v>
      </c>
      <c r="T12" s="9"/>
      <c r="U12" s="63"/>
    </row>
    <row r="13" spans="1:21" x14ac:dyDescent="0.2">
      <c r="A13" t="s">
        <v>173</v>
      </c>
      <c r="B13" t="s">
        <v>174</v>
      </c>
      <c r="C13" t="s">
        <v>46</v>
      </c>
      <c r="D13">
        <v>20190418</v>
      </c>
      <c r="E13">
        <v>496.42158499999999</v>
      </c>
      <c r="F13">
        <v>496.18723399999999</v>
      </c>
      <c r="G13">
        <v>477.63500299999998</v>
      </c>
      <c r="H13">
        <v>491.74531500000001</v>
      </c>
      <c r="I13">
        <v>468.27570800000001</v>
      </c>
      <c r="J13">
        <v>486.05296900000002</v>
      </c>
      <c r="K13">
        <v>487.95329374254868</v>
      </c>
      <c r="L13">
        <v>483.77820737910611</v>
      </c>
      <c r="M13">
        <v>499.75102920096913</v>
      </c>
      <c r="N13">
        <v>465.01819356404013</v>
      </c>
      <c r="O13">
        <v>453.22682634445272</v>
      </c>
      <c r="P13">
        <v>477.51217077990225</v>
      </c>
      <c r="Q13">
        <v>477.87328683516984</v>
      </c>
      <c r="R13">
        <v>479.2</v>
      </c>
      <c r="S13">
        <v>484</v>
      </c>
      <c r="T13" s="9"/>
      <c r="U13" s="63"/>
    </row>
    <row r="14" spans="1:21" x14ac:dyDescent="0.2">
      <c r="A14" t="s">
        <v>173</v>
      </c>
      <c r="B14" t="s">
        <v>174</v>
      </c>
      <c r="C14" t="s">
        <v>47</v>
      </c>
      <c r="D14">
        <v>20190718</v>
      </c>
      <c r="E14">
        <v>550.33928500000002</v>
      </c>
      <c r="F14">
        <v>547.09433200000001</v>
      </c>
      <c r="G14">
        <v>522.075828</v>
      </c>
      <c r="H14">
        <v>504.94059399999998</v>
      </c>
      <c r="I14">
        <v>483.17213099999998</v>
      </c>
      <c r="J14">
        <v>521.52443400000004</v>
      </c>
      <c r="K14">
        <v>536.56855783174706</v>
      </c>
      <c r="L14">
        <v>533.65672984645948</v>
      </c>
      <c r="M14">
        <v>529.03304649973495</v>
      </c>
      <c r="N14">
        <v>496.98744460026018</v>
      </c>
      <c r="O14">
        <v>499.39663196024679</v>
      </c>
      <c r="P14">
        <v>519.32164219739605</v>
      </c>
      <c r="Q14">
        <v>519.16067548930744</v>
      </c>
      <c r="R14">
        <v>509.1</v>
      </c>
      <c r="S14">
        <v>518</v>
      </c>
      <c r="T14" s="9"/>
      <c r="U14" s="63"/>
    </row>
    <row r="15" spans="1:21" x14ac:dyDescent="0.2">
      <c r="A15" t="s">
        <v>173</v>
      </c>
      <c r="B15" t="s">
        <v>174</v>
      </c>
      <c r="C15" t="s">
        <v>48</v>
      </c>
      <c r="D15">
        <v>20191017</v>
      </c>
      <c r="E15">
        <v>516.10827300000005</v>
      </c>
      <c r="F15">
        <v>524.93226900000002</v>
      </c>
      <c r="G15">
        <v>505.09719799999999</v>
      </c>
      <c r="H15">
        <v>509.28277400000002</v>
      </c>
      <c r="I15">
        <v>469.40736700000002</v>
      </c>
      <c r="J15">
        <v>504.96557620000004</v>
      </c>
      <c r="K15">
        <v>485.78048614864923</v>
      </c>
      <c r="L15">
        <v>497.01650965376848</v>
      </c>
      <c r="M15">
        <v>501.1539215793764</v>
      </c>
      <c r="N15">
        <v>522.45448289705155</v>
      </c>
      <c r="O15">
        <v>503.24304839924645</v>
      </c>
      <c r="P15">
        <v>501.55304606801991</v>
      </c>
      <c r="Q15">
        <v>501.8669157910187</v>
      </c>
      <c r="R15">
        <v>518.70000000000005</v>
      </c>
      <c r="S15">
        <v>534</v>
      </c>
      <c r="T15" s="9"/>
      <c r="U15" s="63"/>
    </row>
    <row r="16" spans="1:21" x14ac:dyDescent="0.2">
      <c r="A16" t="s">
        <v>173</v>
      </c>
      <c r="B16" t="s">
        <v>174</v>
      </c>
      <c r="C16" t="s">
        <v>49</v>
      </c>
      <c r="D16">
        <v>20200130</v>
      </c>
      <c r="E16">
        <v>545.49210700000003</v>
      </c>
      <c r="F16">
        <v>540.61345900000003</v>
      </c>
      <c r="G16">
        <v>534.92126199999996</v>
      </c>
      <c r="H16">
        <v>558.76131199999998</v>
      </c>
      <c r="I16">
        <v>491.79601300000002</v>
      </c>
      <c r="J16">
        <v>534.3168306</v>
      </c>
      <c r="K16">
        <v>564.40247207197933</v>
      </c>
      <c r="L16">
        <v>549.95206839913283</v>
      </c>
      <c r="M16">
        <v>565.53066427424528</v>
      </c>
      <c r="N16">
        <v>585.87989981377223</v>
      </c>
      <c r="O16">
        <v>559.46942763256641</v>
      </c>
      <c r="P16">
        <v>565.03888777438601</v>
      </c>
      <c r="Q16">
        <v>565.04556999434692</v>
      </c>
      <c r="R16">
        <v>561</v>
      </c>
      <c r="S16">
        <v>548</v>
      </c>
      <c r="T16" s="9"/>
      <c r="U16" s="63"/>
    </row>
    <row r="17" spans="1:21" x14ac:dyDescent="0.2">
      <c r="A17" t="s">
        <v>173</v>
      </c>
      <c r="B17" t="s">
        <v>174</v>
      </c>
      <c r="C17" t="s">
        <v>50</v>
      </c>
      <c r="D17">
        <v>20200423</v>
      </c>
      <c r="E17">
        <v>512.23230100000001</v>
      </c>
      <c r="F17">
        <v>507.70020399999999</v>
      </c>
      <c r="G17">
        <v>500.85244</v>
      </c>
      <c r="H17">
        <v>504.81557600000002</v>
      </c>
      <c r="I17">
        <v>430.94907499999999</v>
      </c>
      <c r="J17">
        <v>491.30991919999997</v>
      </c>
      <c r="K17">
        <v>514.58728246639873</v>
      </c>
      <c r="L17">
        <v>514.63704271557913</v>
      </c>
      <c r="M17">
        <v>513.09820083390139</v>
      </c>
      <c r="N17">
        <v>495.09321727700438</v>
      </c>
      <c r="O17">
        <v>480.19928355946229</v>
      </c>
      <c r="P17">
        <v>503.89173670472803</v>
      </c>
      <c r="Q17">
        <v>503.58446059284569</v>
      </c>
      <c r="R17">
        <v>495.2</v>
      </c>
      <c r="S17">
        <v>493</v>
      </c>
      <c r="T17" s="9"/>
      <c r="U17" s="63"/>
    </row>
    <row r="18" spans="1:21" x14ac:dyDescent="0.2">
      <c r="A18" t="s">
        <v>173</v>
      </c>
      <c r="B18" t="s">
        <v>174</v>
      </c>
      <c r="C18" t="s">
        <v>51</v>
      </c>
      <c r="D18">
        <v>20200723</v>
      </c>
      <c r="E18">
        <v>405.87165800000002</v>
      </c>
      <c r="F18">
        <v>411.56849099999999</v>
      </c>
      <c r="G18">
        <v>374.053584</v>
      </c>
      <c r="H18">
        <v>421.35902900000002</v>
      </c>
      <c r="I18">
        <v>356.57765899999998</v>
      </c>
      <c r="J18">
        <v>393.88608420000003</v>
      </c>
      <c r="K18">
        <v>390.63277931393083</v>
      </c>
      <c r="L18">
        <v>399.65173238929805</v>
      </c>
      <c r="M18">
        <v>368.18911556465616</v>
      </c>
      <c r="N18">
        <v>411.49681422864813</v>
      </c>
      <c r="O18">
        <v>407.92009099218973</v>
      </c>
      <c r="P18">
        <v>395.24103202881156</v>
      </c>
      <c r="Q18">
        <v>395.52192741958908</v>
      </c>
      <c r="R18">
        <v>280.5</v>
      </c>
      <c r="S18">
        <v>352</v>
      </c>
      <c r="T18" s="9"/>
      <c r="U18" s="63"/>
    </row>
    <row r="19" spans="1:21" x14ac:dyDescent="0.2">
      <c r="A19" t="s">
        <v>173</v>
      </c>
      <c r="B19" t="s">
        <v>174</v>
      </c>
      <c r="C19" t="s">
        <v>52</v>
      </c>
      <c r="D19">
        <v>20201022</v>
      </c>
      <c r="E19">
        <v>533.51718900000003</v>
      </c>
      <c r="F19">
        <v>541.49618599999997</v>
      </c>
      <c r="G19">
        <v>530.71924999999999</v>
      </c>
      <c r="H19">
        <v>559.240227</v>
      </c>
      <c r="I19">
        <v>469.87548099999998</v>
      </c>
      <c r="J19">
        <v>526.96966659999998</v>
      </c>
      <c r="K19">
        <v>462.70304128503597</v>
      </c>
      <c r="L19">
        <v>463.12257045936008</v>
      </c>
      <c r="M19">
        <v>499.42891604535458</v>
      </c>
      <c r="N19">
        <v>467.18486220927758</v>
      </c>
      <c r="O19">
        <v>463.84333156441528</v>
      </c>
      <c r="P19">
        <v>470.9313938316584</v>
      </c>
      <c r="Q19">
        <v>471.20235256585028</v>
      </c>
      <c r="R19">
        <v>473.3</v>
      </c>
      <c r="S19">
        <v>521</v>
      </c>
      <c r="T19" s="9"/>
      <c r="U19" s="63"/>
    </row>
    <row r="20" spans="1:21" x14ac:dyDescent="0.2">
      <c r="A20" t="s">
        <v>173</v>
      </c>
      <c r="B20" t="s">
        <v>174</v>
      </c>
      <c r="C20" t="s">
        <v>53</v>
      </c>
      <c r="D20">
        <v>20210128</v>
      </c>
      <c r="E20">
        <v>559.23197700000003</v>
      </c>
      <c r="F20">
        <v>557.31523900000002</v>
      </c>
      <c r="G20">
        <v>547.94324900000004</v>
      </c>
      <c r="H20">
        <v>576.47530900000004</v>
      </c>
      <c r="I20">
        <v>490.14006799999999</v>
      </c>
      <c r="J20">
        <f>AVERAGE(E20:I20)</f>
        <v>546.22116840000001</v>
      </c>
      <c r="K20">
        <f>(E20/E19)*$S19</f>
        <v>546.11147686377547</v>
      </c>
      <c r="L20">
        <f t="shared" ref="L20:P20" si="0">(F20/F19)*$S19</f>
        <v>536.22028561988805</v>
      </c>
      <c r="M20">
        <f t="shared" si="0"/>
        <v>537.90856979278601</v>
      </c>
      <c r="N20">
        <f t="shared" si="0"/>
        <v>537.05656619190233</v>
      </c>
      <c r="O20">
        <f t="shared" si="0"/>
        <v>543.46946319593133</v>
      </c>
      <c r="P20">
        <f t="shared" si="0"/>
        <v>540.03341515369118</v>
      </c>
      <c r="Q20">
        <f>AVERAGE(K20:P20)</f>
        <v>540.13329613632914</v>
      </c>
      <c r="R20">
        <v>561.9</v>
      </c>
      <c r="S20">
        <v>553</v>
      </c>
    </row>
    <row r="21" spans="1:21" x14ac:dyDescent="0.2">
      <c r="A21" t="s">
        <v>173</v>
      </c>
      <c r="B21" t="s">
        <v>174</v>
      </c>
      <c r="C21" t="s">
        <v>54</v>
      </c>
      <c r="D21">
        <v>20210422</v>
      </c>
      <c r="E21">
        <v>542.66752099999997</v>
      </c>
      <c r="F21">
        <v>531.69829300000004</v>
      </c>
      <c r="G21">
        <v>512.45498799999996</v>
      </c>
      <c r="H21">
        <v>549.05709100000001</v>
      </c>
      <c r="I21">
        <v>515.3528</v>
      </c>
      <c r="J21">
        <v>530.24613859999999</v>
      </c>
      <c r="K21">
        <v>548.84885530715087</v>
      </c>
      <c r="L21">
        <v>539.83771617773709</v>
      </c>
      <c r="M21">
        <v>519.11857235373566</v>
      </c>
      <c r="N21">
        <v>546.90706876704724</v>
      </c>
      <c r="O21">
        <v>602.76626961813281</v>
      </c>
      <c r="P21">
        <v>550.07816270189562</v>
      </c>
      <c r="Q21">
        <v>551.25944082094986</v>
      </c>
      <c r="R21">
        <v>517.70000000000005</v>
      </c>
      <c r="S21">
        <v>537</v>
      </c>
    </row>
    <row r="22" spans="1:21" x14ac:dyDescent="0.2">
      <c r="A22" t="s">
        <v>173</v>
      </c>
      <c r="B22" t="s">
        <v>174</v>
      </c>
      <c r="C22" t="s">
        <v>55</v>
      </c>
      <c r="D22">
        <v>20210722</v>
      </c>
      <c r="E22">
        <v>600.47947099999999</v>
      </c>
      <c r="F22">
        <v>593.28137700000002</v>
      </c>
      <c r="G22">
        <v>576.19163700000001</v>
      </c>
      <c r="H22">
        <v>596.51519099999996</v>
      </c>
      <c r="I22">
        <v>541.90276700000004</v>
      </c>
      <c r="J22">
        <v>581.6740886</v>
      </c>
      <c r="K22">
        <v>594.20817249720756</v>
      </c>
      <c r="L22">
        <v>599.19714553042581</v>
      </c>
      <c r="M22">
        <v>603.78943773496849</v>
      </c>
      <c r="N22">
        <v>583.41593764609081</v>
      </c>
      <c r="O22">
        <v>564.66518835058241</v>
      </c>
      <c r="P22">
        <v>589.08299908211723</v>
      </c>
      <c r="Q22">
        <v>589.05981347356533</v>
      </c>
      <c r="R22">
        <v>577</v>
      </c>
      <c r="S22">
        <v>601</v>
      </c>
    </row>
    <row r="23" spans="1:21" x14ac:dyDescent="0.2">
      <c r="A23" t="s">
        <v>173</v>
      </c>
      <c r="B23" t="s">
        <v>174</v>
      </c>
      <c r="C23" t="s">
        <v>71</v>
      </c>
      <c r="D23" s="12">
        <v>20211021</v>
      </c>
      <c r="E23">
        <v>621.64624920899996</v>
      </c>
      <c r="F23">
        <v>611.05325777879352</v>
      </c>
      <c r="G23">
        <v>564.22110150025492</v>
      </c>
      <c r="H23">
        <v>603.11982515199998</v>
      </c>
      <c r="I23">
        <v>491.94501998278719</v>
      </c>
      <c r="J23">
        <f>AVERAGE(E23:I23)</f>
        <v>578.39709072456708</v>
      </c>
      <c r="K23" s="95">
        <f>(E23/E22)*$S21</f>
        <v>555.92913987434724</v>
      </c>
      <c r="L23" s="95">
        <f t="shared" ref="L23:Q23" si="1">(F23/F22)*$S21</f>
        <v>553.08595912190947</v>
      </c>
      <c r="M23" s="95">
        <f t="shared" si="1"/>
        <v>525.84368125016169</v>
      </c>
      <c r="N23" s="95">
        <f t="shared" si="1"/>
        <v>542.9456801656271</v>
      </c>
      <c r="O23" s="95">
        <f t="shared" si="1"/>
        <v>487.49423663813235</v>
      </c>
      <c r="P23" s="95">
        <f t="shared" si="1"/>
        <v>533.97468411676562</v>
      </c>
      <c r="Q23" s="95">
        <f t="shared" si="1"/>
        <v>502.4063315351446</v>
      </c>
      <c r="R23" s="6">
        <f>'1. Data &amp; Confidence Interval'!AJ14</f>
        <v>593.70000000000005</v>
      </c>
      <c r="S23" s="10"/>
    </row>
    <row r="24" spans="1:21" x14ac:dyDescent="0.2">
      <c r="A24" s="170" t="s">
        <v>75</v>
      </c>
      <c r="B24" s="171"/>
      <c r="C24" s="171"/>
      <c r="D24" s="171"/>
      <c r="E24" s="105">
        <f t="shared" ref="E24:Q24" si="2">CORREL(E$8:E$22,$S$8:$S$22)</f>
        <v>0.97611042598246189</v>
      </c>
      <c r="F24" s="105">
        <f t="shared" si="2"/>
        <v>0.97562268820328546</v>
      </c>
      <c r="G24" s="106">
        <f t="shared" si="2"/>
        <v>0.96586168498940861</v>
      </c>
      <c r="H24" s="105">
        <f t="shared" si="2"/>
        <v>0.92326084036079636</v>
      </c>
      <c r="I24" s="105">
        <f t="shared" si="2"/>
        <v>0.89591975136562152</v>
      </c>
      <c r="J24" s="106">
        <f>CORREL(J$8:J$22,$S$8:$S$22)</f>
        <v>0.97189996123118849</v>
      </c>
      <c r="K24" s="105">
        <f t="shared" si="2"/>
        <v>0.90784819911806403</v>
      </c>
      <c r="L24" s="105">
        <f t="shared" si="2"/>
        <v>0.91462779095203006</v>
      </c>
      <c r="M24" s="105">
        <f t="shared" si="2"/>
        <v>0.95801738996998898</v>
      </c>
      <c r="N24" s="105">
        <f t="shared" si="2"/>
        <v>0.89105158939221496</v>
      </c>
      <c r="O24" s="105">
        <f t="shared" si="2"/>
        <v>0.80188963858249773</v>
      </c>
      <c r="P24" s="105">
        <f t="shared" si="2"/>
        <v>0.9322341970599376</v>
      </c>
      <c r="Q24" s="105">
        <f t="shared" si="2"/>
        <v>0.93182328018057625</v>
      </c>
      <c r="R24" s="105">
        <f>CORREL(R$8:R$22,$S$8:$S$22)</f>
        <v>0.92903055535275214</v>
      </c>
      <c r="S24" s="5"/>
    </row>
    <row r="26" spans="1:21" x14ac:dyDescent="0.2">
      <c r="A26" s="173" t="s">
        <v>77</v>
      </c>
      <c r="B26" s="174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8" si="3">A6</f>
        <v>BSX_MEDSURG</v>
      </c>
      <c r="B28" s="9" t="str">
        <f t="shared" si="3"/>
        <v>Medsurg</v>
      </c>
      <c r="C28" s="9" t="str">
        <f t="shared" si="3"/>
        <v>2017Q2</v>
      </c>
      <c r="D28" s="9">
        <f t="shared" si="3"/>
        <v>20170720</v>
      </c>
      <c r="E28" s="18">
        <f t="shared" ref="E28:R28" si="4">$S6/E6-1</f>
        <v>-5.4647476842775933E-2</v>
      </c>
      <c r="F28" s="18">
        <f t="shared" si="4"/>
        <v>-6.5561546926324876E-2</v>
      </c>
      <c r="G28" s="18">
        <f t="shared" si="4"/>
        <v>1.8698235142571074E-2</v>
      </c>
      <c r="H28" s="18">
        <f t="shared" si="4"/>
        <v>-6.9512717690207171E-2</v>
      </c>
      <c r="I28" s="18">
        <f t="shared" si="4"/>
        <v>1.1757949143085478E-2</v>
      </c>
      <c r="J28" s="18">
        <f t="shared" si="4"/>
        <v>-3.3386309702534311E-2</v>
      </c>
      <c r="K28" s="18"/>
      <c r="L28" s="18"/>
      <c r="M28" s="18"/>
      <c r="N28" s="18"/>
      <c r="O28" s="18"/>
      <c r="P28" s="18"/>
      <c r="Q28" s="18"/>
      <c r="R28" s="41">
        <f t="shared" si="4"/>
        <v>-1.196902135648914E-2</v>
      </c>
    </row>
    <row r="29" spans="1:21" x14ac:dyDescent="0.2">
      <c r="A29" s="9" t="str">
        <f t="shared" ref="A29:D29" si="5">A7</f>
        <v>BSX_MEDSURG</v>
      </c>
      <c r="B29" s="9" t="str">
        <f t="shared" si="5"/>
        <v>Medsurg</v>
      </c>
      <c r="C29" s="9" t="str">
        <f t="shared" si="5"/>
        <v>2017Q3</v>
      </c>
      <c r="D29" s="9">
        <f t="shared" si="5"/>
        <v>20171019</v>
      </c>
      <c r="E29" s="18">
        <f t="shared" ref="E29:R29" si="6">$S7/E7-1</f>
        <v>-7.4125524090682515E-2</v>
      </c>
      <c r="F29" s="18">
        <f t="shared" si="6"/>
        <v>-6.333108662252418E-2</v>
      </c>
      <c r="G29" s="18">
        <f t="shared" si="6"/>
        <v>2.2688736239707463E-2</v>
      </c>
      <c r="H29" s="18">
        <f t="shared" si="6"/>
        <v>2.2721963530383471E-2</v>
      </c>
      <c r="I29" s="18">
        <f t="shared" si="6"/>
        <v>0.16068725322727406</v>
      </c>
      <c r="J29" s="18">
        <f t="shared" si="6"/>
        <v>7.0840072344453553E-3</v>
      </c>
      <c r="K29" s="18">
        <f t="shared" si="6"/>
        <v>-2.0604004083952798E-2</v>
      </c>
      <c r="L29" s="18">
        <f t="shared" si="6"/>
        <v>2.3869526093067694E-3</v>
      </c>
      <c r="M29" s="18">
        <f t="shared" si="6"/>
        <v>3.9172553357549322E-3</v>
      </c>
      <c r="N29" s="18">
        <f t="shared" si="6"/>
        <v>9.912513902568576E-2</v>
      </c>
      <c r="O29" s="18">
        <f t="shared" si="6"/>
        <v>0.14719855100750645</v>
      </c>
      <c r="P29" s="18">
        <f t="shared" si="6"/>
        <v>4.186813961276048E-2</v>
      </c>
      <c r="Q29" s="18">
        <f t="shared" si="6"/>
        <v>4.2377550450146462E-2</v>
      </c>
      <c r="R29" s="41">
        <f t="shared" si="6"/>
        <v>-8.6249164252284349E-2</v>
      </c>
    </row>
    <row r="30" spans="1:21" x14ac:dyDescent="0.2">
      <c r="A30" s="9" t="str">
        <f>A8</f>
        <v>BSX_MEDSURG</v>
      </c>
      <c r="B30" s="9" t="str">
        <f t="shared" ref="B30:D31" si="7">B8</f>
        <v>Medsurg</v>
      </c>
      <c r="C30" s="9" t="str">
        <f t="shared" si="7"/>
        <v>2017Q4</v>
      </c>
      <c r="D30" s="9">
        <f t="shared" si="7"/>
        <v>20180125</v>
      </c>
      <c r="E30" s="18">
        <f t="shared" ref="E30:R31" si="8">$S8/E8-1</f>
        <v>-4.8693981140091824E-2</v>
      </c>
      <c r="F30" s="18">
        <f t="shared" si="8"/>
        <v>-5.1974595346100272E-2</v>
      </c>
      <c r="G30" s="18">
        <f t="shared" si="8"/>
        <v>1.8815770387868858E-2</v>
      </c>
      <c r="H30" s="18">
        <f t="shared" si="8"/>
        <v>-7.9184803534382286E-4</v>
      </c>
      <c r="I30" s="18">
        <f t="shared" si="8"/>
        <v>0.16210825785786676</v>
      </c>
      <c r="J30" s="18">
        <f t="shared" si="8"/>
        <v>1.033783011336542E-2</v>
      </c>
      <c r="K30" s="18">
        <f t="shared" si="8"/>
        <v>2.7467592651383876E-2</v>
      </c>
      <c r="L30" s="18">
        <f t="shared" si="8"/>
        <v>1.2124338829047066E-2</v>
      </c>
      <c r="M30" s="18">
        <f t="shared" si="8"/>
        <v>-3.7870426402457635E-3</v>
      </c>
      <c r="N30" s="18">
        <f t="shared" si="8"/>
        <v>-2.2991401773125753E-2</v>
      </c>
      <c r="O30" s="18">
        <f t="shared" si="8"/>
        <v>1.2242786561511565E-3</v>
      </c>
      <c r="P30" s="18">
        <f t="shared" si="8"/>
        <v>3.2309349126247167E-3</v>
      </c>
      <c r="Q30" s="18">
        <f t="shared" si="8"/>
        <v>2.6439420427750715E-3</v>
      </c>
      <c r="R30" s="41">
        <f t="shared" si="8"/>
        <v>-5.2232518955349638E-2</v>
      </c>
    </row>
    <row r="31" spans="1:21" x14ac:dyDescent="0.2">
      <c r="A31" s="9" t="str">
        <f>A9</f>
        <v>BSX_MEDSURG</v>
      </c>
      <c r="B31" s="9" t="str">
        <f t="shared" si="7"/>
        <v>Medsurg</v>
      </c>
      <c r="C31" s="9" t="str">
        <f t="shared" si="7"/>
        <v>2018Q1</v>
      </c>
      <c r="D31" s="9">
        <f t="shared" si="7"/>
        <v>20180419</v>
      </c>
      <c r="E31" s="18">
        <f t="shared" ref="E31:E41" si="9">$S9/E9-1</f>
        <v>-3.9172715136160274E-2</v>
      </c>
      <c r="F31" s="18">
        <f t="shared" si="8"/>
        <v>-3.0375519000848561E-2</v>
      </c>
      <c r="G31" s="18">
        <f t="shared" si="8"/>
        <v>6.9985828037707698E-2</v>
      </c>
      <c r="H31" s="18">
        <f t="shared" si="8"/>
        <v>3.8431311693176928E-2</v>
      </c>
      <c r="I31" s="18">
        <f t="shared" si="8"/>
        <v>0.20415198356186237</v>
      </c>
      <c r="J31" s="18">
        <f t="shared" si="8"/>
        <v>4.1636364195236419E-2</v>
      </c>
      <c r="K31" s="18">
        <f t="shared" ref="K31:Q31" si="10">$S9/K9-1</f>
        <v>1.0008625841916086E-2</v>
      </c>
      <c r="L31" s="18">
        <f t="shared" si="10"/>
        <v>2.2783225258754536E-2</v>
      </c>
      <c r="M31" s="18">
        <f t="shared" si="10"/>
        <v>5.0225034924967993E-2</v>
      </c>
      <c r="N31" s="18">
        <f t="shared" si="10"/>
        <v>3.9254243123817201E-2</v>
      </c>
      <c r="O31" s="18">
        <f t="shared" si="10"/>
        <v>3.6178837401513064E-2</v>
      </c>
      <c r="P31" s="18">
        <f t="shared" si="10"/>
        <v>3.0978285825800755E-2</v>
      </c>
      <c r="Q31" s="18">
        <f t="shared" si="10"/>
        <v>3.1413932748081796E-2</v>
      </c>
      <c r="R31" s="41">
        <f>$S9/R9-1</f>
        <v>-7.1784862285838247E-2</v>
      </c>
    </row>
    <row r="32" spans="1:21" x14ac:dyDescent="0.2">
      <c r="A32" s="9" t="str">
        <f t="shared" ref="A32:D32" si="11">A10</f>
        <v>BSX_MEDSURG</v>
      </c>
      <c r="B32" s="9" t="str">
        <f t="shared" si="11"/>
        <v>Medsurg</v>
      </c>
      <c r="C32" s="9" t="str">
        <f t="shared" si="11"/>
        <v>2018Q2</v>
      </c>
      <c r="D32" s="9">
        <f t="shared" si="11"/>
        <v>20180719</v>
      </c>
      <c r="E32" s="18">
        <f t="shared" si="9"/>
        <v>-5.8758171977664753E-2</v>
      </c>
      <c r="F32" s="18">
        <f t="shared" ref="F32:J32" si="12">$S10/F10-1</f>
        <v>-5.8674277176890111E-2</v>
      </c>
      <c r="G32" s="18">
        <f t="shared" si="12"/>
        <v>3.4073500792957123E-2</v>
      </c>
      <c r="H32" s="18">
        <f t="shared" si="12"/>
        <v>-1.4092913235711713E-2</v>
      </c>
      <c r="I32" s="18">
        <f t="shared" si="12"/>
        <v>0.14488685941833501</v>
      </c>
      <c r="J32" s="18">
        <f t="shared" si="12"/>
        <v>4.1067725837662383E-3</v>
      </c>
      <c r="K32" s="18">
        <f t="shared" ref="K32:Q32" si="13">$S10/K10-1</f>
        <v>-2.0383951569693304E-2</v>
      </c>
      <c r="L32" s="18">
        <f t="shared" si="13"/>
        <v>-2.9185276084284673E-2</v>
      </c>
      <c r="M32" s="18">
        <f t="shared" si="13"/>
        <v>-3.3563367199555993E-2</v>
      </c>
      <c r="N32" s="18">
        <f t="shared" si="13"/>
        <v>-5.0580355520335019E-2</v>
      </c>
      <c r="O32" s="18">
        <f t="shared" si="13"/>
        <v>-4.9217312226835341E-2</v>
      </c>
      <c r="P32" s="18">
        <f t="shared" si="13"/>
        <v>-3.6029456057311893E-2</v>
      </c>
      <c r="Q32" s="18">
        <f t="shared" si="13"/>
        <v>-3.6611326687304047E-2</v>
      </c>
      <c r="R32" s="41">
        <f t="shared" ref="R32:R39" si="14">$S10/R10-1</f>
        <v>4.3993617506268512E-2</v>
      </c>
    </row>
    <row r="33" spans="1:18" x14ac:dyDescent="0.2">
      <c r="A33" s="9" t="str">
        <f t="shared" ref="A33:D33" si="15">A11</f>
        <v>BSX_MEDSURG</v>
      </c>
      <c r="B33" s="9" t="str">
        <f t="shared" si="15"/>
        <v>Medsurg</v>
      </c>
      <c r="C33" s="9" t="str">
        <f t="shared" si="15"/>
        <v>2018Q3</v>
      </c>
      <c r="D33" s="9">
        <f t="shared" si="15"/>
        <v>20181018</v>
      </c>
      <c r="E33" s="18">
        <f t="shared" si="9"/>
        <v>-5.5601492837966449E-2</v>
      </c>
      <c r="F33" s="18">
        <f t="shared" ref="F33:J33" si="16">$S11/F11-1</f>
        <v>-5.8430654345985933E-2</v>
      </c>
      <c r="G33" s="18">
        <f t="shared" si="16"/>
        <v>5.8004470869851499E-2</v>
      </c>
      <c r="H33" s="18">
        <f t="shared" si="16"/>
        <v>-3.5522174403834761E-2</v>
      </c>
      <c r="I33" s="18">
        <f t="shared" si="16"/>
        <v>7.9276127955812514E-2</v>
      </c>
      <c r="J33" s="18">
        <f t="shared" si="16"/>
        <v>-5.8623713710446168E-3</v>
      </c>
      <c r="K33" s="18">
        <f t="shared" ref="K33:Q33" si="17">$S11/K11-1</f>
        <v>3.3537386946889125E-3</v>
      </c>
      <c r="L33" s="18">
        <f t="shared" si="17"/>
        <v>2.5880821589963077E-4</v>
      </c>
      <c r="M33" s="18">
        <f t="shared" si="17"/>
        <v>2.3142426586256537E-2</v>
      </c>
      <c r="N33" s="18">
        <f t="shared" si="17"/>
        <v>-2.173557879419763E-2</v>
      </c>
      <c r="O33" s="18">
        <f t="shared" si="17"/>
        <v>-5.7307611597408381E-2</v>
      </c>
      <c r="P33" s="18">
        <f t="shared" si="17"/>
        <v>-9.9283703954692326E-3</v>
      </c>
      <c r="Q33" s="18">
        <f t="shared" si="17"/>
        <v>-1.1013620422215875E-2</v>
      </c>
      <c r="R33" s="41">
        <f t="shared" si="14"/>
        <v>2.6268922528940308E-2</v>
      </c>
    </row>
    <row r="34" spans="1:18" x14ac:dyDescent="0.2">
      <c r="A34" s="9" t="str">
        <f t="shared" ref="A34:D34" si="18">A12</f>
        <v>BSX_MEDSURG</v>
      </c>
      <c r="B34" s="9" t="str">
        <f t="shared" si="18"/>
        <v>Medsurg</v>
      </c>
      <c r="C34" s="9" t="str">
        <f t="shared" si="18"/>
        <v>2018Q4</v>
      </c>
      <c r="D34" s="9">
        <f t="shared" si="18"/>
        <v>20190131</v>
      </c>
      <c r="E34" s="18">
        <f t="shared" si="9"/>
        <v>-1.7058668505422259E-2</v>
      </c>
      <c r="F34" s="18">
        <f t="shared" ref="F34:J34" si="19">$S12/F12-1</f>
        <v>-2.500875832870364E-2</v>
      </c>
      <c r="G34" s="18">
        <f t="shared" si="19"/>
        <v>4.6303193991352298E-2</v>
      </c>
      <c r="H34" s="18">
        <f t="shared" si="19"/>
        <v>-5.4351552766618405E-2</v>
      </c>
      <c r="I34" s="18">
        <f t="shared" si="19"/>
        <v>-3.2136797613997237E-2</v>
      </c>
      <c r="J34" s="18">
        <f t="shared" si="19"/>
        <v>-1.7571743749800528E-2</v>
      </c>
      <c r="K34" s="18">
        <f t="shared" ref="K34:Q34" si="20">$S12/K12-1</f>
        <v>4.0812034369227534E-2</v>
      </c>
      <c r="L34" s="18">
        <f t="shared" si="20"/>
        <v>3.5495947453628496E-2</v>
      </c>
      <c r="M34" s="18">
        <f t="shared" si="20"/>
        <v>-1.1059761277642632E-2</v>
      </c>
      <c r="N34" s="18">
        <f t="shared" si="20"/>
        <v>-1.9522873272016072E-2</v>
      </c>
      <c r="O34" s="18">
        <f t="shared" si="20"/>
        <v>-0.10322930590601465</v>
      </c>
      <c r="P34" s="18">
        <f t="shared" si="20"/>
        <v>-1.1778421861875166E-2</v>
      </c>
      <c r="Q34" s="18">
        <f t="shared" si="20"/>
        <v>-1.3909662845348447E-2</v>
      </c>
      <c r="R34" s="41">
        <f t="shared" si="14"/>
        <v>6.4672594987873477E-3</v>
      </c>
    </row>
    <row r="35" spans="1:18" x14ac:dyDescent="0.2">
      <c r="A35" s="9" t="str">
        <f t="shared" ref="A35:D35" si="21">A13</f>
        <v>BSX_MEDSURG</v>
      </c>
      <c r="B35" s="9" t="str">
        <f t="shared" si="21"/>
        <v>Medsurg</v>
      </c>
      <c r="C35" s="9" t="str">
        <f t="shared" si="21"/>
        <v>2019Q1</v>
      </c>
      <c r="D35" s="9">
        <f t="shared" si="21"/>
        <v>20190418</v>
      </c>
      <c r="E35" s="18">
        <f t="shared" si="9"/>
        <v>-2.502224998939151E-2</v>
      </c>
      <c r="F35" s="18">
        <f t="shared" ref="F35:J35" si="22">$S13/F13-1</f>
        <v>-2.4561764521333851E-2</v>
      </c>
      <c r="G35" s="18">
        <f t="shared" si="22"/>
        <v>1.3326068985777484E-2</v>
      </c>
      <c r="H35" s="18">
        <f t="shared" si="22"/>
        <v>-1.5750663531995279E-2</v>
      </c>
      <c r="I35" s="18">
        <f t="shared" si="22"/>
        <v>3.3579132402913325E-2</v>
      </c>
      <c r="J35" s="18">
        <f t="shared" si="22"/>
        <v>-4.2237557034653372E-3</v>
      </c>
      <c r="K35" s="18">
        <f t="shared" ref="K35:Q35" si="23">$S13/K13-1</f>
        <v>-8.1017871858746204E-3</v>
      </c>
      <c r="L35" s="18">
        <f t="shared" si="23"/>
        <v>4.5845930534049728E-4</v>
      </c>
      <c r="M35" s="18">
        <f t="shared" si="23"/>
        <v>-3.151775240193655E-2</v>
      </c>
      <c r="N35" s="18">
        <f t="shared" si="23"/>
        <v>4.0819492008425717E-2</v>
      </c>
      <c r="O35" s="18">
        <f t="shared" si="23"/>
        <v>6.7897952783932736E-2</v>
      </c>
      <c r="P35" s="18">
        <f t="shared" si="23"/>
        <v>1.358673059474369E-2</v>
      </c>
      <c r="Q35" s="18">
        <f t="shared" si="23"/>
        <v>1.2820790225387624E-2</v>
      </c>
      <c r="R35" s="41">
        <f t="shared" si="14"/>
        <v>1.001669449081799E-2</v>
      </c>
    </row>
    <row r="36" spans="1:18" x14ac:dyDescent="0.2">
      <c r="A36" s="9" t="str">
        <f t="shared" ref="A36:D36" si="24">A14</f>
        <v>BSX_MEDSURG</v>
      </c>
      <c r="B36" s="9" t="str">
        <f t="shared" si="24"/>
        <v>Medsurg</v>
      </c>
      <c r="C36" s="9" t="str">
        <f t="shared" si="24"/>
        <v>2019Q2</v>
      </c>
      <c r="D36" s="9">
        <f t="shared" si="24"/>
        <v>20190718</v>
      </c>
      <c r="E36" s="18">
        <f t="shared" si="9"/>
        <v>-5.8762450512686915E-2</v>
      </c>
      <c r="F36" s="18">
        <f t="shared" ref="F36:J36" si="25">$S14/F14-1</f>
        <v>-5.3179735738881684E-2</v>
      </c>
      <c r="G36" s="18">
        <f>$S14/G14-1</f>
        <v>-7.8069655429441331E-3</v>
      </c>
      <c r="H36" s="18">
        <f t="shared" si="25"/>
        <v>2.5863252341324028E-2</v>
      </c>
      <c r="I36" s="18">
        <f t="shared" si="25"/>
        <v>7.2081700837998142E-2</v>
      </c>
      <c r="J36" s="18">
        <f t="shared" si="25"/>
        <v>-6.7579460716121753E-3</v>
      </c>
      <c r="K36" s="18">
        <f t="shared" ref="K36:Q36" si="26">$S14/K14-1</f>
        <v>-3.4606123599157379E-2</v>
      </c>
      <c r="L36" s="18">
        <f t="shared" si="26"/>
        <v>-2.9338578473402044E-2</v>
      </c>
      <c r="M36" s="18">
        <f t="shared" si="26"/>
        <v>-2.0855117790341104E-2</v>
      </c>
      <c r="N36" s="18">
        <f t="shared" si="26"/>
        <v>4.2279851589894335E-2</v>
      </c>
      <c r="O36" s="18">
        <f t="shared" si="26"/>
        <v>3.7251689036689628E-2</v>
      </c>
      <c r="P36" s="18">
        <f t="shared" si="26"/>
        <v>-2.5449395711756306E-3</v>
      </c>
      <c r="Q36" s="18">
        <f t="shared" si="26"/>
        <v>-2.2356768224278678E-3</v>
      </c>
      <c r="R36" s="41">
        <f t="shared" si="14"/>
        <v>1.7481830681594923E-2</v>
      </c>
    </row>
    <row r="37" spans="1:18" x14ac:dyDescent="0.2">
      <c r="A37" s="9" t="str">
        <f t="shared" ref="A37:D37" si="27">A15</f>
        <v>BSX_MEDSURG</v>
      </c>
      <c r="B37" s="9" t="str">
        <f t="shared" si="27"/>
        <v>Medsurg</v>
      </c>
      <c r="C37" s="9" t="str">
        <f t="shared" si="27"/>
        <v>2019Q3</v>
      </c>
      <c r="D37" s="9">
        <f t="shared" si="27"/>
        <v>20191017</v>
      </c>
      <c r="E37" s="18">
        <f t="shared" si="9"/>
        <v>3.4666615390604116E-2</v>
      </c>
      <c r="F37" s="18">
        <f t="shared" ref="F37:J37" si="28">$S15/F15-1</f>
        <v>1.7274097127376153E-2</v>
      </c>
      <c r="G37" s="18">
        <f>$S15/G15-1</f>
        <v>5.7222257645547225E-2</v>
      </c>
      <c r="H37" s="18">
        <f t="shared" si="28"/>
        <v>4.8533402781064661E-2</v>
      </c>
      <c r="I37" s="18">
        <f t="shared" si="28"/>
        <v>0.13760464266424677</v>
      </c>
      <c r="J37" s="18">
        <f t="shared" si="28"/>
        <v>5.7497827908372878E-2</v>
      </c>
      <c r="K37" s="18">
        <f t="shared" ref="K37:Q37" si="29">$S15/K15-1</f>
        <v>9.9261940786554259E-2</v>
      </c>
      <c r="L37" s="18">
        <f t="shared" si="29"/>
        <v>7.4410989630897761E-2</v>
      </c>
      <c r="M37" s="18">
        <f t="shared" si="29"/>
        <v>6.5540898726502705E-2</v>
      </c>
      <c r="N37" s="18">
        <f t="shared" si="29"/>
        <v>2.2098608550409349E-2</v>
      </c>
      <c r="O37" s="18">
        <f t="shared" si="29"/>
        <v>6.1117489250149815E-2</v>
      </c>
      <c r="P37" s="18">
        <f t="shared" si="29"/>
        <v>6.4692965552400672E-2</v>
      </c>
      <c r="Q37" s="18">
        <f t="shared" si="29"/>
        <v>6.4027102002399694E-2</v>
      </c>
      <c r="R37" s="41">
        <f t="shared" si="14"/>
        <v>2.9496818970503158E-2</v>
      </c>
    </row>
    <row r="38" spans="1:18" x14ac:dyDescent="0.2">
      <c r="A38" s="9" t="str">
        <f t="shared" ref="A38:D38" si="30">A16</f>
        <v>BSX_MEDSURG</v>
      </c>
      <c r="B38" s="9" t="str">
        <f t="shared" si="30"/>
        <v>Medsurg</v>
      </c>
      <c r="C38" s="9" t="str">
        <f t="shared" si="30"/>
        <v>2019Q4</v>
      </c>
      <c r="D38" s="9">
        <f t="shared" si="30"/>
        <v>20200130</v>
      </c>
      <c r="E38" s="18">
        <f t="shared" si="9"/>
        <v>4.5974872373359954E-3</v>
      </c>
      <c r="F38" s="18">
        <f t="shared" ref="F38:J38" si="31">$S16/F16-1</f>
        <v>1.3663257688151464E-2</v>
      </c>
      <c r="G38" s="18">
        <f t="shared" si="31"/>
        <v>2.4449837628626625E-2</v>
      </c>
      <c r="H38" s="18">
        <f t="shared" si="31"/>
        <v>-1.9259228885195268E-2</v>
      </c>
      <c r="I38" s="18">
        <f t="shared" si="31"/>
        <v>0.11428312860275258</v>
      </c>
      <c r="J38" s="18">
        <f t="shared" si="31"/>
        <v>2.5608718678456599E-2</v>
      </c>
      <c r="K38" s="18">
        <f t="shared" ref="K38:Q38" si="32">$S16/K16-1</f>
        <v>-2.9061658804866997E-2</v>
      </c>
      <c r="L38" s="18">
        <f t="shared" si="32"/>
        <v>-3.5495246064173314E-3</v>
      </c>
      <c r="M38" s="18">
        <f t="shared" si="32"/>
        <v>-3.0998609592183035E-2</v>
      </c>
      <c r="N38" s="18">
        <f t="shared" si="32"/>
        <v>-6.4654718186803684E-2</v>
      </c>
      <c r="O38" s="18">
        <f t="shared" si="32"/>
        <v>-2.0500544026328837E-2</v>
      </c>
      <c r="P38" s="18">
        <f t="shared" si="32"/>
        <v>-3.0155247971515697E-2</v>
      </c>
      <c r="Q38" s="18">
        <f t="shared" si="32"/>
        <v>-3.0166717340191607E-2</v>
      </c>
      <c r="R38" s="41">
        <f t="shared" si="14"/>
        <v>-2.3172905525846721E-2</v>
      </c>
    </row>
    <row r="39" spans="1:18" x14ac:dyDescent="0.2">
      <c r="A39" s="9" t="str">
        <f t="shared" ref="A39:D39" si="33">A17</f>
        <v>BSX_MEDSURG</v>
      </c>
      <c r="B39" s="9" t="str">
        <f t="shared" si="33"/>
        <v>Medsurg</v>
      </c>
      <c r="C39" s="9" t="str">
        <f t="shared" si="33"/>
        <v>2020Q1</v>
      </c>
      <c r="D39" s="9">
        <f t="shared" si="33"/>
        <v>20200423</v>
      </c>
      <c r="E39" s="18">
        <f t="shared" si="9"/>
        <v>-3.7546052762494564E-2</v>
      </c>
      <c r="F39" s="18">
        <f t="shared" ref="F39:J39" si="34">$S17/F17-1</f>
        <v>-2.8954496933784934E-2</v>
      </c>
      <c r="G39" s="18">
        <f t="shared" ref="G39:G44" si="35">$S17/G17-1</f>
        <v>-1.567815063454614E-2</v>
      </c>
      <c r="H39" s="18">
        <f t="shared" si="34"/>
        <v>-2.3405727877144678E-2</v>
      </c>
      <c r="I39" s="18">
        <f t="shared" si="34"/>
        <v>0.14398667638397877</v>
      </c>
      <c r="J39" s="18">
        <f t="shared" si="34"/>
        <v>3.4399484601328467E-3</v>
      </c>
      <c r="K39" s="18">
        <f t="shared" ref="K39:Q39" si="36">$S17/K17-1</f>
        <v>-4.1950672319245097E-2</v>
      </c>
      <c r="L39" s="18">
        <f t="shared" si="36"/>
        <v>-4.2043306096675837E-2</v>
      </c>
      <c r="M39" s="18">
        <f t="shared" si="36"/>
        <v>-3.9170281246820315E-2</v>
      </c>
      <c r="N39" s="18">
        <f t="shared" si="36"/>
        <v>-4.2279255783729264E-3</v>
      </c>
      <c r="O39" s="18">
        <f t="shared" si="36"/>
        <v>2.6657091917448916E-2</v>
      </c>
      <c r="P39" s="18">
        <f t="shared" si="36"/>
        <v>-2.1615231827289083E-2</v>
      </c>
      <c r="Q39" s="18">
        <f t="shared" si="36"/>
        <v>-2.1018243057748687E-2</v>
      </c>
      <c r="R39" s="41">
        <f t="shared" si="14"/>
        <v>-4.4426494345718437E-3</v>
      </c>
    </row>
    <row r="40" spans="1:18" x14ac:dyDescent="0.2">
      <c r="A40" s="9" t="str">
        <f t="shared" ref="A40:D40" si="37">A18</f>
        <v>BSX_MEDSURG</v>
      </c>
      <c r="B40" s="9" t="str">
        <f t="shared" si="37"/>
        <v>Medsurg</v>
      </c>
      <c r="C40" s="9" t="str">
        <f t="shared" si="37"/>
        <v>2020Q2</v>
      </c>
      <c r="D40" s="9">
        <f t="shared" si="37"/>
        <v>20200723</v>
      </c>
      <c r="E40" s="18">
        <f t="shared" si="9"/>
        <v>-0.1327307707699068</v>
      </c>
      <c r="F40" s="18">
        <f t="shared" ref="F40:J40" si="38">$S18/F18-1</f>
        <v>-0.14473530482196217</v>
      </c>
      <c r="G40" s="18">
        <f t="shared" si="35"/>
        <v>-5.8958355014718911E-2</v>
      </c>
      <c r="H40" s="18">
        <f t="shared" si="38"/>
        <v>-0.16460790970732941</v>
      </c>
      <c r="I40" s="18">
        <f t="shared" si="38"/>
        <v>-1.2837761661338321E-2</v>
      </c>
      <c r="J40" s="18">
        <f t="shared" si="38"/>
        <v>-0.10634060425128378</v>
      </c>
      <c r="K40" s="18">
        <f t="shared" ref="K40:Q40" si="39">$S18/K18-1</f>
        <v>-9.8897945486760341E-2</v>
      </c>
      <c r="L40" s="18">
        <f t="shared" si="39"/>
        <v>-0.11923314357832138</v>
      </c>
      <c r="M40" s="18">
        <f t="shared" si="39"/>
        <v>-4.3969565857014725E-2</v>
      </c>
      <c r="N40" s="18">
        <f t="shared" si="39"/>
        <v>-0.14458633012791378</v>
      </c>
      <c r="O40" s="18">
        <f t="shared" si="39"/>
        <v>-0.13708589556394368</v>
      </c>
      <c r="P40" s="18">
        <f t="shared" si="39"/>
        <v>-0.10940420787500482</v>
      </c>
      <c r="Q40" s="18">
        <f t="shared" si="39"/>
        <v>-0.1100366993646319</v>
      </c>
      <c r="R40" s="41">
        <f t="shared" ref="R40" si="40">$S18/R18-1</f>
        <v>0.25490196078431371</v>
      </c>
    </row>
    <row r="41" spans="1:18" x14ac:dyDescent="0.2">
      <c r="A41" s="9" t="str">
        <f t="shared" ref="A41:D41" si="41">A19</f>
        <v>BSX_MEDSURG</v>
      </c>
      <c r="B41" s="9" t="str">
        <f t="shared" si="41"/>
        <v>Medsurg</v>
      </c>
      <c r="C41" s="9" t="str">
        <f t="shared" si="41"/>
        <v>2020Q3</v>
      </c>
      <c r="D41" s="9">
        <f t="shared" si="41"/>
        <v>20201022</v>
      </c>
      <c r="E41" s="18">
        <f t="shared" si="9"/>
        <v>-2.3461641458003779E-2</v>
      </c>
      <c r="F41" s="18">
        <f t="shared" ref="F41:I41" si="42">$S19/F19-1</f>
        <v>-3.7851025602606891E-2</v>
      </c>
      <c r="G41" s="18">
        <f t="shared" si="35"/>
        <v>-1.8313354942372961E-2</v>
      </c>
      <c r="H41" s="18">
        <f t="shared" si="42"/>
        <v>-6.8378891849637968E-2</v>
      </c>
      <c r="I41" s="18">
        <f t="shared" si="42"/>
        <v>0.1088043983295226</v>
      </c>
      <c r="J41" s="18">
        <f>$S19/J19-1</f>
        <v>-1.1328292648258409E-2</v>
      </c>
      <c r="K41" s="18">
        <f t="shared" ref="K41:Q41" si="43">$S19/K19-1</f>
        <v>0.12599216671033675</v>
      </c>
      <c r="L41" s="18">
        <f t="shared" si="43"/>
        <v>0.12497216338049055</v>
      </c>
      <c r="M41" s="18">
        <f t="shared" si="43"/>
        <v>4.3191499854378534E-2</v>
      </c>
      <c r="N41" s="18">
        <f t="shared" si="43"/>
        <v>0.11519024297199021</v>
      </c>
      <c r="O41" s="18">
        <f t="shared" si="43"/>
        <v>0.12322408137853591</v>
      </c>
      <c r="P41" s="18">
        <f t="shared" si="43"/>
        <v>0.10631825956848262</v>
      </c>
      <c r="Q41" s="18">
        <f t="shared" si="43"/>
        <v>0.10568208575994009</v>
      </c>
      <c r="R41" s="41">
        <f>$S19/R19-1</f>
        <v>0.1007817451933235</v>
      </c>
    </row>
    <row r="42" spans="1:18" x14ac:dyDescent="0.2">
      <c r="A42" s="9" t="str">
        <f t="shared" ref="A42:D42" si="44">A20</f>
        <v>BSX_MEDSURG</v>
      </c>
      <c r="B42" s="9" t="str">
        <f t="shared" si="44"/>
        <v>Medsurg</v>
      </c>
      <c r="C42" s="9" t="str">
        <f t="shared" si="44"/>
        <v>2020Q4</v>
      </c>
      <c r="D42" s="9">
        <f t="shared" si="44"/>
        <v>20210128</v>
      </c>
      <c r="E42" s="18">
        <f t="shared" ref="E42:I42" si="45">$S20/E20-1</f>
        <v>-1.1143813759419641E-2</v>
      </c>
      <c r="F42" s="18">
        <f t="shared" si="45"/>
        <v>-7.7429050885866602E-3</v>
      </c>
      <c r="G42" s="18">
        <f t="shared" si="35"/>
        <v>9.2286035264210753E-3</v>
      </c>
      <c r="H42" s="18">
        <f t="shared" si="45"/>
        <v>-4.0722141318978888E-2</v>
      </c>
      <c r="I42" s="18">
        <f t="shared" si="45"/>
        <v>0.12824891516520531</v>
      </c>
      <c r="J42" s="18">
        <f>$S20/J20-1</f>
        <v>1.2410415399785046E-2</v>
      </c>
      <c r="K42" s="18">
        <f t="shared" ref="K42:Q42" si="46">$S20/K20-1</f>
        <v>1.2613767386439489E-2</v>
      </c>
      <c r="L42" s="18">
        <f t="shared" si="46"/>
        <v>3.1292576633340285E-2</v>
      </c>
      <c r="M42" s="18">
        <f t="shared" si="46"/>
        <v>2.8055753439711006E-2</v>
      </c>
      <c r="N42" s="18">
        <f t="shared" si="46"/>
        <v>2.9686693752107862E-2</v>
      </c>
      <c r="O42" s="18">
        <f t="shared" si="46"/>
        <v>1.7536471594969294E-2</v>
      </c>
      <c r="P42" s="18">
        <f t="shared" si="46"/>
        <v>2.4010708379255785E-2</v>
      </c>
      <c r="Q42" s="18">
        <f t="shared" si="46"/>
        <v>2.3821349203444253E-2</v>
      </c>
      <c r="R42" s="41">
        <f>$S20/R20-1</f>
        <v>-1.5839117280654902E-2</v>
      </c>
    </row>
    <row r="43" spans="1:18" x14ac:dyDescent="0.2">
      <c r="A43" s="9" t="str">
        <f t="shared" ref="A43:D43" si="47">A21</f>
        <v>BSX_MEDSURG</v>
      </c>
      <c r="B43" s="9" t="str">
        <f t="shared" si="47"/>
        <v>Medsurg</v>
      </c>
      <c r="C43" s="9" t="str">
        <f t="shared" si="47"/>
        <v>2021Q1</v>
      </c>
      <c r="D43" s="9">
        <f t="shared" si="47"/>
        <v>20210422</v>
      </c>
      <c r="E43" s="18">
        <f t="shared" ref="E43:J43" si="48">$S21/E21-1</f>
        <v>-1.0443818324627485E-2</v>
      </c>
      <c r="F43" s="18">
        <f t="shared" si="48"/>
        <v>9.971269552298434E-3</v>
      </c>
      <c r="G43" s="18">
        <f t="shared" si="35"/>
        <v>4.7896913045561096E-2</v>
      </c>
      <c r="H43" s="18">
        <f t="shared" si="48"/>
        <v>-2.1959630788194295E-2</v>
      </c>
      <c r="I43" s="18">
        <f t="shared" si="48"/>
        <v>4.2004622852539031E-2</v>
      </c>
      <c r="J43" s="18">
        <f t="shared" si="48"/>
        <v>1.2737219393680332E-2</v>
      </c>
      <c r="K43" s="18">
        <f t="shared" ref="K43:Q43" si="49">$S21/K21-1</f>
        <v>-2.1588557929158703E-2</v>
      </c>
      <c r="L43" s="18">
        <f t="shared" si="49"/>
        <v>-5.2566097045408933E-3</v>
      </c>
      <c r="M43" s="18">
        <f t="shared" si="49"/>
        <v>3.4445748232794227E-2</v>
      </c>
      <c r="N43" s="18">
        <f t="shared" si="49"/>
        <v>-1.8114720640531878E-2</v>
      </c>
      <c r="O43" s="18">
        <f t="shared" si="49"/>
        <v>-0.10910741515081357</v>
      </c>
      <c r="P43" s="18">
        <f t="shared" si="49"/>
        <v>-2.3775098865328137E-2</v>
      </c>
      <c r="Q43" s="18">
        <f t="shared" si="49"/>
        <v>-2.5867023337893924E-2</v>
      </c>
      <c r="R43" s="41">
        <f>$S21/R21-1</f>
        <v>3.7280278153370539E-2</v>
      </c>
    </row>
    <row r="44" spans="1:18" x14ac:dyDescent="0.2">
      <c r="A44" s="9" t="str">
        <f t="shared" ref="A44:D44" si="50">A22</f>
        <v>BSX_MEDSURG</v>
      </c>
      <c r="B44" s="9" t="str">
        <f t="shared" si="50"/>
        <v>Medsurg</v>
      </c>
      <c r="C44" s="9" t="str">
        <f t="shared" si="50"/>
        <v>2021Q2</v>
      </c>
      <c r="D44" s="9">
        <f t="shared" si="50"/>
        <v>20210722</v>
      </c>
      <c r="E44" s="18">
        <f>$S22/E22-1</f>
        <v>8.6685561312060955E-4</v>
      </c>
      <c r="F44" s="18">
        <f t="shared" ref="F44:J44" si="51">$S22/F22-1</f>
        <v>1.3010054418074235E-2</v>
      </c>
      <c r="G44" s="18">
        <f t="shared" si="35"/>
        <v>4.3055749870246629E-2</v>
      </c>
      <c r="H44" s="18">
        <f t="shared" si="51"/>
        <v>7.5183483466392254E-3</v>
      </c>
      <c r="I44" s="18">
        <f t="shared" si="51"/>
        <v>0.10905504935353094</v>
      </c>
      <c r="J44" s="18">
        <f t="shared" si="51"/>
        <v>3.3224638640023452E-2</v>
      </c>
      <c r="K44" s="18">
        <f t="shared" ref="K44:Q44" si="52">$S22/K22-1</f>
        <v>1.1430047274929356E-2</v>
      </c>
      <c r="L44" s="18">
        <f t="shared" si="52"/>
        <v>3.0087834747247744E-3</v>
      </c>
      <c r="M44" s="18">
        <f t="shared" si="52"/>
        <v>-4.6198849476941639E-3</v>
      </c>
      <c r="N44" s="18">
        <f t="shared" si="52"/>
        <v>3.0139838868399105E-2</v>
      </c>
      <c r="O44" s="18">
        <f t="shared" si="52"/>
        <v>6.4347532660112394E-2</v>
      </c>
      <c r="P44" s="18">
        <f t="shared" si="52"/>
        <v>2.0229748501401801E-2</v>
      </c>
      <c r="Q44" s="18">
        <f t="shared" si="52"/>
        <v>2.0269905115451348E-2</v>
      </c>
      <c r="R44" s="41">
        <f>$S22/R22-1</f>
        <v>4.1594454072790388E-2</v>
      </c>
    </row>
    <row r="45" spans="1:18" x14ac:dyDescent="0.2">
      <c r="A45" s="179" t="s">
        <v>78</v>
      </c>
      <c r="B45" s="179"/>
      <c r="C45" s="175"/>
      <c r="D45" s="176"/>
      <c r="E45" s="74" cm="1">
        <f t="array" ref="E45">SUM(ABS(E28:E44))/COUNT(E28:E44)</f>
        <v>4.0429399196962083E-2</v>
      </c>
      <c r="F45" s="108" cm="1">
        <f t="array" ref="F45">SUM(ABS(F28:F44))/COUNT(F28:F44)</f>
        <v>4.1429432308260829E-2</v>
      </c>
      <c r="G45" s="112" cm="1">
        <f t="array" ref="G45">SUM(ABS(G28:G44))/COUNT(G28:G44)</f>
        <v>3.3206234841104604E-2</v>
      </c>
      <c r="H45" s="108" cm="1">
        <f t="array" ref="H45">SUM(ABS(H28:H44))/COUNT(H28:H44)</f>
        <v>3.9495510516634115E-2</v>
      </c>
      <c r="I45" s="108" cm="1">
        <f t="array" ref="I45">SUM(ABS(I28:I44))/COUNT(I28:I44)</f>
        <v>9.9852426884250556E-2</v>
      </c>
      <c r="J45" s="112" cm="1">
        <f t="array" ref="J45">SUM(ABS(J28:J44))/COUNT(J28:J44)</f>
        <v>2.3150280359133163E-2</v>
      </c>
      <c r="K45" s="108" cm="1">
        <f t="array" ref="K45">SUM(ABS(K28:K44))/COUNT(K28:K44)</f>
        <v>3.7883413418386594E-2</v>
      </c>
      <c r="L45" s="108" cm="1">
        <f t="array" ref="L45">SUM(ABS(L28:L44))/COUNT(L28:L44)</f>
        <v>3.3487417708442033E-2</v>
      </c>
      <c r="M45" s="108" cm="1">
        <f t="array" ref="M45">SUM(ABS(M28:M44))/COUNT(M28:M44)</f>
        <v>2.9253750003362514E-2</v>
      </c>
      <c r="N45" s="108" cm="1">
        <f t="array" ref="N45">SUM(ABS(N28:N44))/COUNT(N28:N44)</f>
        <v>4.7813000861501642E-2</v>
      </c>
      <c r="O45" s="108" cm="1">
        <f t="array" ref="O45">SUM(ABS(O28:O44))/COUNT(O28:O44)</f>
        <v>6.6192628759897121E-2</v>
      </c>
      <c r="P45" s="108" cm="1">
        <f t="array" ref="P45">SUM(ABS(P28:P44))/COUNT(P28:P44)</f>
        <v>3.4384171710777511E-2</v>
      </c>
      <c r="Q45" s="108" cm="1">
        <f t="array" ref="Q45">SUM(ABS(Q28:Q44))/COUNT(Q28:Q44)</f>
        <v>3.4619726714086793E-2</v>
      </c>
      <c r="R45" s="109" cm="1">
        <f t="array" ref="R45">SUM(ABS(R28:R44))/COUNT(R28:R44)</f>
        <v>4.9057283586573248E-2</v>
      </c>
    </row>
    <row r="46" spans="1:18" x14ac:dyDescent="0.2">
      <c r="A46" s="180" t="s">
        <v>79</v>
      </c>
      <c r="B46" s="180"/>
      <c r="C46" s="177"/>
      <c r="D46" s="178"/>
      <c r="E46" s="75" cm="1">
        <f t="array" ref="E46">SQRT(SUM(POWER(E28:E44,2))/COUNT(E28:E44))</f>
        <v>5.1068157269280059E-2</v>
      </c>
      <c r="F46" s="110" cm="1">
        <f t="array" ref="F46">SQRT(SUM(POWER(F28:F44,2))/COUNT(F28:F44))</f>
        <v>5.2513236014471311E-2</v>
      </c>
      <c r="G46" s="113" cm="1">
        <f t="array" ref="G46">SQRT(SUM(POWER(G28:G44,2))/COUNT(G28:G44))</f>
        <v>3.8491423123748161E-2</v>
      </c>
      <c r="H46" s="110" cm="1">
        <f t="array" ref="H46">SQRT(SUM(POWER(H28:H44,2))/COUNT(H28:H44))</f>
        <v>5.3906309565938976E-2</v>
      </c>
      <c r="I46" s="110" cm="1">
        <f t="array" ref="I46">SQRT(SUM(POWER(I28:I44,2))/COUNT(I28:I44))</f>
        <v>0.11463111888728754</v>
      </c>
      <c r="J46" s="113" cm="1">
        <f t="array" ref="J46">SQRT(SUM(POWER(J28:J44,2))/COUNT(J28:J44))</f>
        <v>3.4521282040844134E-2</v>
      </c>
      <c r="K46" s="110" cm="1">
        <f t="array" ref="K46">SQRT(SUM(POWER(K28:K44,2))/COUNT(K28:K44))</f>
        <v>5.2143302905850633E-2</v>
      </c>
      <c r="L46" s="110" cm="1">
        <f t="array" ref="L46">SQRT(SUM(POWER(L28:L44,2))/COUNT(L28:L44))</f>
        <v>5.1120123716736632E-2</v>
      </c>
      <c r="M46" s="110" cm="1">
        <f t="array" ref="M46">SQRT(SUM(POWER(M28:M44,2))/COUNT(M28:M44))</f>
        <v>3.386515165030618E-2</v>
      </c>
      <c r="N46" s="110" cm="1">
        <f t="array" ref="N46">SQRT(SUM(POWER(N28:N44,2))/COUNT(N28:N44))</f>
        <v>6.1104095917210284E-2</v>
      </c>
      <c r="O46" s="110" cm="1">
        <f t="array" ref="O46">SQRT(SUM(POWER(O28:O44,2))/COUNT(O28:O44))</f>
        <v>7.9267716799728549E-2</v>
      </c>
      <c r="P46" s="110" cm="1">
        <f t="array" ref="P46">SQRT(SUM(POWER(P28:P44,2))/COUNT(P28:P44))</f>
        <v>4.6660434177683154E-2</v>
      </c>
      <c r="Q46" s="110" cm="1">
        <f t="array" ref="Q46">SQRT(SUM(POWER(Q28:Q44,2))/COUNT(Q28:Q44))</f>
        <v>4.6763831740406915E-2</v>
      </c>
      <c r="R46" s="111" cm="1">
        <f t="array" ref="R46">SQRT(SUM(POWER(R28:R44,2))/COUNT(R28:R44))</f>
        <v>7.6106077349175211E-2</v>
      </c>
    </row>
    <row r="47" spans="1:18" x14ac:dyDescent="0.2">
      <c r="I47" s="3"/>
      <c r="J47" s="3"/>
    </row>
    <row r="48" spans="1:18" x14ac:dyDescent="0.2">
      <c r="B48" t="s">
        <v>159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4"/>
  <sheetViews>
    <sheetView zoomScale="85" zoomScaleNormal="85" workbookViewId="0">
      <selection activeCell="C14" sqref="C14:M16"/>
    </sheetView>
  </sheetViews>
  <sheetFormatPr defaultRowHeight="12.75" x14ac:dyDescent="0.2"/>
  <cols>
    <col min="1" max="1" width="9.140625" style="68"/>
    <col min="3" max="3" width="13" bestFit="1" customWidth="1"/>
    <col min="4" max="4" width="8.85546875" customWidth="1"/>
    <col min="5" max="5" width="8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148</v>
      </c>
    </row>
    <row r="4" spans="1:17" x14ac:dyDescent="0.2">
      <c r="A4" s="68" t="s">
        <v>101</v>
      </c>
      <c r="B4" t="s">
        <v>167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81" t="s">
        <v>83</v>
      </c>
      <c r="C7" s="181"/>
      <c r="D7" s="181" t="s">
        <v>113</v>
      </c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6"/>
      <c r="P7" s="6"/>
      <c r="Q7" s="6"/>
    </row>
    <row r="8" spans="1:17" ht="15" x14ac:dyDescent="0.2">
      <c r="A8" s="68" t="s">
        <v>96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4.7058319931680692E-2</v>
      </c>
      <c r="D9" s="2">
        <v>2.8125883860532431E-2</v>
      </c>
      <c r="E9" s="2">
        <v>2.8091833018124679E-2</v>
      </c>
      <c r="F9" s="2">
        <v>6.2810658246017365E-2</v>
      </c>
      <c r="G9" s="2">
        <v>1.6021173977507221E-2</v>
      </c>
      <c r="H9" s="2">
        <v>2.812967787813964E-2</v>
      </c>
      <c r="I9" s="2">
        <v>2.809229703295742E-2</v>
      </c>
      <c r="J9" s="2">
        <v>1.6050221245572961E-2</v>
      </c>
      <c r="K9" s="2">
        <v>1.5963234201919162E-2</v>
      </c>
      <c r="L9" s="2">
        <v>3.1887852811708292E-2</v>
      </c>
      <c r="M9" s="2">
        <v>4.4647835452283707E-2</v>
      </c>
      <c r="O9" s="6"/>
      <c r="P9" s="6"/>
      <c r="Q9" s="6"/>
    </row>
    <row r="10" spans="1:17" ht="15" x14ac:dyDescent="0.2">
      <c r="B10" s="72" t="s">
        <v>97</v>
      </c>
      <c r="C10" s="2">
        <v>7.3881386458980514E-2</v>
      </c>
      <c r="D10" s="2">
        <v>4.3919512855374612E-2</v>
      </c>
      <c r="E10" s="2">
        <v>4.5817759086055038E-2</v>
      </c>
      <c r="F10" s="2">
        <v>9.0798773933945712E-2</v>
      </c>
      <c r="G10" s="2">
        <v>2.133475701728945E-2</v>
      </c>
      <c r="H10" s="2">
        <v>4.5865401838911003E-2</v>
      </c>
      <c r="I10" s="2">
        <v>4.581828179283489E-2</v>
      </c>
      <c r="J10" s="2">
        <v>2.1348034547644629E-2</v>
      </c>
      <c r="K10" s="2">
        <v>2.152151144523208E-2</v>
      </c>
      <c r="L10" s="2">
        <v>5.4183114158164999E-2</v>
      </c>
      <c r="M10" s="2">
        <v>6.4775163334853267E-2</v>
      </c>
      <c r="O10" s="6"/>
      <c r="P10" s="6"/>
      <c r="Q10" s="6"/>
    </row>
    <row r="11" spans="1:17" ht="15" x14ac:dyDescent="0.2">
      <c r="B11" s="72" t="s">
        <v>98</v>
      </c>
      <c r="C11" s="2">
        <v>-2.291657628736277E-2</v>
      </c>
      <c r="D11" s="2">
        <v>-7.8432203859457039E-3</v>
      </c>
      <c r="E11" s="2">
        <v>-4.9493336929015141E-3</v>
      </c>
      <c r="F11" s="2">
        <v>-3.70822240482927E-2</v>
      </c>
      <c r="G11" s="2">
        <v>-6.1130500963819667E-3</v>
      </c>
      <c r="H11" s="2">
        <v>-4.9493995185657114E-3</v>
      </c>
      <c r="I11" s="2">
        <v>-4.9499687566275652E-3</v>
      </c>
      <c r="J11" s="2">
        <v>-6.1711770339084593E-3</v>
      </c>
      <c r="K11" s="2">
        <v>-6.1461469963009496E-3</v>
      </c>
      <c r="L11" s="2">
        <v>-7.0741831563304602E-3</v>
      </c>
      <c r="M11" s="2">
        <v>5.8396948039639573E-3</v>
      </c>
      <c r="O11" s="6"/>
      <c r="P11" s="6"/>
      <c r="Q11" s="6"/>
    </row>
    <row r="12" spans="1:17" ht="15" x14ac:dyDescent="0.2">
      <c r="B12" s="96"/>
      <c r="O12" s="6"/>
      <c r="P12" s="6"/>
      <c r="Q12" s="6"/>
    </row>
    <row r="13" spans="1:17" ht="15" x14ac:dyDescent="0.2">
      <c r="A13" s="185" t="s">
        <v>175</v>
      </c>
      <c r="C13" s="72" t="s">
        <v>85</v>
      </c>
      <c r="D13" s="72" t="s">
        <v>86</v>
      </c>
      <c r="E13" s="72" t="s">
        <v>87</v>
      </c>
      <c r="F13" s="72" t="s">
        <v>88</v>
      </c>
      <c r="G13" s="72" t="s">
        <v>89</v>
      </c>
      <c r="H13" s="72" t="s">
        <v>90</v>
      </c>
      <c r="I13" s="72" t="s">
        <v>91</v>
      </c>
      <c r="J13" s="72" t="s">
        <v>92</v>
      </c>
      <c r="K13" s="72" t="s">
        <v>93</v>
      </c>
      <c r="L13" s="72" t="s">
        <v>94</v>
      </c>
      <c r="M13" s="72" t="s">
        <v>95</v>
      </c>
      <c r="O13" s="6"/>
      <c r="P13" s="6"/>
      <c r="Q13" s="6"/>
    </row>
    <row r="14" spans="1:17" ht="15" x14ac:dyDescent="0.2">
      <c r="B14" s="72" t="s">
        <v>96</v>
      </c>
      <c r="C14" s="114">
        <v>2.9717577701867431E-2</v>
      </c>
      <c r="D14" s="114">
        <v>1.8029364579884501E-2</v>
      </c>
      <c r="E14" s="114">
        <v>1.917542412189726E-2</v>
      </c>
      <c r="F14" s="114">
        <v>3.8983074986308798E-2</v>
      </c>
      <c r="G14" s="114">
        <v>1.483143620816893E-2</v>
      </c>
      <c r="H14" s="114">
        <v>1.9214776412605591E-2</v>
      </c>
      <c r="I14" s="114">
        <v>1.9175952557885598E-2</v>
      </c>
      <c r="J14" s="114">
        <v>1.485868108763036E-2</v>
      </c>
      <c r="K14" s="114">
        <v>1.476830846923048E-2</v>
      </c>
      <c r="L14" s="114">
        <v>1.4100208639021431E-2</v>
      </c>
      <c r="M14" s="114">
        <v>2.807522073227851E-2</v>
      </c>
      <c r="O14" s="6"/>
      <c r="P14" s="6"/>
      <c r="Q14" s="6"/>
    </row>
    <row r="15" spans="1:17" ht="15" x14ac:dyDescent="0.2">
      <c r="B15" s="72" t="s">
        <v>97</v>
      </c>
      <c r="C15" s="114">
        <v>3.8477738190070221E-2</v>
      </c>
      <c r="D15" s="114">
        <v>2.3873582347573918E-2</v>
      </c>
      <c r="E15" s="114">
        <v>2.6037027109892062E-2</v>
      </c>
      <c r="F15" s="114">
        <v>4.6297295550815298E-2</v>
      </c>
      <c r="G15" s="114">
        <v>1.996246456692604E-2</v>
      </c>
      <c r="H15" s="114">
        <v>2.60730393019044E-2</v>
      </c>
      <c r="I15" s="114">
        <v>2.6037444954624268E-2</v>
      </c>
      <c r="J15" s="114">
        <v>1.997191598707004E-2</v>
      </c>
      <c r="K15" s="114">
        <v>2.0186307644148919E-2</v>
      </c>
      <c r="L15" s="114">
        <v>2.3972777904149211E-2</v>
      </c>
      <c r="M15" s="114">
        <v>3.5188639771261868E-2</v>
      </c>
      <c r="O15" s="6"/>
      <c r="P15" s="6"/>
      <c r="Q15" s="6"/>
    </row>
    <row r="16" spans="1:17" ht="15" x14ac:dyDescent="0.2">
      <c r="B16" s="72" t="s">
        <v>98</v>
      </c>
      <c r="C16" s="114">
        <v>-1.718146718146718E-2</v>
      </c>
      <c r="D16" s="114">
        <v>-1.2258284990958381E-2</v>
      </c>
      <c r="E16" s="114">
        <v>-8.9547524751678598E-3</v>
      </c>
      <c r="F16" s="114">
        <v>-3.6060715712770142E-2</v>
      </c>
      <c r="G16" s="114">
        <v>-3.8650088311977799E-3</v>
      </c>
      <c r="H16" s="114">
        <v>-8.9548504609386903E-3</v>
      </c>
      <c r="I16" s="114">
        <v>-8.9555716155945708E-3</v>
      </c>
      <c r="J16" s="114">
        <v>-3.9523846630966641E-3</v>
      </c>
      <c r="K16" s="114">
        <v>-3.9319784052900264E-3</v>
      </c>
      <c r="L16" s="114">
        <v>-3.202670496271987E-3</v>
      </c>
      <c r="M16" s="114">
        <v>-1.235566791214948E-2</v>
      </c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68" t="s">
        <v>103</v>
      </c>
      <c r="B19" t="s">
        <v>106</v>
      </c>
      <c r="O19" s="6"/>
      <c r="P19" s="6"/>
      <c r="Q19" s="6"/>
    </row>
    <row r="20" spans="1:17" x14ac:dyDescent="0.2">
      <c r="B20" t="s">
        <v>140</v>
      </c>
      <c r="H20" s="69" t="s">
        <v>107</v>
      </c>
      <c r="O20" s="6"/>
      <c r="P20" s="6"/>
      <c r="Q20" s="6"/>
    </row>
    <row r="21" spans="1:17" x14ac:dyDescent="0.2">
      <c r="B21" t="s">
        <v>141</v>
      </c>
      <c r="H21" s="69"/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68" t="s">
        <v>105</v>
      </c>
      <c r="B24" s="182" t="s">
        <v>109</v>
      </c>
      <c r="C24" s="182"/>
      <c r="D24" s="182"/>
      <c r="E24" s="182"/>
      <c r="F24" s="67" t="e">
        <f>#REF!+#REF!*'2. Past Proj &amp; Candidate Model'!R22</f>
        <v>#REF!</v>
      </c>
      <c r="G24" s="70" t="s">
        <v>110</v>
      </c>
      <c r="H24" s="2" t="e">
        <f>'2. Past Proj &amp; Candidate Model'!S22/'3. Improved Alpha Model'!F24-1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B28" s="183" t="s">
        <v>160</v>
      </c>
      <c r="C28" s="183"/>
      <c r="D28" s="183"/>
      <c r="E28" s="3">
        <f>C9</f>
        <v>4.7058319931680692E-2</v>
      </c>
      <c r="F28" t="s">
        <v>111</v>
      </c>
      <c r="G28" s="183" t="s">
        <v>112</v>
      </c>
      <c r="H28" s="183"/>
      <c r="I28" s="3" t="e">
        <f>#REF!</f>
        <v>#REF!</v>
      </c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A31" s="68" t="s">
        <v>108</v>
      </c>
      <c r="B31" t="s">
        <v>114</v>
      </c>
      <c r="O31" s="6"/>
      <c r="P31" s="6"/>
      <c r="Q31" s="6"/>
    </row>
    <row r="32" spans="1:17" x14ac:dyDescent="0.2">
      <c r="B32" t="s">
        <v>115</v>
      </c>
      <c r="O32" s="6"/>
      <c r="P32" s="6"/>
      <c r="Q32" s="6"/>
    </row>
    <row r="33" spans="2:17" customFormat="1" x14ac:dyDescent="0.2">
      <c r="B33" t="s">
        <v>116</v>
      </c>
      <c r="O33" s="6"/>
      <c r="P33" s="6"/>
      <c r="Q33" s="6"/>
    </row>
    <row r="34" spans="2:17" customFormat="1" x14ac:dyDescent="0.2">
      <c r="B34" t="s">
        <v>117</v>
      </c>
      <c r="O34" s="6"/>
      <c r="P34" s="6"/>
      <c r="Q34" s="6"/>
    </row>
    <row r="35" spans="2:17" customFormat="1" x14ac:dyDescent="0.2">
      <c r="B35" t="s">
        <v>118</v>
      </c>
      <c r="O35" s="6"/>
      <c r="P35" s="6"/>
      <c r="Q35" s="6"/>
    </row>
    <row r="36" spans="2:17" customFormat="1" x14ac:dyDescent="0.2">
      <c r="B36" t="s">
        <v>119</v>
      </c>
      <c r="O36" s="6"/>
      <c r="P36" s="6"/>
      <c r="Q36" s="6"/>
    </row>
    <row r="37" spans="2:17" customFormat="1" x14ac:dyDescent="0.2">
      <c r="B37" t="s">
        <v>120</v>
      </c>
      <c r="O37" s="6"/>
      <c r="P37" s="6"/>
      <c r="Q37" s="6"/>
    </row>
    <row r="38" spans="2:17" customFormat="1" x14ac:dyDescent="0.2">
      <c r="B38" t="s">
        <v>121</v>
      </c>
      <c r="O38" s="6"/>
      <c r="P38" s="6"/>
      <c r="Q38" s="6"/>
    </row>
    <row r="39" spans="2:17" customFormat="1" x14ac:dyDescent="0.2">
      <c r="B39" t="s">
        <v>122</v>
      </c>
      <c r="O39" s="6"/>
      <c r="P39" s="6"/>
      <c r="Q39" s="6"/>
    </row>
    <row r="40" spans="2:17" customFormat="1" x14ac:dyDescent="0.2">
      <c r="B40" t="s">
        <v>123</v>
      </c>
      <c r="O40" s="6"/>
      <c r="P40" s="6"/>
      <c r="Q40" s="6"/>
    </row>
    <row r="41" spans="2:17" customFormat="1" x14ac:dyDescent="0.2">
      <c r="O41" s="6"/>
      <c r="P41" s="6"/>
      <c r="Q41" s="6"/>
    </row>
    <row r="42" spans="2:17" customFormat="1" x14ac:dyDescent="0.2">
      <c r="O42" s="6"/>
      <c r="P42" s="6"/>
      <c r="Q42" s="6"/>
    </row>
    <row r="43" spans="2:17" customFormat="1" x14ac:dyDescent="0.2">
      <c r="O43" s="6"/>
      <c r="P43" s="6"/>
    </row>
    <row r="44" spans="2:17" customFormat="1" x14ac:dyDescent="0.2">
      <c r="O44" s="6"/>
      <c r="P44" s="6"/>
    </row>
  </sheetData>
  <mergeCells count="5">
    <mergeCell ref="D7:N7"/>
    <mergeCell ref="B7:C7"/>
    <mergeCell ref="B24:E24"/>
    <mergeCell ref="B28:D28"/>
    <mergeCell ref="G28:H28"/>
  </mergeCells>
  <conditionalFormatting sqref="C9:K9">
    <cfRule type="colorScale" priority="8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max"/>
        <color rgb="FF63BE7B"/>
        <color rgb="FFFFEF9C"/>
      </colorScale>
    </cfRule>
  </conditionalFormatting>
  <conditionalFormatting sqref="C14:K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conditionalFormatting sqref="C15:K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K27" sqref="K27"/>
    </sheetView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8" t="s">
        <v>125</v>
      </c>
      <c r="B1" t="s">
        <v>84</v>
      </c>
    </row>
    <row r="2" spans="1:25" x14ac:dyDescent="0.2">
      <c r="A2" s="68" t="s">
        <v>99</v>
      </c>
      <c r="B2" s="76" t="s">
        <v>161</v>
      </c>
      <c r="C2" s="77" t="str">
        <f>G5</f>
        <v>LR_CON_PROJ</v>
      </c>
      <c r="D2" t="s">
        <v>162</v>
      </c>
    </row>
    <row r="4" spans="1:25" x14ac:dyDescent="0.2">
      <c r="A4" s="68" t="s">
        <v>100</v>
      </c>
      <c r="B4" t="s">
        <v>124</v>
      </c>
    </row>
    <row r="5" spans="1:25" ht="15" x14ac:dyDescent="0.2">
      <c r="A5" s="68" t="s">
        <v>175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2.6745819931680691E-2</v>
      </c>
      <c r="D6" s="2">
        <v>1.8803977271298108E-2</v>
      </c>
      <c r="E6" s="2">
        <v>1.8376946946765321E-2</v>
      </c>
      <c r="F6" s="2">
        <v>3.6760326570843403E-2</v>
      </c>
      <c r="G6" s="2">
        <v>1.403196037617576E-2</v>
      </c>
      <c r="H6" s="2">
        <v>1.841645818935041E-2</v>
      </c>
      <c r="I6" s="2">
        <v>1.837748491031449E-2</v>
      </c>
      <c r="J6" s="2">
        <v>1.405529029243982E-2</v>
      </c>
      <c r="K6" s="2">
        <v>1.397501932556023E-2</v>
      </c>
      <c r="L6" s="2">
        <v>1.3175585984633011E-2</v>
      </c>
      <c r="M6" s="2">
        <v>2.553799260407618E-2</v>
      </c>
    </row>
    <row r="7" spans="1:25" ht="15" x14ac:dyDescent="0.2">
      <c r="B7" s="72" t="s">
        <v>97</v>
      </c>
      <c r="C7" s="2">
        <v>3.650318756768002E-2</v>
      </c>
      <c r="D7" s="2">
        <v>2.407053669679151E-2</v>
      </c>
      <c r="E7" s="2">
        <v>2.4953099460729131E-2</v>
      </c>
      <c r="F7" s="2">
        <v>4.423992088825851E-2</v>
      </c>
      <c r="G7" s="2">
        <v>1.9061060014646379E-2</v>
      </c>
      <c r="H7" s="2">
        <v>2.4988755698860401E-2</v>
      </c>
      <c r="I7" s="2">
        <v>2.4953519828339349E-2</v>
      </c>
      <c r="J7" s="2">
        <v>1.9069542160485571E-2</v>
      </c>
      <c r="K7" s="2">
        <v>1.9272016170464881E-2</v>
      </c>
      <c r="L7" s="2">
        <v>2.2794314787145709E-2</v>
      </c>
      <c r="M7" s="2">
        <v>3.3393815598455397E-2</v>
      </c>
    </row>
    <row r="8" spans="1:25" ht="15" x14ac:dyDescent="0.2">
      <c r="B8" s="72" t="s">
        <v>98</v>
      </c>
      <c r="C8" s="2">
        <v>-1.354941127668402E-2</v>
      </c>
      <c r="D8" s="2">
        <v>-1.241765404110301E-2</v>
      </c>
      <c r="E8" s="2">
        <v>-1.007270242287284E-2</v>
      </c>
      <c r="F8" s="2">
        <v>-3.3130318757024768E-2</v>
      </c>
      <c r="G8" s="2">
        <v>-2.4427093200859451E-3</v>
      </c>
      <c r="H8" s="2">
        <v>-1.009322232049625E-2</v>
      </c>
      <c r="I8" s="2">
        <v>-1.0073423848884541E-2</v>
      </c>
      <c r="J8" s="2">
        <v>-2.5455419678890312E-3</v>
      </c>
      <c r="K8" s="2">
        <v>-2.4766720827974491E-3</v>
      </c>
      <c r="L8" s="2">
        <v>-2.6014932095795862E-3</v>
      </c>
      <c r="M8" s="2">
        <v>-7.3297227585963354E-3</v>
      </c>
    </row>
    <row r="10" spans="1:25" ht="15" x14ac:dyDescent="0.2">
      <c r="A10" s="68" t="s">
        <v>101</v>
      </c>
      <c r="B10" s="73" t="s">
        <v>163</v>
      </c>
    </row>
    <row r="12" spans="1:25" x14ac:dyDescent="0.2">
      <c r="A12" s="68" t="s">
        <v>102</v>
      </c>
      <c r="B12" t="s">
        <v>139</v>
      </c>
    </row>
    <row r="13" spans="1:25" ht="15" x14ac:dyDescent="0.2">
      <c r="B13" s="72" t="s">
        <v>126</v>
      </c>
      <c r="C13" s="72" t="s">
        <v>127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128</v>
      </c>
      <c r="P13" s="72" t="s">
        <v>129</v>
      </c>
      <c r="Q13" s="72" t="s">
        <v>130</v>
      </c>
      <c r="R13" s="72" t="s">
        <v>131</v>
      </c>
      <c r="S13" s="72" t="s">
        <v>132</v>
      </c>
      <c r="T13" s="72" t="s">
        <v>133</v>
      </c>
      <c r="U13" s="72" t="s">
        <v>134</v>
      </c>
      <c r="V13" s="72" t="s">
        <v>135</v>
      </c>
      <c r="W13" s="72" t="s">
        <v>136</v>
      </c>
      <c r="X13" s="72" t="s">
        <v>137</v>
      </c>
      <c r="Y13" s="72" t="s">
        <v>138</v>
      </c>
    </row>
    <row r="14" spans="1:25" x14ac:dyDescent="0.2">
      <c r="B14" t="s">
        <v>170</v>
      </c>
      <c r="C14">
        <v>421</v>
      </c>
      <c r="D14">
        <v>426.1</v>
      </c>
      <c r="E14">
        <v>435.54111039999998</v>
      </c>
    </row>
    <row r="15" spans="1:25" x14ac:dyDescent="0.2">
      <c r="B15" t="s">
        <v>171</v>
      </c>
      <c r="C15">
        <v>410</v>
      </c>
      <c r="D15">
        <v>448.7</v>
      </c>
      <c r="E15">
        <v>407.11598739999999</v>
      </c>
    </row>
    <row r="16" spans="1:25" x14ac:dyDescent="0.2">
      <c r="B16" t="s">
        <v>168</v>
      </c>
      <c r="C16">
        <v>450</v>
      </c>
      <c r="D16">
        <v>474.8</v>
      </c>
      <c r="E16">
        <v>445.39557619999999</v>
      </c>
    </row>
    <row r="17" spans="2:25" x14ac:dyDescent="0.2">
      <c r="B17" t="s">
        <v>42</v>
      </c>
      <c r="C17">
        <v>428</v>
      </c>
      <c r="D17">
        <v>461.1</v>
      </c>
      <c r="E17">
        <v>410.891953</v>
      </c>
    </row>
    <row r="18" spans="2:25" x14ac:dyDescent="0.2">
      <c r="B18" t="s">
        <v>43</v>
      </c>
      <c r="C18">
        <v>458</v>
      </c>
      <c r="D18">
        <v>438.7</v>
      </c>
      <c r="E18">
        <v>456.12679100000003</v>
      </c>
    </row>
    <row r="19" spans="2:25" x14ac:dyDescent="0.2">
      <c r="B19" t="s">
        <v>44</v>
      </c>
      <c r="C19">
        <v>461</v>
      </c>
      <c r="D19">
        <v>449.2</v>
      </c>
      <c r="E19">
        <v>463.71848999999997</v>
      </c>
    </row>
    <row r="20" spans="2:25" x14ac:dyDescent="0.2">
      <c r="B20" t="s">
        <v>45</v>
      </c>
      <c r="C20">
        <v>498</v>
      </c>
      <c r="D20">
        <v>494.8</v>
      </c>
      <c r="E20">
        <v>506.90724419999998</v>
      </c>
    </row>
    <row r="21" spans="2:25" x14ac:dyDescent="0.2">
      <c r="B21" t="s">
        <v>46</v>
      </c>
      <c r="C21">
        <v>484</v>
      </c>
      <c r="D21">
        <v>479.2</v>
      </c>
      <c r="E21">
        <v>486.05296900000002</v>
      </c>
      <c r="F21">
        <v>479.66589980201883</v>
      </c>
      <c r="G21">
        <v>466.12197869983328</v>
      </c>
      <c r="H21">
        <v>482.12933572570029</v>
      </c>
      <c r="I21">
        <v>479.66585237690572</v>
      </c>
      <c r="J21">
        <v>479.66550333805219</v>
      </c>
      <c r="K21">
        <v>482.0870458230612</v>
      </c>
      <c r="L21">
        <v>482.09692245183959</v>
      </c>
      <c r="M21">
        <v>479.5386399602844</v>
      </c>
      <c r="N21">
        <v>488.49964473561698</v>
      </c>
      <c r="O21" s="2">
        <v>-9.91735537190086E-3</v>
      </c>
      <c r="P21" s="2">
        <v>4.241671487603238E-3</v>
      </c>
      <c r="Q21" s="2">
        <v>-8.9547524751678598E-3</v>
      </c>
      <c r="R21" s="2">
        <v>-3.6938060537534463E-2</v>
      </c>
      <c r="S21" s="2">
        <v>-3.8650088311977799E-3</v>
      </c>
      <c r="T21" s="2">
        <v>-8.9548504609386903E-3</v>
      </c>
      <c r="U21" s="2">
        <v>-8.9555716155945708E-3</v>
      </c>
      <c r="V21" s="2">
        <v>-3.9523846630966641E-3</v>
      </c>
      <c r="W21" s="2">
        <v>-3.9319784052900264E-3</v>
      </c>
      <c r="X21" s="2">
        <v>-9.2176860324701959E-3</v>
      </c>
      <c r="Y21" s="2">
        <v>9.2967866438369295E-3</v>
      </c>
    </row>
    <row r="22" spans="2:25" x14ac:dyDescent="0.2">
      <c r="B22" t="s">
        <v>47</v>
      </c>
      <c r="C22">
        <v>518</v>
      </c>
      <c r="D22">
        <v>509.1</v>
      </c>
      <c r="E22">
        <v>521.52443400000004</v>
      </c>
      <c r="F22">
        <v>511.16649359985712</v>
      </c>
      <c r="G22">
        <v>498.71673124441162</v>
      </c>
      <c r="H22">
        <v>517.47142771895142</v>
      </c>
      <c r="I22">
        <v>511.09485588082379</v>
      </c>
      <c r="J22">
        <v>511.16582204312579</v>
      </c>
      <c r="K22">
        <v>517.41015377675103</v>
      </c>
      <c r="L22">
        <v>517.47093253616208</v>
      </c>
      <c r="M22">
        <v>515.16424851562181</v>
      </c>
      <c r="N22">
        <v>496.06116408400698</v>
      </c>
      <c r="O22" s="2">
        <v>-1.718146718146718E-2</v>
      </c>
      <c r="P22" s="2">
        <v>6.8039266409267718E-3</v>
      </c>
      <c r="Q22" s="2">
        <v>-1.31920972975732E-2</v>
      </c>
      <c r="R22" s="2">
        <v>-3.7226387559050937E-2</v>
      </c>
      <c r="S22" s="2">
        <v>-1.02040980897411E-3</v>
      </c>
      <c r="T22" s="2">
        <v>-1.333039405246372E-2</v>
      </c>
      <c r="U22" s="2">
        <v>-1.31933937391393E-2</v>
      </c>
      <c r="V22" s="2">
        <v>-1.138699272681398E-3</v>
      </c>
      <c r="W22" s="2">
        <v>-1.0213657603048709E-3</v>
      </c>
      <c r="X22" s="2">
        <v>-5.4744237150158304E-3</v>
      </c>
      <c r="Y22" s="2">
        <v>-4.2352965088789503E-2</v>
      </c>
    </row>
    <row r="23" spans="2:25" x14ac:dyDescent="0.2">
      <c r="B23" t="s">
        <v>48</v>
      </c>
      <c r="C23">
        <v>534</v>
      </c>
      <c r="D23">
        <v>518.70000000000005</v>
      </c>
      <c r="E23">
        <v>504.96557619999999</v>
      </c>
      <c r="F23">
        <v>499.29420683001399</v>
      </c>
      <c r="G23">
        <v>517.87324175811682</v>
      </c>
      <c r="H23">
        <v>508.05745763247239</v>
      </c>
      <c r="I23">
        <v>499.26229371517508</v>
      </c>
      <c r="J23">
        <v>499.29388308339611</v>
      </c>
      <c r="K23">
        <v>508.04148994299749</v>
      </c>
      <c r="L23">
        <v>507.20976569729157</v>
      </c>
      <c r="M23">
        <v>499.79572451413071</v>
      </c>
      <c r="N23">
        <v>501.31264765831929</v>
      </c>
      <c r="O23" s="2">
        <v>-2.8651685393258349E-2</v>
      </c>
      <c r="P23" s="2">
        <v>-5.4371580149812797E-2</v>
      </c>
      <c r="Q23" s="2">
        <v>-6.4992122041172218E-2</v>
      </c>
      <c r="R23" s="2">
        <v>-3.0199921801279391E-2</v>
      </c>
      <c r="S23" s="2">
        <v>-4.8581540014096647E-2</v>
      </c>
      <c r="T23" s="2">
        <v>-6.5051884428510953E-2</v>
      </c>
      <c r="U23" s="2">
        <v>-6.4992728308247094E-2</v>
      </c>
      <c r="V23" s="2">
        <v>-4.8611442054311671E-2</v>
      </c>
      <c r="W23" s="2">
        <v>-5.0168978094959571E-2</v>
      </c>
      <c r="X23" s="2">
        <v>-6.4052950348069904E-2</v>
      </c>
      <c r="Y23" s="2">
        <v>-6.1212270302772882E-2</v>
      </c>
    </row>
    <row r="24" spans="2:25" x14ac:dyDescent="0.2">
      <c r="B24" t="s">
        <v>49</v>
      </c>
      <c r="C24">
        <v>548</v>
      </c>
      <c r="D24">
        <v>561</v>
      </c>
      <c r="E24">
        <v>534.3168306</v>
      </c>
      <c r="F24">
        <v>535.75029119032979</v>
      </c>
      <c r="G24">
        <v>574.20903371186455</v>
      </c>
      <c r="H24">
        <v>558.79918676396267</v>
      </c>
      <c r="I24">
        <v>535.70269720659394</v>
      </c>
      <c r="J24">
        <v>535.74980798715455</v>
      </c>
      <c r="K24">
        <v>558.75803726082563</v>
      </c>
      <c r="L24">
        <v>557.72316661505647</v>
      </c>
      <c r="M24">
        <v>543.24667945649048</v>
      </c>
      <c r="N24">
        <v>519.23093035654529</v>
      </c>
      <c r="O24" s="2">
        <v>2.3722627737226221E-2</v>
      </c>
      <c r="P24" s="2">
        <v>-2.496928722627734E-2</v>
      </c>
      <c r="Q24" s="2">
        <v>-2.2353483229325181E-2</v>
      </c>
      <c r="R24" s="2">
        <v>4.7826703853767423E-2</v>
      </c>
      <c r="S24" s="2">
        <v>1.9706545189712928E-2</v>
      </c>
      <c r="T24" s="2">
        <v>-2.2440333564609619E-2</v>
      </c>
      <c r="U24" s="2">
        <v>-2.2354364986944208E-2</v>
      </c>
      <c r="V24" s="2">
        <v>1.9631454855521199E-2</v>
      </c>
      <c r="W24" s="2">
        <v>1.7743004772000859E-2</v>
      </c>
      <c r="X24" s="2">
        <v>-8.6739425976450901E-3</v>
      </c>
      <c r="Y24" s="2">
        <v>-5.2498302269077923E-2</v>
      </c>
    </row>
    <row r="25" spans="2:25" x14ac:dyDescent="0.2">
      <c r="B25" t="s">
        <v>50</v>
      </c>
      <c r="C25">
        <v>493</v>
      </c>
      <c r="D25">
        <v>495.2</v>
      </c>
      <c r="E25">
        <v>491.30991920000002</v>
      </c>
      <c r="F25">
        <v>495.29802598845521</v>
      </c>
      <c r="G25">
        <v>491.40774326250278</v>
      </c>
      <c r="H25">
        <v>495.6783979831913</v>
      </c>
      <c r="I25">
        <v>495.28670570395087</v>
      </c>
      <c r="J25">
        <v>495.29790463889282</v>
      </c>
      <c r="K25">
        <v>495.67065776350131</v>
      </c>
      <c r="L25">
        <v>495.55289421409952</v>
      </c>
      <c r="M25">
        <v>492.01384425001658</v>
      </c>
      <c r="N25">
        <v>494.1746232612968</v>
      </c>
      <c r="O25" s="2">
        <v>4.4624746450303574E-3</v>
      </c>
      <c r="P25" s="2">
        <v>-3.4281557809330292E-3</v>
      </c>
      <c r="Q25" s="2">
        <v>4.6613103214101503E-3</v>
      </c>
      <c r="R25" s="2">
        <v>-3.229729690663707E-3</v>
      </c>
      <c r="S25" s="2">
        <v>5.4328559496781281E-3</v>
      </c>
      <c r="T25" s="2">
        <v>4.6383482838761037E-3</v>
      </c>
      <c r="U25" s="2">
        <v>4.6610641762530047E-3</v>
      </c>
      <c r="V25" s="2">
        <v>5.4171557068991572E-3</v>
      </c>
      <c r="W25" s="2">
        <v>5.178284409938172E-3</v>
      </c>
      <c r="X25" s="2">
        <v>-2.0003159228871858E-3</v>
      </c>
      <c r="Y25" s="2">
        <v>2.3826029640909852E-3</v>
      </c>
    </row>
    <row r="26" spans="2:25" x14ac:dyDescent="0.2">
      <c r="B26" t="s">
        <v>52</v>
      </c>
      <c r="C26">
        <v>521</v>
      </c>
      <c r="D26">
        <v>473.3</v>
      </c>
      <c r="E26">
        <v>526.96966659999998</v>
      </c>
      <c r="F26">
        <v>531.62953394374063</v>
      </c>
      <c r="G26">
        <v>468.48913470148472</v>
      </c>
      <c r="H26">
        <v>512.71215636447937</v>
      </c>
      <c r="I26">
        <v>531.6006848433492</v>
      </c>
      <c r="J26">
        <v>531.62919583252938</v>
      </c>
      <c r="K26">
        <v>512.67709753920008</v>
      </c>
      <c r="L26">
        <v>512.71424197912609</v>
      </c>
      <c r="M26">
        <v>536.07139523414344</v>
      </c>
      <c r="N26">
        <v>535.13791402693914</v>
      </c>
      <c r="O26" s="2">
        <v>-9.1554702495201479E-2</v>
      </c>
      <c r="P26" s="2">
        <v>1.1458093282149751E-2</v>
      </c>
      <c r="Q26" s="2">
        <v>2.0402176475509789E-2</v>
      </c>
      <c r="R26" s="2">
        <v>-0.1007886090182636</v>
      </c>
      <c r="S26" s="2">
        <v>-1.590756935800508E-2</v>
      </c>
      <c r="T26" s="2">
        <v>2.0346803921975409E-2</v>
      </c>
      <c r="U26" s="2">
        <v>2.0401527509653409E-2</v>
      </c>
      <c r="V26" s="2">
        <v>-1.5974860769289671E-2</v>
      </c>
      <c r="W26" s="2">
        <v>-1.590356625887512E-2</v>
      </c>
      <c r="X26" s="2">
        <v>2.8927821946532539E-2</v>
      </c>
      <c r="Y26" s="2">
        <v>2.713611137608285E-2</v>
      </c>
    </row>
    <row r="27" spans="2:25" x14ac:dyDescent="0.2">
      <c r="B27" t="s">
        <v>53</v>
      </c>
      <c r="C27">
        <v>553</v>
      </c>
      <c r="D27">
        <v>561.9</v>
      </c>
      <c r="E27">
        <v>546.22116840000001</v>
      </c>
      <c r="F27">
        <v>548.85998482644732</v>
      </c>
      <c r="G27">
        <v>564.30508728033294</v>
      </c>
      <c r="H27">
        <v>561.85824875766093</v>
      </c>
      <c r="I27">
        <v>548.82860473285268</v>
      </c>
      <c r="J27">
        <v>548.85957680562467</v>
      </c>
      <c r="K27">
        <v>561.842172752328</v>
      </c>
      <c r="L27">
        <v>561.85754042040207</v>
      </c>
      <c r="M27">
        <v>555.93741802397744</v>
      </c>
      <c r="N27">
        <v>546.16731564458132</v>
      </c>
      <c r="O27" s="2">
        <v>1.6094032549728739E-2</v>
      </c>
      <c r="P27" s="2">
        <v>-1.2258284990958381E-2</v>
      </c>
      <c r="Q27" s="2">
        <v>-7.4864650516323072E-3</v>
      </c>
      <c r="R27" s="2">
        <v>2.0443195805303741E-2</v>
      </c>
      <c r="S27" s="2">
        <v>1.6018533015661699E-2</v>
      </c>
      <c r="T27" s="2">
        <v>-7.5432102480059724E-3</v>
      </c>
      <c r="U27" s="2">
        <v>-7.4872028831379778E-3</v>
      </c>
      <c r="V27" s="2">
        <v>1.598946248160571E-2</v>
      </c>
      <c r="W27" s="2">
        <v>1.6017252116459438E-2</v>
      </c>
      <c r="X27" s="2">
        <v>5.3117866618037626E-3</v>
      </c>
      <c r="Y27" s="2">
        <v>-1.235566791214948E-2</v>
      </c>
    </row>
    <row r="28" spans="2:25" x14ac:dyDescent="0.2">
      <c r="B28" t="s">
        <v>54</v>
      </c>
      <c r="C28">
        <v>537</v>
      </c>
      <c r="D28">
        <v>517.70000000000005</v>
      </c>
      <c r="E28">
        <v>530.24613859999999</v>
      </c>
      <c r="F28">
        <v>533.65195841343336</v>
      </c>
      <c r="G28">
        <v>516.52185356769564</v>
      </c>
      <c r="H28">
        <v>532.51391430234855</v>
      </c>
      <c r="I28">
        <v>533.63352081948278</v>
      </c>
      <c r="J28">
        <v>533.65170281455107</v>
      </c>
      <c r="K28">
        <v>532.49858511422246</v>
      </c>
      <c r="L28">
        <v>532.51415421530987</v>
      </c>
      <c r="M28">
        <v>535.28016594350197</v>
      </c>
      <c r="N28">
        <v>535.76287142609181</v>
      </c>
      <c r="O28" s="2">
        <v>-3.5940409683426378E-2</v>
      </c>
      <c r="P28" s="2">
        <v>-1.2577023091247639E-2</v>
      </c>
      <c r="Q28" s="2">
        <v>-6.2347143139043224E-3</v>
      </c>
      <c r="R28" s="2">
        <v>-3.8134350898145868E-2</v>
      </c>
      <c r="S28" s="2">
        <v>-8.3539770905985966E-3</v>
      </c>
      <c r="T28" s="2">
        <v>-6.2690487532909289E-3</v>
      </c>
      <c r="U28" s="2">
        <v>-6.2351902894766109E-3</v>
      </c>
      <c r="V28" s="2">
        <v>-8.3825230647626148E-3</v>
      </c>
      <c r="W28" s="2">
        <v>-8.3535303253075011E-3</v>
      </c>
      <c r="X28" s="2">
        <v>-3.202670496271987E-3</v>
      </c>
      <c r="Y28" s="2">
        <v>-2.3037776050431891E-3</v>
      </c>
    </row>
    <row r="29" spans="2:25" x14ac:dyDescent="0.2">
      <c r="B29" t="s">
        <v>55</v>
      </c>
      <c r="C29">
        <v>601</v>
      </c>
      <c r="D29">
        <v>577</v>
      </c>
      <c r="E29">
        <v>581.6740886</v>
      </c>
      <c r="F29">
        <v>586.3946807692804</v>
      </c>
      <c r="G29">
        <v>579.32750985662517</v>
      </c>
      <c r="H29">
        <v>592.22751154402715</v>
      </c>
      <c r="I29">
        <v>586.36077348613287</v>
      </c>
      <c r="J29">
        <v>586.39417976297295</v>
      </c>
      <c r="K29">
        <v>592.20728170077643</v>
      </c>
      <c r="L29">
        <v>592.2273135359568</v>
      </c>
      <c r="M29">
        <v>601.02420829832829</v>
      </c>
      <c r="N29">
        <v>575.0737600403736</v>
      </c>
      <c r="O29" s="2">
        <v>-3.9933444259567352E-2</v>
      </c>
      <c r="P29" s="2">
        <v>-3.2156258569051577E-2</v>
      </c>
      <c r="Q29" s="2">
        <v>-2.4301695891380311E-2</v>
      </c>
      <c r="R29" s="2">
        <v>-3.6060715712770142E-2</v>
      </c>
      <c r="S29" s="2">
        <v>-1.4596486615595429E-2</v>
      </c>
      <c r="T29" s="2">
        <v>-2.4358113999778941E-2</v>
      </c>
      <c r="U29" s="2">
        <v>-2.430252951252421E-2</v>
      </c>
      <c r="V29" s="2">
        <v>-1.4630146920505131E-2</v>
      </c>
      <c r="W29" s="2">
        <v>-1.459681607993879E-2</v>
      </c>
      <c r="X29" s="2">
        <v>4.0280030496386843E-5</v>
      </c>
      <c r="Y29" s="2">
        <v>-4.3138502428662913E-2</v>
      </c>
    </row>
    <row r="30" spans="2:25" x14ac:dyDescent="0.2">
      <c r="B30" t="s">
        <v>71</v>
      </c>
      <c r="C30">
        <v>593.70000000000005</v>
      </c>
      <c r="D30">
        <v>593.70000000000005</v>
      </c>
      <c r="E30">
        <v>578.39709070000004</v>
      </c>
      <c r="F30">
        <v>587.05610968758799</v>
      </c>
      <c r="G30">
        <v>603.64779427675353</v>
      </c>
      <c r="H30">
        <v>597.75893566224647</v>
      </c>
      <c r="I30">
        <v>587.03180253530206</v>
      </c>
      <c r="J30">
        <v>587.05573939001306</v>
      </c>
      <c r="K30">
        <v>597.75186781067998</v>
      </c>
      <c r="L30">
        <v>597.75818709221187</v>
      </c>
      <c r="M30">
        <v>596.58180916988294</v>
      </c>
      <c r="N30">
        <v>595.30473515161657</v>
      </c>
      <c r="O30" s="2">
        <v>0</v>
      </c>
      <c r="P30" s="2">
        <v>-2.5775491494020589E-2</v>
      </c>
      <c r="Q30" s="2">
        <v>-1.119065237057781E-2</v>
      </c>
      <c r="R30" s="2">
        <v>1.6755590831654791E-2</v>
      </c>
      <c r="S30" s="2">
        <v>6.8366778882371637E-3</v>
      </c>
      <c r="T30" s="2">
        <v>-1.123159418005382E-2</v>
      </c>
      <c r="U30" s="2">
        <v>-1.1191276082174521E-2</v>
      </c>
      <c r="V30" s="2">
        <v>6.8247731357249366E-3</v>
      </c>
      <c r="W30" s="2">
        <v>6.8354170325279906E-3</v>
      </c>
      <c r="X30" s="2">
        <v>4.8539820951372104E-3</v>
      </c>
      <c r="Y30" s="2">
        <v>2.7029394502551258E-3</v>
      </c>
    </row>
    <row r="31" spans="2:25" x14ac:dyDescent="0.2">
      <c r="E31" s="116" t="s">
        <v>149</v>
      </c>
      <c r="F31" s="116"/>
      <c r="G31" s="116"/>
      <c r="H31">
        <f>$H$30/(1+S31)</f>
        <v>601.17676299982418</v>
      </c>
      <c r="O31" s="115" t="s">
        <v>142</v>
      </c>
      <c r="P31" s="115"/>
      <c r="Q31" s="115"/>
      <c r="R31" s="115"/>
      <c r="S31" s="3">
        <f>AVERAGE(S21:S29)</f>
        <v>-5.68522861815721E-3</v>
      </c>
    </row>
    <row r="32" spans="2:25" x14ac:dyDescent="0.2">
      <c r="E32" s="97" t="s">
        <v>150</v>
      </c>
      <c r="F32" s="97"/>
      <c r="G32" s="97"/>
      <c r="H32">
        <f>$H$30/(1+S32)</f>
        <v>600.07824337228999</v>
      </c>
      <c r="I32" s="3"/>
      <c r="O32" s="97" t="s">
        <v>144</v>
      </c>
      <c r="P32" s="97"/>
      <c r="Q32" s="97"/>
      <c r="R32" s="97"/>
      <c r="S32" s="1">
        <f>MEDIAN(S21:S29)</f>
        <v>-3.8650088311977799E-3</v>
      </c>
    </row>
    <row r="33" spans="1:19" x14ac:dyDescent="0.2">
      <c r="E33" s="98" t="s">
        <v>151</v>
      </c>
      <c r="F33" s="98"/>
      <c r="G33" s="98"/>
      <c r="H33">
        <f>$H$30/(1+S33)</f>
        <v>607.10069679624473</v>
      </c>
      <c r="O33" s="98" t="s">
        <v>143</v>
      </c>
      <c r="P33" s="98"/>
      <c r="Q33" s="98"/>
      <c r="R33" s="98"/>
      <c r="S33" s="1">
        <f>AVERAGE(S21:S23,S26,S28:S29)</f>
        <v>-1.5387498619744608E-2</v>
      </c>
    </row>
    <row r="34" spans="1:19" x14ac:dyDescent="0.2">
      <c r="E34" s="99" t="s">
        <v>152</v>
      </c>
      <c r="F34" s="99"/>
      <c r="G34" s="99"/>
      <c r="H34">
        <f>$H$30/(1+S34)</f>
        <v>604.69798524402233</v>
      </c>
      <c r="O34" s="99" t="s">
        <v>145</v>
      </c>
      <c r="P34" s="99"/>
      <c r="Q34" s="99"/>
      <c r="R34" s="99"/>
      <c r="S34" s="1">
        <f>MEDIAN(S21:S23,S26,S28:S29)</f>
        <v>-1.1475231853097012E-2</v>
      </c>
    </row>
    <row r="35" spans="1:19" x14ac:dyDescent="0.2">
      <c r="E35" s="100" t="s">
        <v>153</v>
      </c>
      <c r="F35" s="100"/>
      <c r="G35" s="100"/>
      <c r="H35">
        <f>$H$30/(1+S35)</f>
        <v>589.66908191335961</v>
      </c>
      <c r="I35" s="104"/>
      <c r="O35" s="100" t="s">
        <v>146</v>
      </c>
      <c r="P35" s="100"/>
      <c r="Q35" s="100"/>
      <c r="R35" s="100"/>
      <c r="S35" s="1">
        <f>AVERAGE(S24:S25,S27)</f>
        <v>1.3719311385017585E-2</v>
      </c>
    </row>
    <row r="36" spans="1:19" x14ac:dyDescent="0.2">
      <c r="E36" s="101" t="s">
        <v>154</v>
      </c>
      <c r="F36" s="101"/>
      <c r="G36" s="101"/>
      <c r="H36">
        <f>$H$30/(1+S36)</f>
        <v>588.33467721108207</v>
      </c>
      <c r="O36" s="101" t="s">
        <v>147</v>
      </c>
      <c r="P36" s="101"/>
      <c r="Q36" s="101"/>
      <c r="R36" s="101"/>
      <c r="S36" s="1">
        <f>MEDIAN(S24:S25,S27)</f>
        <v>1.6018533015661699E-2</v>
      </c>
    </row>
    <row r="38" spans="1:19" x14ac:dyDescent="0.2">
      <c r="A38" s="68" t="s">
        <v>103</v>
      </c>
      <c r="B38" t="s">
        <v>155</v>
      </c>
    </row>
    <row r="39" spans="1:19" x14ac:dyDescent="0.2">
      <c r="B39" t="s">
        <v>156</v>
      </c>
    </row>
    <row r="45" spans="1:19" x14ac:dyDescent="0.2">
      <c r="A45" s="68" t="s">
        <v>105</v>
      </c>
      <c r="B45" s="78" t="s">
        <v>157</v>
      </c>
      <c r="C45" s="79">
        <f>'1. Data &amp; Confidence Interval'!O4</f>
        <v>590.36105492402726</v>
      </c>
      <c r="D45" t="s">
        <v>169</v>
      </c>
    </row>
    <row r="47" spans="1:19" x14ac:dyDescent="0.2">
      <c r="B47" s="184" t="s">
        <v>165</v>
      </c>
      <c r="C47" s="184"/>
      <c r="D47" s="2">
        <f>C45/D30-1</f>
        <v>-5.6239600403785728E-3</v>
      </c>
    </row>
    <row r="48" spans="1:19" x14ac:dyDescent="0.2">
      <c r="B48" s="172" t="s">
        <v>164</v>
      </c>
      <c r="C48" s="172"/>
      <c r="D48" s="2">
        <f>'1. Data &amp; Confidence Interval'!N25</f>
        <v>-2.3172905525846721E-2</v>
      </c>
    </row>
  </sheetData>
  <mergeCells count="2">
    <mergeCell ref="B48:C48"/>
    <mergeCell ref="B47:C47"/>
  </mergeCells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32:S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1:S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2021-10-21T17:11:42Z</dcterms:modified>
</cp:coreProperties>
</file>