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BSX\"/>
    </mc:Choice>
  </mc:AlternateContent>
  <xr:revisionPtr revIDLastSave="0" documentId="13_ncr:1_{DB3D8030-96E6-4167-8C4F-66CF0A1FBDBD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P36" i="4"/>
  <c r="P35" i="4"/>
  <c r="P34" i="4"/>
  <c r="P33" i="4"/>
  <c r="P32" i="4"/>
  <c r="P31" i="4"/>
  <c r="P15" i="4"/>
  <c r="P16" i="4"/>
  <c r="P17" i="4"/>
  <c r="P18" i="4"/>
  <c r="P19" i="4"/>
  <c r="P20" i="4"/>
  <c r="P14" i="4"/>
  <c r="E34" i="4" l="1"/>
  <c r="E32" i="4"/>
  <c r="E31" i="4"/>
  <c r="E35" i="4"/>
  <c r="E33" i="4"/>
  <c r="F33" i="4" l="1"/>
  <c r="J20" i="2"/>
  <c r="C2" i="4"/>
  <c r="E36" i="4"/>
  <c r="R23" i="2"/>
  <c r="M23" i="2"/>
  <c r="L23" i="2"/>
  <c r="K23" i="2"/>
  <c r="Q23" i="2" s="1"/>
  <c r="N23" i="2"/>
  <c r="O23" i="2"/>
  <c r="J23" i="2"/>
  <c r="P23" i="2" s="1"/>
  <c r="N25" i="1"/>
  <c r="K25" i="1"/>
  <c r="N24" i="1"/>
  <c r="K24" i="1"/>
  <c r="AK25" i="1"/>
  <c r="AK23" i="1"/>
  <c r="AK22" i="1"/>
  <c r="AK21" i="1"/>
  <c r="AK20" i="1"/>
  <c r="AK26" i="1"/>
  <c r="AJ10" i="1"/>
  <c r="J10" i="1"/>
  <c r="D47" i="4" l="1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F13" i="1"/>
  <c r="G13" i="1"/>
  <c r="H13" i="1"/>
  <c r="I13" i="1"/>
  <c r="F17" i="1"/>
  <c r="E17" i="1"/>
  <c r="D17" i="1"/>
  <c r="C17" i="1"/>
  <c r="B17" i="1"/>
  <c r="E18" i="1"/>
  <c r="D18" i="1"/>
  <c r="C18" i="1"/>
  <c r="B18" i="1"/>
  <c r="F18" i="1"/>
  <c r="K22" i="1"/>
  <c r="K20" i="1"/>
  <c r="J39" i="2" l="1"/>
  <c r="J42" i="2"/>
  <c r="H18" i="1"/>
  <c r="G18" i="1"/>
  <c r="L22" i="1"/>
  <c r="M22" i="1"/>
  <c r="N22" i="1"/>
  <c r="O22" i="1"/>
  <c r="P22" i="1"/>
  <c r="L20" i="1"/>
  <c r="M20" i="1"/>
  <c r="N20" i="1"/>
  <c r="N21" i="1" s="1"/>
  <c r="O20" i="1"/>
  <c r="O21" i="1" s="1"/>
  <c r="P20" i="1"/>
  <c r="J41" i="2"/>
  <c r="J40" i="2"/>
  <c r="G40" i="2"/>
  <c r="R24" i="2"/>
  <c r="Q22" i="1"/>
  <c r="R22" i="1"/>
  <c r="Q20" i="1"/>
  <c r="R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J18" i="1"/>
  <c r="AK18" i="1"/>
  <c r="J17" i="1"/>
  <c r="I17" i="1"/>
  <c r="H17" i="1"/>
  <c r="G17" i="1"/>
  <c r="R17" i="1"/>
  <c r="Q17" i="1"/>
  <c r="P17" i="1"/>
  <c r="O17" i="1"/>
  <c r="M18" i="1"/>
  <c r="L18" i="1"/>
  <c r="J18" i="1"/>
  <c r="I18" i="1"/>
  <c r="S20" i="1"/>
  <c r="S22" i="1"/>
  <c r="R21" i="1" l="1"/>
  <c r="O23" i="1"/>
  <c r="N23" i="1"/>
  <c r="P21" i="1"/>
  <c r="S21" i="1"/>
  <c r="S23" i="1"/>
  <c r="Q23" i="1"/>
  <c r="P23" i="1"/>
  <c r="Q21" i="1"/>
  <c r="R23" i="1"/>
  <c r="J24" i="2"/>
  <c r="A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J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J17" i="1"/>
  <c r="AK24" i="1" s="1"/>
  <c r="AI17" i="1"/>
  <c r="AH17" i="1"/>
  <c r="AG17" i="1"/>
  <c r="AF17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3" i="3"/>
  <c r="E23" i="3"/>
  <c r="AE17" i="1"/>
  <c r="AD17" i="1"/>
  <c r="AC17" i="1"/>
  <c r="AB17" i="1"/>
  <c r="C7" i="1" l="1"/>
  <c r="U21" i="1"/>
  <c r="T21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19" i="3"/>
  <c r="D48" i="4" l="1"/>
  <c r="U23" i="1"/>
  <c r="T23" i="1"/>
  <c r="B7" i="1"/>
  <c r="V21" i="1"/>
  <c r="R44" i="2"/>
  <c r="R43" i="2"/>
  <c r="R42" i="2"/>
  <c r="R41" i="2"/>
  <c r="R39" i="2"/>
  <c r="R38" i="2"/>
  <c r="R37" i="2"/>
  <c r="R36" i="2"/>
  <c r="R35" i="2"/>
  <c r="R34" i="2"/>
  <c r="R33" i="2"/>
  <c r="R32" i="2"/>
  <c r="M2" i="1" l="1"/>
  <c r="N2" i="1"/>
  <c r="N3" i="1"/>
  <c r="M3" i="1"/>
  <c r="H19" i="3"/>
  <c r="O2" i="1" l="1"/>
  <c r="P2" i="1" s="1"/>
  <c r="O3" i="1"/>
  <c r="P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R45" i="2" a="1"/>
  <c r="R45" i="2" s="1"/>
  <c r="AH21" i="1"/>
  <c r="W21" i="1"/>
  <c r="AI21" i="1"/>
  <c r="AE21" i="1"/>
  <c r="AI23" i="1"/>
  <c r="X21" i="1"/>
  <c r="Y21" i="1"/>
  <c r="Z21" i="1"/>
  <c r="Y23" i="1"/>
  <c r="X23" i="1"/>
  <c r="AD23" i="1"/>
  <c r="W23" i="1"/>
  <c r="V23" i="1"/>
  <c r="AE23" i="1"/>
  <c r="AA23" i="1"/>
  <c r="AC23" i="1"/>
  <c r="Z23" i="1"/>
  <c r="AB23" i="1"/>
  <c r="AH23" i="1"/>
  <c r="AG23" i="1"/>
  <c r="AF23" i="1"/>
  <c r="AG21" i="1"/>
  <c r="AA21" i="1"/>
  <c r="AB21" i="1"/>
  <c r="AC21" i="1"/>
  <c r="AD21" i="1"/>
  <c r="AF21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<sst xmlns="http://schemas.openxmlformats.org/spreadsheetml/2006/main" count="312" uniqueCount="176">
  <si>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</si>
  <si>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</si>
  <si>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</si>
  <si>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</si>
  <si>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</si>
  <si>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</si>
  <si>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</si>
  <si>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</si>
  <si>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</si>
  <si>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</si>
  <si>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</si>
  <si>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</si>
  <si>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</si>
  <si>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</si>
  <si>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</si>
  <si>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</si>
  <si>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</si>
  <si>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</si>
  <si>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</si>
  <si>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</si>
  <si>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</si>
  <si>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</si>
  <si>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</si>
  <si>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</si>
  <si>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</si>
  <si>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</si>
  <si>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</si>
  <si>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</si>
  <si>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</si>
  <si>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</si>
  <si>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</si>
  <si>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</si>
  <si>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</si>
  <si>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</si>
  <si>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</si>
  <si>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</si>
  <si>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</si>
  <si>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</si>
  <si>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</si>
  <si>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</si>
  <si>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</si>
  <si>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</si>
  <si>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</si>
  <si>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</si>
  <si>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</si>
  <si>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</si>
  <si>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</si>
  <si>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</si>
  <si>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</si>
  <si>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</si>
  <si>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</si>
  <si>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</si>
  <si>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</si>
  <si>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</si>
  <si>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</si>
  <si>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</si>
  <si>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</si>
  <si>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</si>
  <si>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</si>
  <si>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</si>
  <si>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</si>
  <si>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</si>
  <si>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</si>
  <si>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</si>
  <si>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</si>
  <si>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</si>
  <si>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</si>
  <si>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</si>
  <si>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</si>
  <si>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</si>
  <si>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</si>
  <si>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</si>
  <si>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</si>
  <si>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</si>
  <si>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</si>
  <si>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</si>
  <si>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</si>
  <si>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</si>
  <si>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</si>
  <si>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</si>
  <si>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</si>
  <si>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</si>
  <si>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</si>
  <si>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</si>
  <si>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</si>
  <si>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</si>
  <si>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</si>
  <si>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</si>
  <si>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</si>
  <si>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</si>
  <si>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</si>
  <si>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</si>
  <si>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</si>
  <si>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</si>
  <si>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</si>
  <si>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</si>
  <si>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</si>
  <si>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</si>
  <si>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</si>
  <si>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</si>
  <si>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</si>
  <si>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</si>
  <si>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</si>
  <si>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</si>
  <si>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</si>
  <si>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</si>
  <si>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</si>
  <si>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</si>
  <si>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</si>
  <si>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</si>
  <si>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</si>
  <si>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</si>
  <si>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</si>
  <si>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</si>
  <si>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</si>
  <si>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</si>
  <si>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</si>
  <si>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</si>
  <si>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</si>
  <si>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</si>
  <si>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</si>
  <si>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</si>
  <si>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</si>
  <si>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</si>
  <si>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</si>
  <si>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</si>
  <si>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</si>
  <si>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</si>
  <si>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</si>
  <si>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</si>
  <si>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</si>
  <si>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</si>
  <si>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</si>
  <si>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</si>
  <si>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</si>
  <si>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</si>
  <si>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</si>
  <si>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</si>
  <si>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</si>
  <si>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</si>
  <si>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</si>
  <si>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</si>
  <si>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</si>
  <si>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</si>
  <si>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</si>
  <si>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</si>
  <si>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</si>
  <si>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</si>
  <si>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</si>
  <si>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</si>
  <si>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</si>
  <si>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</si>
  <si>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</si>
  <si>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</si>
  <si>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</si>
  <si>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</si>
  <si>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</si>
  <si>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</si>
  <si>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</si>
  <si>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</si>
  <si>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</si>
  <si>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</si>
  <si>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</si>
  <si>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</si>
  <si>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</si>
  <si>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</si>
  <si>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</si>
  <si>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</si>
  <si>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which is not inline with the confidence interval in step1. If this value is unsatisfactory, use confidence interval.</t>
  </si>
  <si>
    <t>2017Q2</t>
  </si>
  <si>
    <t>2017Q3</t>
  </si>
  <si>
    <t>BSX_NEUROMOD</t>
  </si>
  <si>
    <t>BSX_NEUROMODULATION</t>
  </si>
  <si>
    <t>Neuromodulation</t>
  </si>
  <si>
    <t>SS_NO_LR RM Q2</t>
  </si>
  <si>
    <t>SS_NO_LR RMQ2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</si>
</sst>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3" fontId="0" fillId="0" borderId="0" xfId="0" applyNumberFormat="1"/>
    <xf numFmtId="10" fontId="4" fillId="0" borderId="6" xfId="1" applyNumberFormat="1" applyFont="1" applyBorder="1"/>
    <xf numFmtId="10" fontId="4" fillId="0" borderId="11" xfId="1" applyNumberFormat="1" applyFont="1" applyBorder="1"/>
    <xf numFmtId="10" fontId="2" fillId="0" borderId="6" xfId="1" applyNumberFormat="1" applyFont="1" applyBorder="1"/>
    <xf numFmtId="10" fontId="2" fillId="0" borderId="11" xfId="1" applyNumberFormat="1" applyFont="1" applyBorder="1"/>
    <xf numFmtId="0" fontId="0" fillId="10" borderId="0" xfId="0" applyFill="1" applyAlignment="1"/>
    <xf numFmtId="0" fontId="0" fillId="10" borderId="0" xfId="0" applyFill="1"/>
    <xf numFmtId="10" fontId="2" fillId="0" borderId="7" xfId="1" applyNumberFormat="1" applyFont="1" applyBorder="1"/>
    <xf numFmtId="10" fontId="2" fillId="0" borderId="12" xfId="1" applyNumberFormat="1" applyFont="1" applyBorder="1"/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zoomScale="70" zoomScaleNormal="70" workbookViewId="0">
      <selection sqref="A1:C3"/>
    </sheetView>
  </sheetViews>
  <sheetFormatPr defaultRowHeight="12.75" x14ac:dyDescent="0.2"/>
  <cols>
    <col min="1" max="1" width="17.85546875" bestFit="1" customWidth="1"/>
    <col min="2" max="35" width="10.7109375" customWidth="1"/>
    <col min="36" max="36" width="17.85546875" customWidth="1"/>
    <col min="37" max="38" width="10.7109375" customWidth="1"/>
  </cols>
  <sheetData>
    <row r="1" spans="1:37" x14ac:dyDescent="0.2">
      <c r="A1" s="125" t="s">
        <v>171</v>
      </c>
      <c r="B1" s="126"/>
      <c r="C1" s="127"/>
      <c r="K1" s="134" t="s">
        <v>35</v>
      </c>
      <c r="L1" s="135"/>
      <c r="M1" s="62" t="s">
        <v>31</v>
      </c>
      <c r="N1" s="62" t="s">
        <v>32</v>
      </c>
      <c r="O1" s="4" t="s">
        <v>39</v>
      </c>
      <c r="P1" s="136" t="s">
        <v>41</v>
      </c>
      <c r="Q1" s="137"/>
    </row>
    <row r="2" spans="1:37" x14ac:dyDescent="0.2">
      <c r="A2" s="128"/>
      <c r="B2" s="129"/>
      <c r="C2" s="130"/>
      <c r="K2" s="60" t="s">
        <v>37</v>
      </c>
      <c r="L2" s="61"/>
      <c r="M2" s="63">
        <f>$B$7*($AK$25-2*$AK$26)</f>
        <v>176.32265833219927</v>
      </c>
      <c r="N2" s="63">
        <f>$B$7*($AK$25+2*$AK$26)</f>
        <v>198.86433572184893</v>
      </c>
      <c r="O2" s="65">
        <f>AVERAGE(M2:N2)</f>
        <v>187.59349702702411</v>
      </c>
      <c r="P2" s="138">
        <f>$O$2/AF14-1</f>
        <v>6.6478095662445114E-2</v>
      </c>
      <c r="Q2" s="139"/>
    </row>
    <row r="3" spans="1:37" x14ac:dyDescent="0.2">
      <c r="A3" s="131"/>
      <c r="B3" s="132"/>
      <c r="C3" s="133"/>
      <c r="K3" s="46" t="s">
        <v>38</v>
      </c>
      <c r="L3" s="19"/>
      <c r="M3" s="64">
        <f>$C$7*($AK$25-2*$AK$26)</f>
        <v>179.3111779649484</v>
      </c>
      <c r="N3" s="64">
        <f>$C$7*($AK$25+2*$AK$26)</f>
        <v>202.23491768323618</v>
      </c>
      <c r="O3" s="66">
        <f>AVERAGE(M3:N3)</f>
        <v>190.77304782409229</v>
      </c>
      <c r="P3" s="140">
        <f>$O$3/AF15-1</f>
        <v>8.393777172779715E-2</v>
      </c>
      <c r="Q3" s="141"/>
    </row>
    <row r="4" spans="1:37" x14ac:dyDescent="0.2">
      <c r="A4" s="51"/>
      <c r="B4" s="51"/>
      <c r="C4" s="51"/>
      <c r="N4" s="4" t="s">
        <v>40</v>
      </c>
      <c r="O4" s="66">
        <f>AVERAGE(O2:O3)</f>
        <v>189.18327242555819</v>
      </c>
      <c r="P4" s="140">
        <f>$O$4/AF15-1</f>
        <v>7.4904956963398828E-2</v>
      </c>
      <c r="Q4" s="141"/>
    </row>
    <row r="5" spans="1:37" x14ac:dyDescent="0.2">
      <c r="A5" s="59" t="s">
        <v>34</v>
      </c>
      <c r="B5" s="49" t="s">
        <v>31</v>
      </c>
      <c r="C5" s="50" t="s">
        <v>32</v>
      </c>
      <c r="D5" s="87"/>
      <c r="E5" s="87"/>
    </row>
    <row r="6" spans="1:37" ht="15.75" x14ac:dyDescent="0.25">
      <c r="A6" s="53" t="s">
        <v>33</v>
      </c>
      <c r="B6" s="57">
        <v>11697.34</v>
      </c>
      <c r="C6" s="58">
        <v>11895.6</v>
      </c>
    </row>
    <row r="7" spans="1:37" ht="14.25" x14ac:dyDescent="0.2">
      <c r="A7" s="54" t="s">
        <v>36</v>
      </c>
      <c r="B7" s="55">
        <f>B6*$AK$24</f>
        <v>739.31675992509759</v>
      </c>
      <c r="C7" s="56">
        <f>C6*$AK$24</f>
        <v>751.84755246620091</v>
      </c>
    </row>
    <row r="8" spans="1:37" x14ac:dyDescent="0.2">
      <c r="F8" s="51"/>
      <c r="G8" s="51"/>
      <c r="H8" s="51"/>
    </row>
    <row r="9" spans="1:37" x14ac:dyDescent="0.2">
      <c r="F9" s="51"/>
      <c r="G9" s="51"/>
      <c r="H9" s="51"/>
    </row>
    <row r="10" spans="1:37" x14ac:dyDescent="0.2">
      <c r="H10" s="124" t="s">
        <v>15</v>
      </c>
      <c r="I10" s="124"/>
      <c r="J10" s="36">
        <f>AVERAGE(F13:AJ13)</f>
        <v>1.0884968748265871</v>
      </c>
      <c r="AG10" s="124" t="s">
        <v>16</v>
      </c>
      <c r="AH10" s="124"/>
      <c r="AI10" s="124"/>
      <c r="AJ10" s="80">
        <f>AVERAGE(AE13:AJ13)</f>
        <v>1.0819205333080344</v>
      </c>
    </row>
    <row r="11" spans="1:37" x14ac:dyDescent="0.2">
      <c r="A11" s="52" t="s">
        <v>6</v>
      </c>
      <c r="B11" s="142">
        <v>2013</v>
      </c>
      <c r="C11" s="143"/>
      <c r="D11" s="143"/>
      <c r="E11" s="144"/>
      <c r="F11" s="156">
        <v>2014</v>
      </c>
      <c r="G11" s="156"/>
      <c r="H11" s="156"/>
      <c r="I11" s="157"/>
      <c r="J11" s="158">
        <v>2015</v>
      </c>
      <c r="K11" s="159"/>
      <c r="L11" s="159"/>
      <c r="M11" s="160"/>
      <c r="N11" s="158">
        <v>2016</v>
      </c>
      <c r="O11" s="159"/>
      <c r="P11" s="159"/>
      <c r="Q11" s="160"/>
      <c r="R11" s="161">
        <v>2017</v>
      </c>
      <c r="S11" s="162"/>
      <c r="T11" s="162"/>
      <c r="U11" s="163"/>
      <c r="V11" s="117">
        <v>2018</v>
      </c>
      <c r="W11" s="118"/>
      <c r="X11" s="118"/>
      <c r="Y11" s="119"/>
      <c r="Z11" s="164">
        <v>2019</v>
      </c>
      <c r="AA11" s="165"/>
      <c r="AB11" s="165"/>
      <c r="AC11" s="166"/>
      <c r="AD11" s="167">
        <v>2020</v>
      </c>
      <c r="AE11" s="156"/>
      <c r="AF11" s="156"/>
      <c r="AG11" s="157"/>
      <c r="AH11" s="158">
        <v>2021</v>
      </c>
      <c r="AI11" s="159"/>
      <c r="AJ11" s="159"/>
      <c r="AK11" s="160"/>
    </row>
    <row r="12" spans="1:37" x14ac:dyDescent="0.2">
      <c r="A12" s="14" t="s">
        <v>19</v>
      </c>
      <c r="B12" s="81" t="s">
        <v>20</v>
      </c>
      <c r="C12" s="82" t="s">
        <v>3</v>
      </c>
      <c r="D12" s="82" t="s">
        <v>4</v>
      </c>
      <c r="E12" s="83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8" t="s">
        <v>20</v>
      </c>
      <c r="AI12" s="39" t="s">
        <v>3</v>
      </c>
      <c r="AJ12" s="40" t="s">
        <v>21</v>
      </c>
      <c r="AK12" s="30" t="s">
        <v>22</v>
      </c>
    </row>
    <row r="13" spans="1:37" x14ac:dyDescent="0.2">
      <c r="A13" s="35" t="s">
        <v>2</v>
      </c>
      <c r="B13" s="31"/>
      <c r="C13" s="31"/>
      <c r="D13" s="31"/>
      <c r="E13" s="31"/>
      <c r="F13" s="86">
        <f t="shared" ref="F13:I13" si="0">F15/B15</f>
        <v>1.1829268292682926</v>
      </c>
      <c r="G13" s="86">
        <f t="shared" si="0"/>
        <v>1</v>
      </c>
      <c r="H13" s="86">
        <f t="shared" si="0"/>
        <v>0.96261682242990654</v>
      </c>
      <c r="I13" s="86">
        <f t="shared" si="0"/>
        <v>0.93700787401574803</v>
      </c>
      <c r="J13" s="86">
        <f>J15/F15</f>
        <v>1.0515463917525774</v>
      </c>
      <c r="K13" s="86">
        <f t="shared" ref="K13:AI13" si="1">K15/G15</f>
        <v>1.0784313725490196</v>
      </c>
      <c r="L13" s="86">
        <f t="shared" si="1"/>
        <v>1.0776699029126213</v>
      </c>
      <c r="M13" s="86">
        <f t="shared" si="1"/>
        <v>1.0588235294117647</v>
      </c>
      <c r="N13" s="86">
        <f t="shared" si="1"/>
        <v>1.0294117647058822</v>
      </c>
      <c r="O13" s="86">
        <f t="shared" si="1"/>
        <v>1.0454545454545454</v>
      </c>
      <c r="P13" s="86">
        <f t="shared" si="1"/>
        <v>1.0540540540540539</v>
      </c>
      <c r="Q13" s="86">
        <f t="shared" si="1"/>
        <v>1.0873015873015872</v>
      </c>
      <c r="R13" s="86">
        <f t="shared" si="1"/>
        <v>1.1047619047619048</v>
      </c>
      <c r="S13" s="86">
        <f t="shared" si="1"/>
        <v>1.0869565217391304</v>
      </c>
      <c r="T13" s="86">
        <f t="shared" si="1"/>
        <v>1.0769230769230769</v>
      </c>
      <c r="U13" s="86">
        <f t="shared" si="1"/>
        <v>1.0948905109489051</v>
      </c>
      <c r="V13" s="86">
        <f t="shared" si="1"/>
        <v>1.1293103448275863</v>
      </c>
      <c r="W13" s="86">
        <f t="shared" si="1"/>
        <v>1.28</v>
      </c>
      <c r="X13" s="86">
        <f t="shared" si="1"/>
        <v>1.2301587301587302</v>
      </c>
      <c r="Y13" s="86">
        <f t="shared" si="1"/>
        <v>1.18</v>
      </c>
      <c r="Z13" s="86">
        <f t="shared" si="1"/>
        <v>1.0992366412213741</v>
      </c>
      <c r="AA13" s="86">
        <f t="shared" si="1"/>
        <v>1</v>
      </c>
      <c r="AB13" s="86">
        <f t="shared" si="1"/>
        <v>1.1806451612903226</v>
      </c>
      <c r="AC13" s="86">
        <f t="shared" si="1"/>
        <v>1.1751412429378532</v>
      </c>
      <c r="AD13" s="86">
        <f t="shared" si="1"/>
        <v>1.0486111111111112</v>
      </c>
      <c r="AE13" s="86">
        <f t="shared" si="1"/>
        <v>0.625</v>
      </c>
      <c r="AF13" s="86">
        <f t="shared" si="1"/>
        <v>0.96174863387978138</v>
      </c>
      <c r="AG13" s="86">
        <f t="shared" si="1"/>
        <v>0.88461538461538458</v>
      </c>
      <c r="AH13" s="86">
        <f t="shared" si="1"/>
        <v>1</v>
      </c>
      <c r="AI13" s="86">
        <f t="shared" si="1"/>
        <v>1.94</v>
      </c>
      <c r="AJ13" s="86">
        <f>AJ14/AF14</f>
        <v>1.0801591813530416</v>
      </c>
      <c r="AK13" s="32"/>
    </row>
    <row r="14" spans="1:37" x14ac:dyDescent="0.2">
      <c r="A14" s="15" t="s">
        <v>0</v>
      </c>
      <c r="B14" s="7">
        <v>82</v>
      </c>
      <c r="C14" s="7">
        <v>102</v>
      </c>
      <c r="D14" s="7">
        <v>107</v>
      </c>
      <c r="E14" s="7">
        <v>127.1</v>
      </c>
      <c r="F14" s="7">
        <v>97</v>
      </c>
      <c r="G14" s="7">
        <v>102</v>
      </c>
      <c r="H14" s="7">
        <v>103.1</v>
      </c>
      <c r="I14" s="7">
        <v>119.1</v>
      </c>
      <c r="J14" s="9">
        <v>102</v>
      </c>
      <c r="K14" s="6">
        <v>110</v>
      </c>
      <c r="L14" s="6">
        <v>111</v>
      </c>
      <c r="M14" s="6">
        <v>125.9</v>
      </c>
      <c r="N14" s="9">
        <v>105</v>
      </c>
      <c r="O14" s="6">
        <v>115</v>
      </c>
      <c r="P14" s="6">
        <v>117</v>
      </c>
      <c r="Q14" s="6">
        <v>136.9</v>
      </c>
      <c r="R14" s="9">
        <v>116</v>
      </c>
      <c r="S14" s="6">
        <v>125</v>
      </c>
      <c r="T14" s="6">
        <v>126</v>
      </c>
      <c r="U14" s="6">
        <v>150.1</v>
      </c>
      <c r="V14" s="9">
        <v>131.1</v>
      </c>
      <c r="W14" s="6">
        <v>160</v>
      </c>
      <c r="X14" s="6">
        <v>154.9</v>
      </c>
      <c r="Y14" s="6">
        <v>177.1</v>
      </c>
      <c r="Z14" s="9">
        <v>144</v>
      </c>
      <c r="AA14" s="6">
        <v>160</v>
      </c>
      <c r="AB14" s="6">
        <v>182.9</v>
      </c>
      <c r="AC14" s="6">
        <v>208</v>
      </c>
      <c r="AD14" s="9">
        <v>151</v>
      </c>
      <c r="AE14" s="6">
        <v>99.9</v>
      </c>
      <c r="AF14" s="6">
        <v>175.9</v>
      </c>
      <c r="AG14" s="6">
        <v>184</v>
      </c>
      <c r="AH14" s="6">
        <v>151.4</v>
      </c>
      <c r="AI14" s="6">
        <v>194</v>
      </c>
      <c r="AJ14" s="6">
        <v>190</v>
      </c>
      <c r="AK14" s="6">
        <v>213.7</v>
      </c>
    </row>
    <row r="15" spans="1:37" x14ac:dyDescent="0.2">
      <c r="A15" s="15" t="s">
        <v>1</v>
      </c>
      <c r="B15" s="6">
        <v>82</v>
      </c>
      <c r="C15" s="6">
        <v>102</v>
      </c>
      <c r="D15" s="6">
        <v>107</v>
      </c>
      <c r="E15" s="6">
        <v>127</v>
      </c>
      <c r="F15" s="6">
        <v>97</v>
      </c>
      <c r="G15" s="6">
        <v>102</v>
      </c>
      <c r="H15" s="6">
        <v>103</v>
      </c>
      <c r="I15" s="6">
        <v>119</v>
      </c>
      <c r="J15" s="9">
        <v>102</v>
      </c>
      <c r="K15" s="6">
        <v>110</v>
      </c>
      <c r="L15" s="6">
        <v>111</v>
      </c>
      <c r="M15" s="6">
        <v>126</v>
      </c>
      <c r="N15" s="9">
        <v>105</v>
      </c>
      <c r="O15" s="6">
        <v>115</v>
      </c>
      <c r="P15" s="6">
        <v>117</v>
      </c>
      <c r="Q15" s="6">
        <v>137</v>
      </c>
      <c r="R15" s="9">
        <v>116</v>
      </c>
      <c r="S15" s="6">
        <v>125</v>
      </c>
      <c r="T15" s="6">
        <v>126</v>
      </c>
      <c r="U15" s="6">
        <v>150</v>
      </c>
      <c r="V15" s="9">
        <v>131</v>
      </c>
      <c r="W15" s="6">
        <v>160</v>
      </c>
      <c r="X15" s="6">
        <v>155</v>
      </c>
      <c r="Y15" s="6">
        <v>177</v>
      </c>
      <c r="Z15" s="9">
        <v>144</v>
      </c>
      <c r="AA15" s="6">
        <v>160</v>
      </c>
      <c r="AB15" s="6">
        <v>183</v>
      </c>
      <c r="AC15" s="6">
        <v>208</v>
      </c>
      <c r="AD15" s="9">
        <v>151</v>
      </c>
      <c r="AE15" s="6">
        <v>100</v>
      </c>
      <c r="AF15" s="6">
        <v>176</v>
      </c>
      <c r="AG15" s="6">
        <v>184</v>
      </c>
      <c r="AH15" s="9">
        <v>151</v>
      </c>
      <c r="AI15" s="6">
        <v>194</v>
      </c>
      <c r="AJ15" s="9"/>
      <c r="AK15" s="10"/>
    </row>
    <row r="16" spans="1:37" x14ac:dyDescent="0.2">
      <c r="A16" s="15" t="s">
        <v>157</v>
      </c>
      <c r="B16" s="9">
        <v>1761</v>
      </c>
      <c r="C16" s="6">
        <v>1809</v>
      </c>
      <c r="D16" s="6">
        <v>1735</v>
      </c>
      <c r="E16" s="10">
        <v>1836</v>
      </c>
      <c r="F16" s="9">
        <v>1774</v>
      </c>
      <c r="G16" s="6">
        <v>1873</v>
      </c>
      <c r="H16" s="6">
        <v>1845</v>
      </c>
      <c r="I16" s="10">
        <v>1886</v>
      </c>
      <c r="J16" s="9">
        <v>1768</v>
      </c>
      <c r="K16" s="6">
        <v>1843</v>
      </c>
      <c r="L16" s="6">
        <v>1888</v>
      </c>
      <c r="M16" s="10">
        <v>1978</v>
      </c>
      <c r="N16" s="9">
        <v>1964</v>
      </c>
      <c r="O16" s="6">
        <v>2126</v>
      </c>
      <c r="P16" s="6">
        <v>2105</v>
      </c>
      <c r="Q16" s="10">
        <v>2191</v>
      </c>
      <c r="R16" s="9">
        <v>2160</v>
      </c>
      <c r="S16" s="6">
        <v>2257</v>
      </c>
      <c r="T16" s="6">
        <v>2222</v>
      </c>
      <c r="U16" s="10">
        <v>2408</v>
      </c>
      <c r="V16" s="9">
        <v>2379</v>
      </c>
      <c r="W16" s="6">
        <v>2490</v>
      </c>
      <c r="X16" s="6">
        <v>2393</v>
      </c>
      <c r="Y16" s="10">
        <v>2561</v>
      </c>
      <c r="Z16" s="9">
        <v>2493</v>
      </c>
      <c r="AA16" s="6">
        <v>2631</v>
      </c>
      <c r="AB16" s="6">
        <v>2707</v>
      </c>
      <c r="AC16" s="10">
        <v>2905</v>
      </c>
      <c r="AD16" s="9">
        <v>2543</v>
      </c>
      <c r="AE16" s="6">
        <v>2003</v>
      </c>
      <c r="AF16" s="6">
        <v>2659</v>
      </c>
      <c r="AG16" s="10">
        <v>2708</v>
      </c>
      <c r="AH16" s="9">
        <v>2752</v>
      </c>
      <c r="AI16">
        <v>3077</v>
      </c>
      <c r="AJ16" s="106">
        <v>2970.4</v>
      </c>
      <c r="AK16" s="10"/>
    </row>
    <row r="17" spans="1:38" x14ac:dyDescent="0.2">
      <c r="A17" s="88" t="s">
        <v>18</v>
      </c>
      <c r="B17" s="89">
        <f>B15/B16</f>
        <v>4.6564452015900058E-2</v>
      </c>
      <c r="C17" s="89">
        <f>C15/C16</f>
        <v>5.6384742951907131E-2</v>
      </c>
      <c r="D17" s="89">
        <f>D15/D16</f>
        <v>6.1671469740634005E-2</v>
      </c>
      <c r="E17" s="89">
        <f>E15/E16</f>
        <v>6.9172113289760348E-2</v>
      </c>
      <c r="F17" s="89">
        <f>F15/F16</f>
        <v>5.4678692220969563E-2</v>
      </c>
      <c r="G17" s="89">
        <f t="shared" ref="G17:L17" si="2">G15/G16</f>
        <v>5.445808862786973E-2</v>
      </c>
      <c r="H17" s="89">
        <f t="shared" si="2"/>
        <v>5.5826558265582658E-2</v>
      </c>
      <c r="I17" s="89">
        <f t="shared" si="2"/>
        <v>6.3096500530222699E-2</v>
      </c>
      <c r="J17" s="89">
        <f t="shared" si="2"/>
        <v>5.7692307692307696E-2</v>
      </c>
      <c r="K17" s="89">
        <f t="shared" si="2"/>
        <v>5.9685295713510583E-2</v>
      </c>
      <c r="L17" s="89">
        <f t="shared" si="2"/>
        <v>5.8792372881355935E-2</v>
      </c>
      <c r="M17" s="89">
        <f t="shared" ref="M17:AA17" si="3">M15/M16</f>
        <v>6.3700707785642061E-2</v>
      </c>
      <c r="N17" s="89">
        <f t="shared" si="3"/>
        <v>5.3462321792260695E-2</v>
      </c>
      <c r="O17" s="89">
        <f>O15/O16</f>
        <v>5.4092191909689558E-2</v>
      </c>
      <c r="P17" s="89">
        <f>P15/P16</f>
        <v>5.5581947743467933E-2</v>
      </c>
      <c r="Q17" s="89">
        <f>Q15/Q16</f>
        <v>6.2528525787311731E-2</v>
      </c>
      <c r="R17" s="89">
        <f>R15/R16</f>
        <v>5.3703703703703705E-2</v>
      </c>
      <c r="S17" s="89">
        <f t="shared" si="3"/>
        <v>5.5383252104563581E-2</v>
      </c>
      <c r="T17" s="89">
        <f t="shared" si="3"/>
        <v>5.6705670567056707E-2</v>
      </c>
      <c r="U17" s="89">
        <f t="shared" si="3"/>
        <v>6.229235880398671E-2</v>
      </c>
      <c r="V17" s="89">
        <f t="shared" si="3"/>
        <v>5.5065153425809164E-2</v>
      </c>
      <c r="W17" s="89">
        <f t="shared" si="3"/>
        <v>6.4257028112449793E-2</v>
      </c>
      <c r="X17" s="89">
        <f t="shared" si="3"/>
        <v>6.4772252402841624E-2</v>
      </c>
      <c r="Y17" s="89">
        <f t="shared" si="3"/>
        <v>6.9113627489262003E-2</v>
      </c>
      <c r="Z17" s="89">
        <f t="shared" si="3"/>
        <v>5.7761732851985562E-2</v>
      </c>
      <c r="AA17" s="89">
        <f t="shared" si="3"/>
        <v>6.0813378943367538E-2</v>
      </c>
      <c r="AB17" s="89">
        <f t="shared" ref="AB17:AE17" si="4">AB15/AB16</f>
        <v>6.7602512005910609E-2</v>
      </c>
      <c r="AC17" s="89">
        <f t="shared" si="4"/>
        <v>7.1600688468158341E-2</v>
      </c>
      <c r="AD17" s="89">
        <f t="shared" si="4"/>
        <v>5.9378686590640974E-2</v>
      </c>
      <c r="AE17" s="89">
        <f t="shared" si="4"/>
        <v>4.9925112331502743E-2</v>
      </c>
      <c r="AF17" s="89">
        <f>AF15/AF16</f>
        <v>6.6190297104174498E-2</v>
      </c>
      <c r="AG17" s="89">
        <f>AG15/AG16</f>
        <v>6.7946824224519947E-2</v>
      </c>
      <c r="AH17" s="89">
        <f>AH15/AH16</f>
        <v>5.4869186046511628E-2</v>
      </c>
      <c r="AI17" s="89">
        <f>AI15/AI16</f>
        <v>6.304842378940527E-2</v>
      </c>
      <c r="AJ17" s="90">
        <f>AJ14/AJ16</f>
        <v>6.3964449232426612E-2</v>
      </c>
      <c r="AK17" s="91"/>
    </row>
    <row r="18" spans="1:38" x14ac:dyDescent="0.2">
      <c r="A18" s="88" t="s">
        <v>24</v>
      </c>
      <c r="B18" s="89">
        <f>B15/SUM(B15:E15)</f>
        <v>0.19617224880382775</v>
      </c>
      <c r="C18" s="89">
        <f>C15/SUM(B15:E15)</f>
        <v>0.24401913875598086</v>
      </c>
      <c r="D18" s="89">
        <f>D15/SUM(B15:E15)</f>
        <v>0.25598086124401914</v>
      </c>
      <c r="E18" s="92">
        <f>E15/SUM(B15:E15)</f>
        <v>0.30382775119617222</v>
      </c>
      <c r="F18" s="89">
        <f>F15/SUM(F15:I15)</f>
        <v>0.23040380047505937</v>
      </c>
      <c r="G18" s="89">
        <f>G15/SUM(F15:I15)</f>
        <v>0.24228028503562946</v>
      </c>
      <c r="H18" s="89">
        <f>H15/SUM(F15:I15)</f>
        <v>0.24465558194774348</v>
      </c>
      <c r="I18" s="92">
        <f>I15/SUM(F15:I15)</f>
        <v>0.28266033254156769</v>
      </c>
      <c r="J18" s="89">
        <f>J15/SUM(J15:M15)</f>
        <v>0.22717149220489977</v>
      </c>
      <c r="K18" s="89">
        <f>K15/SUM(J15:M15)</f>
        <v>0.24498886414253898</v>
      </c>
      <c r="L18" s="89">
        <f>L15/SUM(J15:M15)</f>
        <v>0.24721603563474387</v>
      </c>
      <c r="M18" s="92">
        <f>M15/SUM(J15:M15)</f>
        <v>0.28062360801781738</v>
      </c>
      <c r="N18" s="89">
        <f>N15/SUM(N15:Q15)</f>
        <v>0.22151898734177214</v>
      </c>
      <c r="O18" s="89">
        <f>O15/SUM(N15:Q15)</f>
        <v>0.24261603375527427</v>
      </c>
      <c r="P18" s="89">
        <f>P15/SUM(N15:Q15)</f>
        <v>0.24683544303797469</v>
      </c>
      <c r="Q18" s="92">
        <f>Q15/SUM(N15:Q15)</f>
        <v>0.28902953586497893</v>
      </c>
      <c r="R18" s="89">
        <f>R15/SUM(R15:U15)</f>
        <v>0.22437137330754353</v>
      </c>
      <c r="S18" s="89">
        <f>S15/SUM(R15:U15)</f>
        <v>0.24177949709864605</v>
      </c>
      <c r="T18" s="89">
        <f>T15/SUM(R15:U15)</f>
        <v>0.2437137330754352</v>
      </c>
      <c r="U18" s="92">
        <f>U15/SUM(R15:U15)</f>
        <v>0.29013539651837522</v>
      </c>
      <c r="V18" s="89">
        <f>V15/SUM(V15:Y15)</f>
        <v>0.2102728731942215</v>
      </c>
      <c r="W18" s="89">
        <f>W15/SUM(V15:Y15)</f>
        <v>0.2568218298555377</v>
      </c>
      <c r="X18" s="89">
        <f>X15/SUM(V15:Y15)</f>
        <v>0.24879614767255218</v>
      </c>
      <c r="Y18" s="92">
        <f>Y15/SUM(V15:Y15)</f>
        <v>0.2841091492776886</v>
      </c>
      <c r="Z18" s="89">
        <f>Z15/SUM(Z15:AC15)</f>
        <v>0.20719424460431654</v>
      </c>
      <c r="AA18" s="89">
        <f>AA15/SUM(Z15:AC15)</f>
        <v>0.23021582733812951</v>
      </c>
      <c r="AB18" s="89">
        <f>AB15/SUM(Z15:AC15)</f>
        <v>0.2633093525179856</v>
      </c>
      <c r="AC18" s="92">
        <f>AC15/SUM(Z15:AC15)</f>
        <v>0.29928057553956833</v>
      </c>
      <c r="AD18" s="89"/>
      <c r="AE18" s="89"/>
      <c r="AF18" s="89"/>
      <c r="AG18" s="92"/>
      <c r="AH18" s="89">
        <f>AH15/SUM(AH15:AI15,AJ14:AK14)</f>
        <v>0.20168291705623079</v>
      </c>
      <c r="AI18" s="89">
        <f>AI15/SUM(AH15:AI15,AJ14:AK14)</f>
        <v>0.25911580072125018</v>
      </c>
      <c r="AJ18" s="89">
        <f>AJ14/SUM(AH15:AI15,AJ14:AK14)</f>
        <v>0.25377320689194605</v>
      </c>
      <c r="AK18" s="92">
        <f>AK14/SUM(AH15:AI15,AJ14:AK14)</f>
        <v>0.28542807533057296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/>
      <c r="K19" s="12">
        <v>105.8</v>
      </c>
      <c r="L19" s="12">
        <v>101.9</v>
      </c>
      <c r="M19" s="6">
        <v>124.7</v>
      </c>
      <c r="N19" s="9">
        <v>107.2</v>
      </c>
      <c r="O19" s="12">
        <v>113.5</v>
      </c>
      <c r="P19" s="12">
        <v>115.1</v>
      </c>
      <c r="Q19" s="6">
        <v>134.1</v>
      </c>
      <c r="R19" s="84">
        <v>112.5</v>
      </c>
      <c r="S19" s="84">
        <v>121.8</v>
      </c>
      <c r="T19" s="84">
        <v>125.8</v>
      </c>
      <c r="U19" s="84">
        <v>147.1</v>
      </c>
      <c r="V19" s="84">
        <v>127.7</v>
      </c>
      <c r="W19" s="64">
        <v>141.80000000000001</v>
      </c>
      <c r="X19" s="64">
        <v>154</v>
      </c>
      <c r="Y19" s="64">
        <v>180.7</v>
      </c>
      <c r="Z19" s="84">
        <v>156.19999999999999</v>
      </c>
      <c r="AA19" s="64">
        <v>173.8</v>
      </c>
      <c r="AB19" s="64">
        <v>171.4</v>
      </c>
      <c r="AC19" s="64">
        <v>206.4</v>
      </c>
      <c r="AD19" s="84">
        <v>155.6</v>
      </c>
      <c r="AE19" s="64">
        <v>59.8</v>
      </c>
      <c r="AF19" s="64">
        <v>164.8</v>
      </c>
      <c r="AG19" s="64">
        <v>201.5</v>
      </c>
      <c r="AH19" s="84">
        <v>149.5</v>
      </c>
      <c r="AI19" s="64">
        <v>171.8</v>
      </c>
      <c r="AJ19" s="85"/>
      <c r="AK19" s="13"/>
    </row>
    <row r="20" spans="1:38" x14ac:dyDescent="0.2">
      <c r="I20" s="120" t="s">
        <v>7</v>
      </c>
      <c r="J20" s="121"/>
      <c r="K20" s="7">
        <f t="shared" ref="K20:P20" si="5">IF(K15&gt;K19,1,0)</f>
        <v>1</v>
      </c>
      <c r="L20" s="7">
        <f t="shared" si="5"/>
        <v>1</v>
      </c>
      <c r="M20" s="7">
        <f t="shared" si="5"/>
        <v>1</v>
      </c>
      <c r="N20" s="7">
        <f t="shared" si="5"/>
        <v>0</v>
      </c>
      <c r="O20" s="7">
        <f t="shared" si="5"/>
        <v>1</v>
      </c>
      <c r="P20" s="7">
        <f t="shared" si="5"/>
        <v>1</v>
      </c>
      <c r="Q20" s="7">
        <f t="shared" ref="Q20:AI20" si="6">IF(Q15&gt;Q19,1,0)</f>
        <v>1</v>
      </c>
      <c r="R20" s="7">
        <f t="shared" si="6"/>
        <v>1</v>
      </c>
      <c r="S20" s="7">
        <f t="shared" si="6"/>
        <v>1</v>
      </c>
      <c r="T20" s="7">
        <f t="shared" si="6"/>
        <v>1</v>
      </c>
      <c r="U20" s="7">
        <f t="shared" si="6"/>
        <v>1</v>
      </c>
      <c r="V20" s="7">
        <f t="shared" si="6"/>
        <v>1</v>
      </c>
      <c r="W20" s="7">
        <f t="shared" si="6"/>
        <v>1</v>
      </c>
      <c r="X20" s="7">
        <f t="shared" si="6"/>
        <v>1</v>
      </c>
      <c r="Y20" s="7">
        <f t="shared" si="6"/>
        <v>0</v>
      </c>
      <c r="Z20" s="7">
        <f t="shared" si="6"/>
        <v>0</v>
      </c>
      <c r="AA20" s="7">
        <f t="shared" si="6"/>
        <v>0</v>
      </c>
      <c r="AB20" s="7">
        <f t="shared" si="6"/>
        <v>1</v>
      </c>
      <c r="AC20" s="7">
        <f t="shared" si="6"/>
        <v>1</v>
      </c>
      <c r="AD20" s="7">
        <f t="shared" si="6"/>
        <v>0</v>
      </c>
      <c r="AE20" s="7">
        <f t="shared" si="6"/>
        <v>1</v>
      </c>
      <c r="AF20" s="7">
        <f t="shared" si="6"/>
        <v>1</v>
      </c>
      <c r="AG20" s="7">
        <f t="shared" si="6"/>
        <v>0</v>
      </c>
      <c r="AH20" s="7">
        <f t="shared" si="6"/>
        <v>1</v>
      </c>
      <c r="AI20" s="8">
        <f t="shared" si="6"/>
        <v>1</v>
      </c>
      <c r="AJ20" s="46" t="s">
        <v>8</v>
      </c>
      <c r="AK20" s="43">
        <f>AVERAGE(K20:AI20)</f>
        <v>0.76</v>
      </c>
    </row>
    <row r="21" spans="1:38" x14ac:dyDescent="0.2">
      <c r="I21" s="115" t="s">
        <v>9</v>
      </c>
      <c r="J21" s="116"/>
      <c r="M21" s="6"/>
      <c r="N21" s="6">
        <f t="shared" ref="N21:O21" si="7">AVERAGE(K20:N20)</f>
        <v>0.75</v>
      </c>
      <c r="O21" s="6">
        <f t="shared" si="7"/>
        <v>0.75</v>
      </c>
      <c r="P21" s="6">
        <f t="shared" ref="P21" si="8">AVERAGE(M20:P20)</f>
        <v>0.75</v>
      </c>
      <c r="Q21" s="6">
        <f t="shared" ref="Q21" si="9">AVERAGE(N20:Q20)</f>
        <v>0.75</v>
      </c>
      <c r="R21" s="6">
        <f t="shared" ref="R21" si="10">AVERAGE(O20:R20)</f>
        <v>1</v>
      </c>
      <c r="S21" s="6">
        <f t="shared" ref="S21" si="11">AVERAGE(P20:S20)</f>
        <v>1</v>
      </c>
      <c r="T21" s="6">
        <f t="shared" ref="T21" si="12">AVERAGE(Q20:T20)</f>
        <v>1</v>
      </c>
      <c r="U21" s="6">
        <f t="shared" ref="U21" si="13">AVERAGE(R20:U20)</f>
        <v>1</v>
      </c>
      <c r="V21" s="6">
        <f t="shared" ref="V21:AI21" si="14">AVERAGE(S20:V20)</f>
        <v>1</v>
      </c>
      <c r="W21" s="6">
        <f t="shared" si="14"/>
        <v>1</v>
      </c>
      <c r="X21" s="6">
        <f t="shared" si="14"/>
        <v>1</v>
      </c>
      <c r="Y21" s="6">
        <f t="shared" si="14"/>
        <v>0.75</v>
      </c>
      <c r="Z21" s="6">
        <f t="shared" si="14"/>
        <v>0.5</v>
      </c>
      <c r="AA21" s="6">
        <f t="shared" si="14"/>
        <v>0.25</v>
      </c>
      <c r="AB21" s="6">
        <f t="shared" si="14"/>
        <v>0.25</v>
      </c>
      <c r="AC21" s="6">
        <f t="shared" si="14"/>
        <v>0.5</v>
      </c>
      <c r="AD21" s="6">
        <f t="shared" si="14"/>
        <v>0.5</v>
      </c>
      <c r="AE21" s="6">
        <f t="shared" si="14"/>
        <v>0.75</v>
      </c>
      <c r="AF21" s="6">
        <f t="shared" si="14"/>
        <v>0.75</v>
      </c>
      <c r="AG21" s="6">
        <f t="shared" si="14"/>
        <v>0.5</v>
      </c>
      <c r="AH21" s="6">
        <f>AVERAGE(AE20:AH20)</f>
        <v>0.75</v>
      </c>
      <c r="AI21" s="10">
        <f t="shared" si="14"/>
        <v>0.75</v>
      </c>
      <c r="AJ21" s="42" t="s">
        <v>10</v>
      </c>
      <c r="AK21" s="43">
        <f>AVERAGE(N21:AI21)</f>
        <v>0.73863636363636365</v>
      </c>
    </row>
    <row r="22" spans="1:38" x14ac:dyDescent="0.2">
      <c r="I22" s="154" t="s">
        <v>11</v>
      </c>
      <c r="J22" s="155"/>
      <c r="K22" s="18">
        <f t="shared" ref="K22:P22" si="15">K15/K19-1</f>
        <v>3.969754253308122E-2</v>
      </c>
      <c r="L22" s="18">
        <f t="shared" si="15"/>
        <v>8.9303238469087276E-2</v>
      </c>
      <c r="M22" s="18">
        <f t="shared" si="15"/>
        <v>1.0425020048115519E-2</v>
      </c>
      <c r="N22" s="18">
        <f t="shared" si="15"/>
        <v>-2.0522388059701524E-2</v>
      </c>
      <c r="O22" s="18">
        <f t="shared" si="15"/>
        <v>1.3215859030837107E-2</v>
      </c>
      <c r="P22" s="18">
        <f t="shared" si="15"/>
        <v>1.6507384882710641E-2</v>
      </c>
      <c r="Q22" s="18">
        <f t="shared" ref="Q22:AI22" si="16">Q15/Q19-1</f>
        <v>2.162565249813575E-2</v>
      </c>
      <c r="R22" s="18">
        <f t="shared" si="16"/>
        <v>3.1111111111111089E-2</v>
      </c>
      <c r="S22" s="18">
        <f t="shared" si="16"/>
        <v>2.6272577996715896E-2</v>
      </c>
      <c r="T22" s="18">
        <f t="shared" si="16"/>
        <v>1.5898251192369983E-3</v>
      </c>
      <c r="U22" s="18">
        <f t="shared" si="16"/>
        <v>1.971447994561526E-2</v>
      </c>
      <c r="V22" s="18">
        <f t="shared" si="16"/>
        <v>2.5841816758026548E-2</v>
      </c>
      <c r="W22" s="18">
        <f t="shared" si="16"/>
        <v>0.12834978843441447</v>
      </c>
      <c r="X22" s="18">
        <f t="shared" si="16"/>
        <v>6.4935064935065512E-3</v>
      </c>
      <c r="Y22" s="18">
        <f t="shared" si="16"/>
        <v>-2.047592695074707E-2</v>
      </c>
      <c r="Z22" s="18">
        <f t="shared" si="16"/>
        <v>-7.8104993597951311E-2</v>
      </c>
      <c r="AA22" s="18">
        <f t="shared" si="16"/>
        <v>-7.9401611047180687E-2</v>
      </c>
      <c r="AB22" s="18">
        <f t="shared" si="16"/>
        <v>6.7677946324387284E-2</v>
      </c>
      <c r="AC22" s="18">
        <f t="shared" si="16"/>
        <v>7.7519379844961378E-3</v>
      </c>
      <c r="AD22" s="18">
        <f t="shared" si="16"/>
        <v>-2.9562982005141403E-2</v>
      </c>
      <c r="AE22" s="18">
        <f t="shared" si="16"/>
        <v>0.67224080267558528</v>
      </c>
      <c r="AF22" s="18">
        <f t="shared" si="16"/>
        <v>6.7961165048543659E-2</v>
      </c>
      <c r="AG22" s="18">
        <f t="shared" si="16"/>
        <v>-8.6848635235732052E-2</v>
      </c>
      <c r="AH22" s="18">
        <f t="shared" si="16"/>
        <v>1.0033444816053505E-2</v>
      </c>
      <c r="AI22" s="41">
        <f t="shared" si="16"/>
        <v>0.12922002328288706</v>
      </c>
      <c r="AJ22" s="42" t="s">
        <v>13</v>
      </c>
      <c r="AK22" s="44">
        <f>MEDIAN(K22:AI22)</f>
        <v>1.6507384882710641E-2</v>
      </c>
    </row>
    <row r="23" spans="1:38" x14ac:dyDescent="0.2">
      <c r="I23" s="115" t="s">
        <v>12</v>
      </c>
      <c r="J23" s="116"/>
      <c r="M23" s="6"/>
      <c r="N23" s="33">
        <f t="shared" ref="N23:O23" si="17">AVERAGE(K22:N22)</f>
        <v>2.9725853247645623E-2</v>
      </c>
      <c r="O23" s="33">
        <f t="shared" si="17"/>
        <v>2.3105432372084594E-2</v>
      </c>
      <c r="P23" s="33">
        <f t="shared" ref="P23" si="18">AVERAGE(M22:P22)</f>
        <v>4.9064689754904356E-3</v>
      </c>
      <c r="Q23" s="33">
        <f t="shared" ref="Q23" si="19">AVERAGE(N22:Q22)</f>
        <v>7.7066270879954935E-3</v>
      </c>
      <c r="R23" s="33">
        <f t="shared" ref="R23" si="20">AVERAGE(O22:R22)</f>
        <v>2.0615001880698647E-2</v>
      </c>
      <c r="S23" s="33">
        <f t="shared" ref="S23" si="21">AVERAGE(P22:S22)</f>
        <v>2.3879181622168344E-2</v>
      </c>
      <c r="T23" s="33">
        <f t="shared" ref="T23" si="22">AVERAGE(Q22:T22)</f>
        <v>2.0149791681299933E-2</v>
      </c>
      <c r="U23" s="33">
        <f t="shared" ref="U23" si="23">AVERAGE(R22:U22)</f>
        <v>1.9671998543169811E-2</v>
      </c>
      <c r="V23" s="33">
        <f t="shared" ref="V23:AI23" si="24">AVERAGE(S22:V22)</f>
        <v>1.8354674954898675E-2</v>
      </c>
      <c r="W23" s="33">
        <f t="shared" si="24"/>
        <v>4.3873977564323319E-2</v>
      </c>
      <c r="X23" s="33">
        <f t="shared" si="24"/>
        <v>4.5099897907890707E-2</v>
      </c>
      <c r="Y23" s="33">
        <f t="shared" si="24"/>
        <v>3.5052296183800125E-2</v>
      </c>
      <c r="Z23" s="33">
        <f t="shared" si="24"/>
        <v>9.0655935948056598E-3</v>
      </c>
      <c r="AA23" s="33">
        <f t="shared" si="24"/>
        <v>-4.2872256275593129E-2</v>
      </c>
      <c r="AB23" s="33">
        <f t="shared" si="24"/>
        <v>-2.7576146317872946E-2</v>
      </c>
      <c r="AC23" s="33">
        <f t="shared" si="24"/>
        <v>-2.0519180084062144E-2</v>
      </c>
      <c r="AD23" s="33">
        <f t="shared" si="24"/>
        <v>-8.383677185859667E-3</v>
      </c>
      <c r="AE23" s="33">
        <f t="shared" si="24"/>
        <v>0.17952692624483182</v>
      </c>
      <c r="AF23" s="33">
        <f t="shared" si="24"/>
        <v>0.17959773092587092</v>
      </c>
      <c r="AG23" s="33">
        <f t="shared" si="24"/>
        <v>0.15594758762081387</v>
      </c>
      <c r="AH23" s="33">
        <f t="shared" si="24"/>
        <v>0.1658466943261126</v>
      </c>
      <c r="AI23" s="34">
        <f t="shared" si="24"/>
        <v>3.0091499477938044E-2</v>
      </c>
      <c r="AJ23" s="19" t="s">
        <v>14</v>
      </c>
      <c r="AK23" s="34">
        <f>MEDIAN(K23:AI23)</f>
        <v>2.1860217126391621E-2</v>
      </c>
    </row>
    <row r="24" spans="1:38" x14ac:dyDescent="0.2">
      <c r="I24" s="120" t="s">
        <v>25</v>
      </c>
      <c r="J24" s="121"/>
      <c r="K24" s="102">
        <f>AVERAGE(K22:M22,O22:X22,AB22:AC22,AE22:AF22,AH22:AI22)</f>
        <v>7.2896480181713019E-2</v>
      </c>
      <c r="L24" s="120" t="s">
        <v>29</v>
      </c>
      <c r="M24" s="152"/>
      <c r="N24" s="47">
        <f>MEDIAN(K22:M22,O22:X22,AB22:AC22,AE22:AF22,AH22:AI22)</f>
        <v>2.5841816758026548E-2</v>
      </c>
      <c r="AF24" s="3"/>
      <c r="AG24" s="145" t="s">
        <v>23</v>
      </c>
      <c r="AH24" s="146"/>
      <c r="AI24" s="146"/>
      <c r="AJ24" s="147"/>
      <c r="AK24" s="45">
        <f>AVERAGE(AF17:AJ17)</f>
        <v>6.3203836079407591E-2</v>
      </c>
    </row>
    <row r="25" spans="1:38" x14ac:dyDescent="0.2">
      <c r="I25" s="122" t="s">
        <v>26</v>
      </c>
      <c r="J25" s="123"/>
      <c r="K25" s="101">
        <f>AVERAGE(N22,Y22:AA22,AD22,AG22)</f>
        <v>-5.2486089482742339E-2</v>
      </c>
      <c r="L25" s="122" t="s">
        <v>30</v>
      </c>
      <c r="M25" s="153"/>
      <c r="N25" s="34">
        <f>MEDIAN(N22,Y22:AA22,AD22,AG22)</f>
        <v>-5.3833987801546357E-2</v>
      </c>
      <c r="AG25" s="148" t="s">
        <v>27</v>
      </c>
      <c r="AH25" s="149"/>
      <c r="AI25" s="149"/>
      <c r="AJ25" s="149"/>
      <c r="AK25" s="47">
        <f>AVERAGE(AJ18,AB18,X18,P18,D18)</f>
        <v>0.25373900227289553</v>
      </c>
    </row>
    <row r="26" spans="1:38" x14ac:dyDescent="0.2">
      <c r="AG26" s="150" t="s">
        <v>28</v>
      </c>
      <c r="AH26" s="151"/>
      <c r="AI26" s="151"/>
      <c r="AJ26" s="151"/>
      <c r="AK26" s="48">
        <f>_xlfn.STDEV.S(AJ18,AB18,T18,H18,L18,D18)</f>
        <v>7.6224693566846226E-3</v>
      </c>
    </row>
    <row r="29" spans="1:38" ht="18" customHeight="1" x14ac:dyDescent="0.2"/>
  </sheetData>
  <mergeCells count="28">
    <mergeCell ref="B11:E11"/>
    <mergeCell ref="I23:J23"/>
    <mergeCell ref="AG24:AJ24"/>
    <mergeCell ref="AG25:AJ25"/>
    <mergeCell ref="AG26:AJ26"/>
    <mergeCell ref="L24:M24"/>
    <mergeCell ref="L25:M25"/>
    <mergeCell ref="I22:J22"/>
    <mergeCell ref="F11:I11"/>
    <mergeCell ref="J11:M11"/>
    <mergeCell ref="N11:Q11"/>
    <mergeCell ref="R11:U11"/>
    <mergeCell ref="Z11:AC11"/>
    <mergeCell ref="AD11:AG11"/>
    <mergeCell ref="AH11:AK11"/>
    <mergeCell ref="I20:J20"/>
    <mergeCell ref="AG10:AI10"/>
    <mergeCell ref="A1:C3"/>
    <mergeCell ref="K1:L1"/>
    <mergeCell ref="P1:Q1"/>
    <mergeCell ref="P2:Q2"/>
    <mergeCell ref="P3:Q3"/>
    <mergeCell ref="P4:Q4"/>
    <mergeCell ref="I21:J21"/>
    <mergeCell ref="V11:Y11"/>
    <mergeCell ref="I24:J24"/>
    <mergeCell ref="I25:J25"/>
    <mergeCell ref="H10:I10"/>
  </mergeCells>
  <conditionalFormatting sqref="K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N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8"/>
  <sheetViews>
    <sheetView topLeftCell="A4" zoomScale="85" zoomScaleNormal="85" workbookViewId="0">
      <selection activeCell="G23" sqref="G23:I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70" t="s">
        <v>76</v>
      </c>
      <c r="B4" s="170"/>
      <c r="T4" s="71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172</v>
      </c>
      <c r="B6" t="s">
        <v>173</v>
      </c>
      <c r="C6" t="s">
        <v>169</v>
      </c>
      <c r="D6">
        <v>20170720</v>
      </c>
      <c r="E6">
        <v>133.63573600000001</v>
      </c>
      <c r="F6">
        <v>125.08167400000001</v>
      </c>
      <c r="G6">
        <v>130.24389099999999</v>
      </c>
      <c r="H6">
        <v>129.52658</v>
      </c>
      <c r="I6">
        <v>84.385639999999995</v>
      </c>
      <c r="J6">
        <v>129.62197025</v>
      </c>
      <c r="R6">
        <v>121.8</v>
      </c>
      <c r="S6">
        <v>125</v>
      </c>
      <c r="T6" s="94"/>
      <c r="U6" s="93"/>
    </row>
    <row r="7" spans="1:21" x14ac:dyDescent="0.2">
      <c r="A7" t="s">
        <v>172</v>
      </c>
      <c r="B7" t="s">
        <v>173</v>
      </c>
      <c r="C7" t="s">
        <v>170</v>
      </c>
      <c r="D7">
        <v>20171019</v>
      </c>
      <c r="E7">
        <v>144.34531799999999</v>
      </c>
      <c r="F7">
        <v>141.015705</v>
      </c>
      <c r="G7">
        <v>118.904392</v>
      </c>
      <c r="H7">
        <v>134.435227</v>
      </c>
      <c r="I7">
        <v>83.848022999999998</v>
      </c>
      <c r="J7">
        <v>134.6751605</v>
      </c>
      <c r="K7">
        <v>135.01751320470146</v>
      </c>
      <c r="L7">
        <v>140.92362662974915</v>
      </c>
      <c r="M7">
        <v>114.11705290653518</v>
      </c>
      <c r="N7">
        <v>129.73710395966603</v>
      </c>
      <c r="O7">
        <v>124.20363079547658</v>
      </c>
      <c r="P7">
        <v>129.87300709927297</v>
      </c>
      <c r="Q7">
        <v>128.97865576590021</v>
      </c>
      <c r="R7">
        <v>125.8</v>
      </c>
      <c r="S7">
        <v>126</v>
      </c>
      <c r="T7" s="94"/>
      <c r="U7" s="93"/>
    </row>
    <row r="8" spans="1:21" x14ac:dyDescent="0.2">
      <c r="A8" t="s">
        <v>172</v>
      </c>
      <c r="B8" t="s">
        <v>173</v>
      </c>
      <c r="C8" t="s">
        <v>167</v>
      </c>
      <c r="D8">
        <v>20180125</v>
      </c>
      <c r="E8">
        <v>166.49330900000001</v>
      </c>
      <c r="F8">
        <v>163.82364100000001</v>
      </c>
      <c r="G8">
        <v>141.57278700000001</v>
      </c>
      <c r="H8">
        <v>140.33835199999999</v>
      </c>
      <c r="I8">
        <v>87.164929999999998</v>
      </c>
      <c r="J8">
        <v>153.05702224999999</v>
      </c>
      <c r="K8">
        <v>145.33313047257968</v>
      </c>
      <c r="L8">
        <v>146.37928992377127</v>
      </c>
      <c r="M8">
        <v>150.02112926156673</v>
      </c>
      <c r="N8">
        <v>131.53272952780449</v>
      </c>
      <c r="O8">
        <v>130.98437848677722</v>
      </c>
      <c r="P8">
        <v>143.19778593098462</v>
      </c>
      <c r="Q8">
        <v>141.24140726724735</v>
      </c>
      <c r="R8">
        <v>147.1</v>
      </c>
      <c r="S8">
        <v>150</v>
      </c>
      <c r="T8" s="94"/>
      <c r="U8" s="93"/>
    </row>
    <row r="9" spans="1:21" x14ac:dyDescent="0.2">
      <c r="A9" t="s">
        <v>172</v>
      </c>
      <c r="B9" t="s">
        <v>173</v>
      </c>
      <c r="C9" t="s">
        <v>42</v>
      </c>
      <c r="D9">
        <v>20180419</v>
      </c>
      <c r="E9">
        <v>147.19039699999999</v>
      </c>
      <c r="F9">
        <v>146.54398</v>
      </c>
      <c r="G9">
        <v>129.902863</v>
      </c>
      <c r="H9">
        <v>122.99630399999999</v>
      </c>
      <c r="I9">
        <v>76.014182000000005</v>
      </c>
      <c r="J9">
        <v>136.65838600000001</v>
      </c>
      <c r="K9">
        <v>132.60929032289218</v>
      </c>
      <c r="L9">
        <v>134.17841811976331</v>
      </c>
      <c r="M9">
        <v>137.63541611990729</v>
      </c>
      <c r="N9">
        <v>131.46403201314493</v>
      </c>
      <c r="O9">
        <v>130.81095000018931</v>
      </c>
      <c r="P9">
        <v>133.9288952487118</v>
      </c>
      <c r="Q9">
        <v>133.43783363743481</v>
      </c>
      <c r="R9">
        <v>127.7</v>
      </c>
      <c r="S9">
        <v>131</v>
      </c>
      <c r="T9" s="9"/>
      <c r="U9" s="63"/>
    </row>
    <row r="10" spans="1:21" x14ac:dyDescent="0.2">
      <c r="A10" t="s">
        <v>172</v>
      </c>
      <c r="B10" t="s">
        <v>173</v>
      </c>
      <c r="C10" t="s">
        <v>43</v>
      </c>
      <c r="D10">
        <v>20180719</v>
      </c>
      <c r="E10">
        <v>162.52145999999999</v>
      </c>
      <c r="F10">
        <v>160.015784</v>
      </c>
      <c r="G10">
        <v>153.09481500000001</v>
      </c>
      <c r="H10">
        <v>158.93928600000001</v>
      </c>
      <c r="I10">
        <v>92.038447000000005</v>
      </c>
      <c r="J10">
        <v>158.64283625000002</v>
      </c>
      <c r="K10">
        <v>144.64470301007475</v>
      </c>
      <c r="L10">
        <v>143.04284423010759</v>
      </c>
      <c r="M10">
        <v>154.38782719515584</v>
      </c>
      <c r="N10">
        <v>169.28188725085593</v>
      </c>
      <c r="O10">
        <v>158.61561934587417</v>
      </c>
      <c r="P10">
        <v>152.07417676329064</v>
      </c>
      <c r="Q10">
        <v>153.67450963255982</v>
      </c>
      <c r="R10">
        <v>141.80000000000001</v>
      </c>
      <c r="S10">
        <v>160</v>
      </c>
      <c r="T10" s="9"/>
      <c r="U10" s="63"/>
    </row>
    <row r="11" spans="1:21" x14ac:dyDescent="0.2">
      <c r="A11" t="s">
        <v>172</v>
      </c>
      <c r="B11" t="s">
        <v>173</v>
      </c>
      <c r="C11" t="s">
        <v>44</v>
      </c>
      <c r="D11">
        <v>20181018</v>
      </c>
      <c r="E11">
        <v>154.11667199999999</v>
      </c>
      <c r="F11">
        <v>151.537632</v>
      </c>
      <c r="G11">
        <v>133.23804100000001</v>
      </c>
      <c r="H11">
        <v>151.86398</v>
      </c>
      <c r="I11">
        <v>82.016662999999994</v>
      </c>
      <c r="J11">
        <v>147.68908125000002</v>
      </c>
      <c r="K11">
        <v>151.72560915955347</v>
      </c>
      <c r="L11">
        <v>151.52268428719506</v>
      </c>
      <c r="M11">
        <v>139.24760652410077</v>
      </c>
      <c r="N11">
        <v>152.87747549086131</v>
      </c>
      <c r="O11">
        <v>142.57809108839047</v>
      </c>
      <c r="P11">
        <v>148.95253740144852</v>
      </c>
      <c r="Q11">
        <v>147.81733399192493</v>
      </c>
      <c r="R11">
        <v>154</v>
      </c>
      <c r="S11">
        <v>155</v>
      </c>
      <c r="T11" s="9"/>
      <c r="U11" s="63"/>
    </row>
    <row r="12" spans="1:21" x14ac:dyDescent="0.2">
      <c r="A12" t="s">
        <v>172</v>
      </c>
      <c r="B12" t="s">
        <v>173</v>
      </c>
      <c r="C12" t="s">
        <v>45</v>
      </c>
      <c r="D12">
        <v>20190131</v>
      </c>
      <c r="E12">
        <v>164.65468999999999</v>
      </c>
      <c r="F12">
        <v>162.040133</v>
      </c>
      <c r="G12">
        <v>156.38827699999999</v>
      </c>
      <c r="H12">
        <v>166.320761</v>
      </c>
      <c r="I12">
        <v>98.146912</v>
      </c>
      <c r="J12">
        <v>162.35096525</v>
      </c>
      <c r="K12">
        <v>165.59841721731442</v>
      </c>
      <c r="L12">
        <v>165.74246465062882</v>
      </c>
      <c r="M12">
        <v>181.9313970174629</v>
      </c>
      <c r="N12">
        <v>169.7553162705205</v>
      </c>
      <c r="O12">
        <v>185.48391026345465</v>
      </c>
      <c r="P12">
        <v>170.38767795672771</v>
      </c>
      <c r="Q12">
        <v>173.14986389601816</v>
      </c>
      <c r="R12">
        <v>180.7</v>
      </c>
      <c r="S12">
        <v>177</v>
      </c>
      <c r="T12" s="9"/>
      <c r="U12" s="63"/>
    </row>
    <row r="13" spans="1:21" x14ac:dyDescent="0.2">
      <c r="A13" t="s">
        <v>172</v>
      </c>
      <c r="B13" t="s">
        <v>173</v>
      </c>
      <c r="C13" t="s">
        <v>46</v>
      </c>
      <c r="D13">
        <v>20190418</v>
      </c>
      <c r="E13">
        <v>157.69523100000001</v>
      </c>
      <c r="F13">
        <v>157.359386</v>
      </c>
      <c r="G13">
        <v>144.152411</v>
      </c>
      <c r="H13">
        <v>154.11089000000001</v>
      </c>
      <c r="I13">
        <v>88.236407</v>
      </c>
      <c r="J13">
        <v>153.32947950000002</v>
      </c>
      <c r="K13">
        <v>169.51874184087927</v>
      </c>
      <c r="L13">
        <v>171.88711713782658</v>
      </c>
      <c r="M13">
        <v>163.15146657060492</v>
      </c>
      <c r="N13">
        <v>164.00614911808876</v>
      </c>
      <c r="O13">
        <v>159.12720757836985</v>
      </c>
      <c r="P13">
        <v>167.16449963638269</v>
      </c>
      <c r="Q13">
        <v>165.80919698035868</v>
      </c>
      <c r="R13">
        <v>156.19999999999999</v>
      </c>
      <c r="S13">
        <v>144</v>
      </c>
      <c r="T13" s="9"/>
      <c r="U13" s="63"/>
    </row>
    <row r="14" spans="1:21" x14ac:dyDescent="0.2">
      <c r="A14" t="s">
        <v>172</v>
      </c>
      <c r="B14" t="s">
        <v>173</v>
      </c>
      <c r="C14" t="s">
        <v>47</v>
      </c>
      <c r="D14">
        <v>20190718</v>
      </c>
      <c r="E14">
        <v>155.108464</v>
      </c>
      <c r="F14">
        <v>156.52108100000001</v>
      </c>
      <c r="G14">
        <v>153.330274</v>
      </c>
      <c r="H14">
        <v>149.763868</v>
      </c>
      <c r="I14">
        <v>82.686622</v>
      </c>
      <c r="J14">
        <v>153.68092175000001</v>
      </c>
      <c r="K14">
        <v>141.63788387487762</v>
      </c>
      <c r="L14">
        <v>143.23286482574355</v>
      </c>
      <c r="M14">
        <v>153.16815933102916</v>
      </c>
      <c r="N14">
        <v>139.93817693220771</v>
      </c>
      <c r="O14">
        <v>134.94286511462326</v>
      </c>
      <c r="P14">
        <v>144.33005840863106</v>
      </c>
      <c r="Q14">
        <v>142.87500141451872</v>
      </c>
      <c r="R14">
        <v>173.8</v>
      </c>
      <c r="S14">
        <v>160</v>
      </c>
      <c r="T14" s="9"/>
      <c r="U14" s="63"/>
    </row>
    <row r="15" spans="1:21" x14ac:dyDescent="0.2">
      <c r="A15" t="s">
        <v>172</v>
      </c>
      <c r="B15" t="s">
        <v>173</v>
      </c>
      <c r="C15" t="s">
        <v>48</v>
      </c>
      <c r="D15">
        <v>20191017</v>
      </c>
      <c r="E15">
        <v>170.03200100000001</v>
      </c>
      <c r="F15">
        <v>175.82540499999999</v>
      </c>
      <c r="G15">
        <v>165.59243599999999</v>
      </c>
      <c r="H15">
        <v>164.912947</v>
      </c>
      <c r="I15">
        <v>90.163450999999995</v>
      </c>
      <c r="J15">
        <v>169.09069725000001</v>
      </c>
      <c r="K15">
        <v>175.39416907642129</v>
      </c>
      <c r="L15">
        <v>179.73339195120943</v>
      </c>
      <c r="M15">
        <v>172.7955547773951</v>
      </c>
      <c r="N15">
        <v>176.18449544852834</v>
      </c>
      <c r="O15">
        <v>174.46778948110853</v>
      </c>
      <c r="P15">
        <v>176.0433972670391</v>
      </c>
      <c r="Q15">
        <v>175.76979966695026</v>
      </c>
      <c r="R15">
        <v>171.4</v>
      </c>
      <c r="S15">
        <v>183</v>
      </c>
      <c r="T15" s="9"/>
      <c r="U15" s="63"/>
    </row>
    <row r="16" spans="1:21" x14ac:dyDescent="0.2">
      <c r="A16" t="s">
        <v>172</v>
      </c>
      <c r="B16" t="s">
        <v>173</v>
      </c>
      <c r="C16" t="s">
        <v>49</v>
      </c>
      <c r="D16">
        <v>20200130</v>
      </c>
      <c r="E16">
        <v>169.38462899999999</v>
      </c>
      <c r="F16">
        <v>163.89962800000001</v>
      </c>
      <c r="G16">
        <v>183.78856099999999</v>
      </c>
      <c r="H16">
        <v>179.29937699999999</v>
      </c>
      <c r="I16">
        <v>83.947286000000005</v>
      </c>
      <c r="J16">
        <v>174.09304874999998</v>
      </c>
      <c r="K16">
        <v>182.30325423859475</v>
      </c>
      <c r="L16">
        <v>170.58758900057703</v>
      </c>
      <c r="M16">
        <v>203.10895518802562</v>
      </c>
      <c r="N16">
        <v>198.9642813853784</v>
      </c>
      <c r="O16">
        <v>170.38337782789617</v>
      </c>
      <c r="P16">
        <v>188.41384203500289</v>
      </c>
      <c r="Q16">
        <v>185.62688327924582</v>
      </c>
      <c r="R16">
        <v>206.4</v>
      </c>
      <c r="S16">
        <v>208</v>
      </c>
      <c r="T16" s="9"/>
      <c r="U16" s="63"/>
    </row>
    <row r="17" spans="1:21" x14ac:dyDescent="0.2">
      <c r="A17" t="s">
        <v>172</v>
      </c>
      <c r="B17" t="s">
        <v>173</v>
      </c>
      <c r="C17" t="s">
        <v>50</v>
      </c>
      <c r="D17">
        <v>20200423</v>
      </c>
      <c r="E17">
        <v>173.472983</v>
      </c>
      <c r="F17">
        <v>165.36742799999999</v>
      </c>
      <c r="G17">
        <v>160.13993400000001</v>
      </c>
      <c r="H17">
        <v>164.91529800000001</v>
      </c>
      <c r="I17">
        <v>75.426630000000003</v>
      </c>
      <c r="J17">
        <v>165.97391075000002</v>
      </c>
      <c r="K17">
        <v>213.02039433578122</v>
      </c>
      <c r="L17">
        <v>209.86274004233857</v>
      </c>
      <c r="M17">
        <v>181.23601431320856</v>
      </c>
      <c r="N17">
        <v>191.31344769814791</v>
      </c>
      <c r="O17">
        <v>186.88798396650964</v>
      </c>
      <c r="P17">
        <v>198.29955121054198</v>
      </c>
      <c r="Q17">
        <v>196.77002192775464</v>
      </c>
      <c r="R17">
        <v>155.6</v>
      </c>
      <c r="S17">
        <v>151</v>
      </c>
      <c r="T17" s="9"/>
      <c r="U17" s="63"/>
    </row>
    <row r="18" spans="1:21" x14ac:dyDescent="0.2">
      <c r="A18" t="s">
        <v>172</v>
      </c>
      <c r="B18" t="s">
        <v>173</v>
      </c>
      <c r="C18" t="s">
        <v>51</v>
      </c>
      <c r="D18">
        <v>20200723</v>
      </c>
      <c r="E18">
        <v>142.91833</v>
      </c>
      <c r="F18">
        <v>137.13940199999999</v>
      </c>
      <c r="G18">
        <v>82.751613000000006</v>
      </c>
      <c r="H18">
        <v>131.574512</v>
      </c>
      <c r="I18">
        <v>58.994480000000003</v>
      </c>
      <c r="J18">
        <v>123.59596425000001</v>
      </c>
      <c r="K18">
        <v>124.40362445372833</v>
      </c>
      <c r="L18">
        <v>125.22447710803121</v>
      </c>
      <c r="M18">
        <v>78.028591937598776</v>
      </c>
      <c r="N18">
        <v>120.47245800083385</v>
      </c>
      <c r="O18">
        <v>118.10373179870292</v>
      </c>
      <c r="P18">
        <v>112.44532660233169</v>
      </c>
      <c r="Q18">
        <v>113.11303498353779</v>
      </c>
      <c r="R18">
        <v>59.8</v>
      </c>
      <c r="S18">
        <v>100</v>
      </c>
      <c r="T18" s="9"/>
      <c r="U18" s="63"/>
    </row>
    <row r="19" spans="1:21" x14ac:dyDescent="0.2">
      <c r="A19" t="s">
        <v>172</v>
      </c>
      <c r="B19" t="s">
        <v>173</v>
      </c>
      <c r="C19" t="s">
        <v>52</v>
      </c>
      <c r="D19">
        <v>20201022</v>
      </c>
      <c r="E19">
        <v>148.448668</v>
      </c>
      <c r="F19">
        <v>140.50987499999999</v>
      </c>
      <c r="G19">
        <v>159.60379</v>
      </c>
      <c r="H19">
        <v>143.27274600000001</v>
      </c>
      <c r="I19">
        <v>65.058497000000003</v>
      </c>
      <c r="J19">
        <v>147.95876974999999</v>
      </c>
      <c r="K19">
        <v>103.86957922052406</v>
      </c>
      <c r="L19">
        <v>102.45769848114111</v>
      </c>
      <c r="M19">
        <v>192.87091116882519</v>
      </c>
      <c r="N19">
        <v>108.89095754350966</v>
      </c>
      <c r="O19">
        <v>110.27895660746564</v>
      </c>
      <c r="P19">
        <v>119.71165130498991</v>
      </c>
      <c r="Q19">
        <v>123.0132923877426</v>
      </c>
      <c r="R19">
        <v>164.8</v>
      </c>
      <c r="S19">
        <v>176</v>
      </c>
      <c r="T19" s="9"/>
      <c r="U19" s="63"/>
    </row>
    <row r="20" spans="1:21" x14ac:dyDescent="0.2">
      <c r="A20" t="s">
        <v>172</v>
      </c>
      <c r="B20" t="s">
        <v>173</v>
      </c>
      <c r="C20" t="s">
        <v>53</v>
      </c>
      <c r="D20">
        <v>20210128</v>
      </c>
      <c r="E20">
        <v>165.956613</v>
      </c>
      <c r="F20">
        <v>166.251822</v>
      </c>
      <c r="G20">
        <v>182.39529999999999</v>
      </c>
      <c r="H20">
        <v>152.36899</v>
      </c>
      <c r="I20">
        <v>67.150509</v>
      </c>
      <c r="J20">
        <f>AVERAGE(E20:H20)</f>
        <v>166.74318125000002</v>
      </c>
      <c r="K20">
        <v>187.48515525919032</v>
      </c>
      <c r="L20">
        <v>200.11634786523013</v>
      </c>
      <c r="M20">
        <v>199.38076137164413</v>
      </c>
      <c r="N20">
        <v>188.87366126143763</v>
      </c>
      <c r="O20">
        <v>182.75325923991142</v>
      </c>
      <c r="P20">
        <v>194.02806952576734</v>
      </c>
      <c r="Q20">
        <v>192.10620908719682</v>
      </c>
      <c r="R20">
        <v>201.5</v>
      </c>
      <c r="S20">
        <v>184</v>
      </c>
    </row>
    <row r="21" spans="1:21" x14ac:dyDescent="0.2">
      <c r="A21" t="s">
        <v>172</v>
      </c>
      <c r="B21" t="s">
        <v>173</v>
      </c>
      <c r="C21" t="s">
        <v>54</v>
      </c>
      <c r="D21">
        <v>20210422</v>
      </c>
      <c r="E21">
        <v>150.455467</v>
      </c>
      <c r="F21">
        <v>148.85680600000001</v>
      </c>
      <c r="G21">
        <v>148.42246599999999</v>
      </c>
      <c r="H21">
        <v>143.87309200000001</v>
      </c>
      <c r="I21">
        <v>69.589640000000003</v>
      </c>
      <c r="J21">
        <v>147.90195775000001</v>
      </c>
      <c r="K21">
        <v>175.06336497189716</v>
      </c>
      <c r="L21">
        <v>171.43905777700411</v>
      </c>
      <c r="M21">
        <v>151.04407145603525</v>
      </c>
      <c r="N21">
        <v>172.17697928722433</v>
      </c>
      <c r="O21">
        <v>189.54220291800544</v>
      </c>
      <c r="P21">
        <v>166.83959973053044</v>
      </c>
      <c r="Q21">
        <v>171.01754602344943</v>
      </c>
      <c r="R21">
        <v>149.5</v>
      </c>
      <c r="S21">
        <v>151</v>
      </c>
    </row>
    <row r="22" spans="1:21" x14ac:dyDescent="0.2">
      <c r="A22" t="s">
        <v>172</v>
      </c>
      <c r="B22" t="s">
        <v>173</v>
      </c>
      <c r="C22" t="s">
        <v>55</v>
      </c>
      <c r="D22">
        <v>20210722</v>
      </c>
      <c r="E22">
        <v>207.669634</v>
      </c>
      <c r="F22">
        <v>197.46239800000001</v>
      </c>
      <c r="G22">
        <v>201.81041500000001</v>
      </c>
      <c r="H22">
        <v>197.229007</v>
      </c>
      <c r="I22">
        <v>87.990466999999995</v>
      </c>
      <c r="J22">
        <v>201.04286350000001</v>
      </c>
      <c r="K22">
        <v>208.42123825251227</v>
      </c>
      <c r="L22">
        <v>200.30540019782501</v>
      </c>
      <c r="M22">
        <v>205.31509471753421</v>
      </c>
      <c r="N22">
        <v>206.99895750485433</v>
      </c>
      <c r="O22">
        <v>190.92727763787826</v>
      </c>
      <c r="P22">
        <v>205.25402672365911</v>
      </c>
      <c r="Q22">
        <v>202.87033250571051</v>
      </c>
      <c r="R22">
        <v>171.8</v>
      </c>
      <c r="S22">
        <v>194</v>
      </c>
    </row>
    <row r="23" spans="1:21" x14ac:dyDescent="0.2">
      <c r="A23" t="s">
        <v>172</v>
      </c>
      <c r="B23" t="s">
        <v>173</v>
      </c>
      <c r="C23" t="s">
        <v>71</v>
      </c>
      <c r="D23" s="12">
        <v>20211021</v>
      </c>
      <c r="E23">
        <v>209.25325164500001</v>
      </c>
      <c r="F23">
        <v>192.71207974285809</v>
      </c>
      <c r="G23">
        <v>178.40595462413</v>
      </c>
      <c r="H23">
        <v>191.032010179</v>
      </c>
      <c r="I23">
        <v>75.020048982778093</v>
      </c>
      <c r="J23">
        <f>AVERAGE(E23:H23)</f>
        <v>192.85082404774704</v>
      </c>
      <c r="K23" s="95">
        <f>(E23/E22)*$S21</f>
        <v>152.15147438645266</v>
      </c>
      <c r="L23" s="95">
        <f>(F23/F22)*$S21</f>
        <v>147.36741949812426</v>
      </c>
      <c r="M23" s="95">
        <f>(G23/G22)*$S21</f>
        <v>133.48815098687365</v>
      </c>
      <c r="N23" s="95">
        <f t="shared" ref="N23:O23" si="0">(H23/H22)*$S21</f>
        <v>146.25553297557798</v>
      </c>
      <c r="O23" s="95">
        <f t="shared" si="0"/>
        <v>128.74153056148108</v>
      </c>
      <c r="P23" s="95">
        <f>(J23/J22)*$S21</f>
        <v>144.84709342199457</v>
      </c>
      <c r="Q23" s="95">
        <f>(K23/K22)*$S21</f>
        <v>110.23287657719027</v>
      </c>
      <c r="R23" s="6">
        <f>'1. Data &amp; Confidence Interval'!AJ14</f>
        <v>190</v>
      </c>
      <c r="S23" s="10"/>
    </row>
    <row r="24" spans="1:21" x14ac:dyDescent="0.2">
      <c r="A24" s="168" t="s">
        <v>75</v>
      </c>
      <c r="B24" s="169"/>
      <c r="C24" s="169"/>
      <c r="D24" s="169"/>
      <c r="E24" s="104">
        <f t="shared" ref="E24:Q24" si="1">CORREL(E$8:E$22,$S$8:$S$22)</f>
        <v>0.62267023923944187</v>
      </c>
      <c r="F24" s="104">
        <f t="shared" si="1"/>
        <v>0.64432692773829248</v>
      </c>
      <c r="G24" s="105">
        <f t="shared" si="1"/>
        <v>0.92343020746569393</v>
      </c>
      <c r="H24" s="104">
        <f t="shared" si="1"/>
        <v>0.7619889921872629</v>
      </c>
      <c r="I24" s="104">
        <f t="shared" si="1"/>
        <v>0.4148991835401924</v>
      </c>
      <c r="J24" s="104">
        <f>CORREL(J$8:J$22,$S$8:$S$22)</f>
        <v>0.82739507873962193</v>
      </c>
      <c r="K24" s="104">
        <f t="shared" si="1"/>
        <v>0.45911477784964627</v>
      </c>
      <c r="L24" s="104">
        <f t="shared" si="1"/>
        <v>0.42052340522558257</v>
      </c>
      <c r="M24" s="104">
        <f t="shared" si="1"/>
        <v>0.90780734565040033</v>
      </c>
      <c r="N24" s="104">
        <f t="shared" si="1"/>
        <v>0.61956950624713525</v>
      </c>
      <c r="O24" s="104">
        <f t="shared" si="1"/>
        <v>0.51444341601362509</v>
      </c>
      <c r="P24" s="104">
        <f t="shared" si="1"/>
        <v>0.65027482660722369</v>
      </c>
      <c r="Q24" s="104">
        <f t="shared" si="1"/>
        <v>0.65403330483126665</v>
      </c>
      <c r="R24" s="105">
        <f>CORREL(R$8:R$22,$S$8:$S$22)</f>
        <v>0.90798742931565446</v>
      </c>
      <c r="S24" s="5"/>
    </row>
    <row r="26" spans="1:21" x14ac:dyDescent="0.2">
      <c r="A26" s="171" t="s">
        <v>77</v>
      </c>
      <c r="B26" s="172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8" si="2">A6</f>
        <v>BSX_NEUROMODULATION</v>
      </c>
      <c r="B28" s="9" t="str">
        <f t="shared" si="2"/>
        <v>Neuromodulation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-6.4621457242544866E-2</v>
      </c>
      <c r="F28" s="18">
        <f t="shared" si="3"/>
        <v>-6.5296535765912989E-4</v>
      </c>
      <c r="G28" s="18">
        <f t="shared" si="3"/>
        <v>-4.0262087993055973E-2</v>
      </c>
      <c r="H28" s="18">
        <f t="shared" si="3"/>
        <v>-3.4947112785653656E-2</v>
      </c>
      <c r="I28" s="18">
        <f t="shared" si="3"/>
        <v>0.48129468473545978</v>
      </c>
      <c r="J28" s="18">
        <f t="shared" si="3"/>
        <v>-3.5657305941930062E-2</v>
      </c>
      <c r="K28" s="18"/>
      <c r="L28" s="18"/>
      <c r="M28" s="18"/>
      <c r="N28" s="18"/>
      <c r="O28" s="18"/>
      <c r="P28" s="18"/>
      <c r="Q28" s="18"/>
      <c r="R28" s="41">
        <f t="shared" si="3"/>
        <v>2.6272577996715896E-2</v>
      </c>
    </row>
    <row r="29" spans="1:21" x14ac:dyDescent="0.2">
      <c r="A29" s="9" t="str">
        <f t="shared" ref="A29:D29" si="4">A7</f>
        <v>BSX_NEUROMODULATION</v>
      </c>
      <c r="B29" s="9" t="str">
        <f t="shared" si="4"/>
        <v>Neuromodulation</v>
      </c>
      <c r="C29" s="9" t="str">
        <f t="shared" si="4"/>
        <v>2017Q3</v>
      </c>
      <c r="D29" s="9">
        <f t="shared" si="4"/>
        <v>20171019</v>
      </c>
      <c r="E29" s="18">
        <f t="shared" ref="E29:R29" si="5">$S7/E7-1</f>
        <v>-0.12709326671752519</v>
      </c>
      <c r="F29" s="18">
        <f t="shared" si="5"/>
        <v>-0.10648250136394377</v>
      </c>
      <c r="G29" s="18">
        <f t="shared" si="5"/>
        <v>5.9674902504862848E-2</v>
      </c>
      <c r="H29" s="18">
        <f t="shared" si="5"/>
        <v>-6.2745659662552522E-2</v>
      </c>
      <c r="I29" s="18">
        <f t="shared" si="5"/>
        <v>0.50271879397800467</v>
      </c>
      <c r="J29" s="18">
        <f t="shared" si="5"/>
        <v>-6.4415445786678682E-2</v>
      </c>
      <c r="K29" s="18">
        <f t="shared" si="5"/>
        <v>-6.6787729907526239E-2</v>
      </c>
      <c r="L29" s="18">
        <f t="shared" si="5"/>
        <v>-0.10589868417847514</v>
      </c>
      <c r="M29" s="18">
        <f t="shared" si="5"/>
        <v>0.10412945997823186</v>
      </c>
      <c r="N29" s="18">
        <f t="shared" si="5"/>
        <v>-2.8805205647475018E-2</v>
      </c>
      <c r="O29" s="18">
        <f t="shared" si="5"/>
        <v>1.4463097358896615E-2</v>
      </c>
      <c r="P29" s="18">
        <f t="shared" si="5"/>
        <v>-2.9821493979210745E-2</v>
      </c>
      <c r="Q29" s="18">
        <f t="shared" si="5"/>
        <v>-2.3094175917808935E-2</v>
      </c>
      <c r="R29" s="41">
        <f t="shared" si="5"/>
        <v>1.5898251192369983E-3</v>
      </c>
    </row>
    <row r="30" spans="1:21" x14ac:dyDescent="0.2">
      <c r="A30" s="9" t="str">
        <f>A8</f>
        <v>BSX_NEUROMODULATION</v>
      </c>
      <c r="B30" s="9" t="str">
        <f t="shared" ref="B30:D31" si="6">B8</f>
        <v>Neuromodulation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-9.9062893872810309E-2</v>
      </c>
      <c r="F30" s="18">
        <f t="shared" si="7"/>
        <v>-8.4381234085744716E-2</v>
      </c>
      <c r="G30" s="18">
        <f t="shared" si="7"/>
        <v>5.9525655873398753E-2</v>
      </c>
      <c r="H30" s="18">
        <f t="shared" si="7"/>
        <v>6.8845385899928502E-2</v>
      </c>
      <c r="I30" s="18">
        <f t="shared" si="7"/>
        <v>0.7208755860872027</v>
      </c>
      <c r="J30" s="18">
        <f t="shared" si="7"/>
        <v>-1.9973093720631274E-2</v>
      </c>
      <c r="K30" s="18">
        <f t="shared" si="7"/>
        <v>3.21115323962613E-2</v>
      </c>
      <c r="L30" s="18">
        <f t="shared" si="7"/>
        <v>2.4735125290703763E-2</v>
      </c>
      <c r="M30" s="18">
        <f t="shared" si="7"/>
        <v>-1.408419045418885E-4</v>
      </c>
      <c r="N30" s="18">
        <f t="shared" si="7"/>
        <v>0.14040057207428158</v>
      </c>
      <c r="O30" s="18">
        <f t="shared" si="7"/>
        <v>0.14517472795538278</v>
      </c>
      <c r="P30" s="18">
        <f t="shared" si="7"/>
        <v>4.7502229345178337E-2</v>
      </c>
      <c r="Q30" s="18">
        <f t="shared" si="7"/>
        <v>6.2011508538570626E-2</v>
      </c>
      <c r="R30" s="41">
        <f t="shared" si="7"/>
        <v>1.971447994561526E-2</v>
      </c>
    </row>
    <row r="31" spans="1:21" x14ac:dyDescent="0.2">
      <c r="A31" s="9" t="str">
        <f>A9</f>
        <v>BSX_NEUROMODULATION</v>
      </c>
      <c r="B31" s="9" t="str">
        <f t="shared" si="6"/>
        <v>Neuromodulation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-0.10999628596694389</v>
      </c>
      <c r="F31" s="18">
        <f t="shared" si="7"/>
        <v>-0.1060704097159092</v>
      </c>
      <c r="G31" s="18">
        <f t="shared" si="7"/>
        <v>8.4458261708981741E-3</v>
      </c>
      <c r="H31" s="18">
        <f t="shared" si="7"/>
        <v>6.507265454090394E-2</v>
      </c>
      <c r="I31" s="18">
        <f t="shared" si="7"/>
        <v>0.72336262199072254</v>
      </c>
      <c r="J31" s="18">
        <f t="shared" si="7"/>
        <v>-4.1405333149478363E-2</v>
      </c>
      <c r="K31" s="18">
        <f t="shared" ref="K31:Q31" si="9">$S9/K9-1</f>
        <v>-1.2135577522311536E-2</v>
      </c>
      <c r="L31" s="18">
        <f t="shared" si="9"/>
        <v>-2.3687998146813438E-2</v>
      </c>
      <c r="M31" s="18">
        <f t="shared" si="9"/>
        <v>-4.8210092336456123E-2</v>
      </c>
      <c r="N31" s="18">
        <f t="shared" si="9"/>
        <v>-3.5297260097616467E-3</v>
      </c>
      <c r="O31" s="18">
        <f t="shared" si="9"/>
        <v>1.4452154029185316E-3</v>
      </c>
      <c r="P31" s="18">
        <f t="shared" si="9"/>
        <v>-2.1869031647522408E-2</v>
      </c>
      <c r="Q31" s="18">
        <f t="shared" si="9"/>
        <v>-1.8269433570531901E-2</v>
      </c>
      <c r="R31" s="41">
        <f>$S9/R9-1</f>
        <v>2.5841816758026548E-2</v>
      </c>
    </row>
    <row r="32" spans="1:21" x14ac:dyDescent="0.2">
      <c r="A32" s="9" t="str">
        <f t="shared" ref="A32:D32" si="10">A10</f>
        <v>BSX_NEUROMODULATION</v>
      </c>
      <c r="B32" s="9" t="str">
        <f t="shared" si="10"/>
        <v>Neuromodulation</v>
      </c>
      <c r="C32" s="9" t="str">
        <f t="shared" si="10"/>
        <v>2018Q2</v>
      </c>
      <c r="D32" s="9">
        <f t="shared" si="10"/>
        <v>20180719</v>
      </c>
      <c r="E32" s="18">
        <f t="shared" si="8"/>
        <v>-1.5514628037429534E-2</v>
      </c>
      <c r="F32" s="18">
        <f t="shared" ref="F32:J32" si="11">$S10/F10-1</f>
        <v>-9.8640269137417746E-5</v>
      </c>
      <c r="G32" s="18">
        <f t="shared" si="11"/>
        <v>4.5103976904769638E-2</v>
      </c>
      <c r="H32" s="18">
        <f t="shared" si="11"/>
        <v>6.6737055808845369E-3</v>
      </c>
      <c r="I32" s="18">
        <f t="shared" si="11"/>
        <v>0.73840395199193209</v>
      </c>
      <c r="J32" s="18">
        <f t="shared" si="11"/>
        <v>8.5548379118820517E-3</v>
      </c>
      <c r="K32" s="18">
        <f t="shared" ref="K32:Q32" si="12">$S10/K10-1</f>
        <v>0.10615872320506425</v>
      </c>
      <c r="L32" s="18">
        <f t="shared" si="12"/>
        <v>0.11854599131581911</v>
      </c>
      <c r="M32" s="18">
        <f t="shared" si="12"/>
        <v>3.6351135363476672E-2</v>
      </c>
      <c r="N32" s="18">
        <f t="shared" si="12"/>
        <v>-5.4830953279137673E-2</v>
      </c>
      <c r="O32" s="18">
        <f t="shared" si="12"/>
        <v>8.7278961544581257E-3</v>
      </c>
      <c r="P32" s="18">
        <f t="shared" si="12"/>
        <v>5.2118140011674807E-2</v>
      </c>
      <c r="Q32" s="18">
        <f t="shared" si="12"/>
        <v>4.1161610878502897E-2</v>
      </c>
      <c r="R32" s="41">
        <f t="shared" ref="R32:R39" si="13">$S10/R10-1</f>
        <v>0.12834978843441447</v>
      </c>
    </row>
    <row r="33" spans="1:18" x14ac:dyDescent="0.2">
      <c r="A33" s="9" t="str">
        <f t="shared" ref="A33:D33" si="14">A11</f>
        <v>BSX_NEUROMODULATION</v>
      </c>
      <c r="B33" s="9" t="str">
        <f t="shared" si="14"/>
        <v>Neuromodulation</v>
      </c>
      <c r="C33" s="9" t="str">
        <f t="shared" si="14"/>
        <v>2018Q3</v>
      </c>
      <c r="D33" s="9">
        <f t="shared" si="14"/>
        <v>20181018</v>
      </c>
      <c r="E33" s="18">
        <f t="shared" si="8"/>
        <v>5.7315538191742288E-3</v>
      </c>
      <c r="F33" s="18">
        <f t="shared" ref="F33:J33" si="15">$S11/F11-1</f>
        <v>2.2848238779394459E-2</v>
      </c>
      <c r="G33" s="18">
        <f t="shared" si="15"/>
        <v>0.16333142424392144</v>
      </c>
      <c r="H33" s="18">
        <f t="shared" si="15"/>
        <v>2.0650189728993018E-2</v>
      </c>
      <c r="I33" s="18">
        <f t="shared" si="15"/>
        <v>0.88985986908538339</v>
      </c>
      <c r="J33" s="18">
        <f t="shared" si="15"/>
        <v>4.950209377783632E-2</v>
      </c>
      <c r="K33" s="18">
        <f t="shared" ref="K33:Q33" si="16">$S11/K11-1</f>
        <v>2.1581003092254525E-2</v>
      </c>
      <c r="L33" s="18">
        <f t="shared" si="16"/>
        <v>2.2949142758150076E-2</v>
      </c>
      <c r="M33" s="18">
        <f t="shared" si="16"/>
        <v>0.11312505736443534</v>
      </c>
      <c r="N33" s="18">
        <f t="shared" si="16"/>
        <v>1.3883827570566831E-2</v>
      </c>
      <c r="O33" s="18">
        <f t="shared" si="16"/>
        <v>8.7123546239012528E-2</v>
      </c>
      <c r="P33" s="18">
        <f t="shared" si="16"/>
        <v>4.0599930045184029E-2</v>
      </c>
      <c r="Q33" s="18">
        <f t="shared" si="16"/>
        <v>4.8591500158347234E-2</v>
      </c>
      <c r="R33" s="41">
        <f t="shared" si="13"/>
        <v>6.4935064935065512E-3</v>
      </c>
    </row>
    <row r="34" spans="1:18" x14ac:dyDescent="0.2">
      <c r="A34" s="9" t="str">
        <f t="shared" ref="A34:D34" si="17">A12</f>
        <v>BSX_NEUROMODULATION</v>
      </c>
      <c r="B34" s="9" t="str">
        <f t="shared" si="17"/>
        <v>Neuromodulation</v>
      </c>
      <c r="C34" s="9" t="str">
        <f t="shared" si="17"/>
        <v>2018Q4</v>
      </c>
      <c r="D34" s="9">
        <f t="shared" si="17"/>
        <v>20190131</v>
      </c>
      <c r="E34" s="18">
        <f t="shared" si="8"/>
        <v>7.4976971503210921E-2</v>
      </c>
      <c r="F34" s="18">
        <f t="shared" ref="F34:J34" si="18">$S12/F12-1</f>
        <v>9.232198667721403E-2</v>
      </c>
      <c r="G34" s="18">
        <f t="shared" si="18"/>
        <v>0.13179838921046505</v>
      </c>
      <c r="H34" s="18">
        <f t="shared" si="18"/>
        <v>6.4208694908508779E-2</v>
      </c>
      <c r="I34" s="18">
        <f t="shared" si="18"/>
        <v>0.8034189399662417</v>
      </c>
      <c r="J34" s="18">
        <f t="shared" si="18"/>
        <v>9.0230660023747467E-2</v>
      </c>
      <c r="K34" s="18">
        <f t="shared" ref="K34:Q34" si="19">$S12/K12-1</f>
        <v>6.8850795643313978E-2</v>
      </c>
      <c r="L34" s="18">
        <f t="shared" si="19"/>
        <v>6.7921853178068314E-2</v>
      </c>
      <c r="M34" s="18">
        <f t="shared" si="19"/>
        <v>-2.7105805255755566E-2</v>
      </c>
      <c r="N34" s="18">
        <f t="shared" si="19"/>
        <v>4.2677212641367035E-2</v>
      </c>
      <c r="O34" s="18">
        <f t="shared" si="19"/>
        <v>-4.5739332599816329E-2</v>
      </c>
      <c r="P34" s="18">
        <f t="shared" si="19"/>
        <v>3.8807513093473744E-2</v>
      </c>
      <c r="Q34" s="18">
        <f t="shared" si="19"/>
        <v>2.2235859834657257E-2</v>
      </c>
      <c r="R34" s="41">
        <f t="shared" si="13"/>
        <v>-2.047592695074707E-2</v>
      </c>
    </row>
    <row r="35" spans="1:18" x14ac:dyDescent="0.2">
      <c r="A35" s="9" t="str">
        <f t="shared" ref="A35:D35" si="20">A13</f>
        <v>BSX_NEUROMODULATION</v>
      </c>
      <c r="B35" s="9" t="str">
        <f t="shared" si="20"/>
        <v>Neuromodulation</v>
      </c>
      <c r="C35" s="9" t="str">
        <f t="shared" si="20"/>
        <v>2019Q1</v>
      </c>
      <c r="D35" s="9">
        <f t="shared" si="20"/>
        <v>20190418</v>
      </c>
      <c r="E35" s="18">
        <f t="shared" si="8"/>
        <v>-8.6846196382438512E-2</v>
      </c>
      <c r="F35" s="18">
        <f t="shared" ref="F35:J35" si="21">$S13/F13-1</f>
        <v>-8.489729363839793E-2</v>
      </c>
      <c r="G35" s="18">
        <f t="shared" si="21"/>
        <v>-1.0572906754920952E-3</v>
      </c>
      <c r="H35" s="18">
        <f t="shared" si="21"/>
        <v>-6.5607887930567488E-2</v>
      </c>
      <c r="I35" s="18">
        <f t="shared" si="21"/>
        <v>0.63197941638761423</v>
      </c>
      <c r="J35" s="18">
        <f t="shared" si="21"/>
        <v>-6.0845960805599786E-2</v>
      </c>
      <c r="K35" s="18">
        <f t="shared" ref="K35:Q35" si="22">$S13/K13-1</f>
        <v>-0.15053640419790715</v>
      </c>
      <c r="L35" s="18">
        <f t="shared" si="22"/>
        <v>-0.16224087995766123</v>
      </c>
      <c r="M35" s="18">
        <f t="shared" si="22"/>
        <v>-0.11738458116965189</v>
      </c>
      <c r="N35" s="18">
        <f t="shared" si="22"/>
        <v>-0.12198414038539374</v>
      </c>
      <c r="O35" s="18">
        <f t="shared" si="22"/>
        <v>-9.5063614881318981E-2</v>
      </c>
      <c r="P35" s="18">
        <f t="shared" si="22"/>
        <v>-0.13857308032967675</v>
      </c>
      <c r="Q35" s="18">
        <f t="shared" si="22"/>
        <v>-0.13153188953048323</v>
      </c>
      <c r="R35" s="41">
        <f t="shared" si="13"/>
        <v>-7.8104993597951311E-2</v>
      </c>
    </row>
    <row r="36" spans="1:18" x14ac:dyDescent="0.2">
      <c r="A36" s="9" t="str">
        <f t="shared" ref="A36:D36" si="23">A14</f>
        <v>BSX_NEUROMODULATION</v>
      </c>
      <c r="B36" s="9" t="str">
        <f t="shared" si="23"/>
        <v>Neuromodulation</v>
      </c>
      <c r="C36" s="9" t="str">
        <f t="shared" si="23"/>
        <v>2019Q2</v>
      </c>
      <c r="D36" s="9">
        <f t="shared" si="23"/>
        <v>20190718</v>
      </c>
      <c r="E36" s="18">
        <f t="shared" si="8"/>
        <v>3.1536228738620053E-2</v>
      </c>
      <c r="F36" s="18">
        <f t="shared" ref="F36:J36" si="24">$S14/F14-1</f>
        <v>2.2226520400788541E-2</v>
      </c>
      <c r="G36" s="18">
        <f>$S14/G14-1</f>
        <v>4.3499080944706225E-2</v>
      </c>
      <c r="H36" s="18">
        <f t="shared" si="24"/>
        <v>6.8348475080785231E-2</v>
      </c>
      <c r="I36" s="18">
        <f t="shared" si="24"/>
        <v>0.93501676728310423</v>
      </c>
      <c r="J36" s="18">
        <f t="shared" si="24"/>
        <v>4.1118169894110324E-2</v>
      </c>
      <c r="K36" s="18">
        <f t="shared" ref="K36:Q36" si="25">$S14/K14-1</f>
        <v>0.12964127691531613</v>
      </c>
      <c r="L36" s="18">
        <f t="shared" si="25"/>
        <v>0.11706206668878183</v>
      </c>
      <c r="M36" s="18">
        <f t="shared" si="25"/>
        <v>4.4603530517108192E-2</v>
      </c>
      <c r="N36" s="18">
        <f t="shared" si="25"/>
        <v>0.14336204392251828</v>
      </c>
      <c r="O36" s="18">
        <f t="shared" si="25"/>
        <v>0.18568699326261306</v>
      </c>
      <c r="P36" s="18">
        <f t="shared" si="25"/>
        <v>0.10857018811011487</v>
      </c>
      <c r="Q36" s="18">
        <f t="shared" si="25"/>
        <v>0.119860006410758</v>
      </c>
      <c r="R36" s="41">
        <f t="shared" si="13"/>
        <v>-7.9401611047180687E-2</v>
      </c>
    </row>
    <row r="37" spans="1:18" x14ac:dyDescent="0.2">
      <c r="A37" s="9" t="str">
        <f t="shared" ref="A37:D37" si="26">A15</f>
        <v>BSX_NEUROMODULATION</v>
      </c>
      <c r="B37" s="9" t="str">
        <f t="shared" si="26"/>
        <v>Neuromodulation</v>
      </c>
      <c r="C37" s="9" t="str">
        <f t="shared" si="26"/>
        <v>2019Q3</v>
      </c>
      <c r="D37" s="9">
        <f t="shared" si="26"/>
        <v>20191017</v>
      </c>
      <c r="E37" s="18">
        <f t="shared" si="8"/>
        <v>7.6267990282605558E-2</v>
      </c>
      <c r="F37" s="18">
        <f t="shared" ref="F37:J37" si="27">$S15/F15-1</f>
        <v>4.0805223795730816E-2</v>
      </c>
      <c r="G37" s="18">
        <f>$S15/G15-1</f>
        <v>0.10512294172663794</v>
      </c>
      <c r="H37" s="18">
        <f t="shared" si="27"/>
        <v>0.1096763676171526</v>
      </c>
      <c r="I37" s="18">
        <f t="shared" si="27"/>
        <v>1.0296472458668426</v>
      </c>
      <c r="J37" s="18">
        <f t="shared" si="27"/>
        <v>8.2259420395168981E-2</v>
      </c>
      <c r="K37" s="18">
        <f t="shared" ref="K37:Q37" si="28">$S15/K15-1</f>
        <v>4.3364217656886694E-2</v>
      </c>
      <c r="L37" s="18">
        <f t="shared" si="28"/>
        <v>1.8174742118467035E-2</v>
      </c>
      <c r="M37" s="18">
        <f t="shared" si="28"/>
        <v>5.9055021616446268E-2</v>
      </c>
      <c r="N37" s="18">
        <f t="shared" si="28"/>
        <v>3.868390651584197E-2</v>
      </c>
      <c r="O37" s="18">
        <f t="shared" si="28"/>
        <v>4.8904216327079419E-2</v>
      </c>
      <c r="P37" s="18">
        <f t="shared" si="28"/>
        <v>3.9516408118439594E-2</v>
      </c>
      <c r="Q37" s="18">
        <f t="shared" si="28"/>
        <v>4.113448582606094E-2</v>
      </c>
      <c r="R37" s="41">
        <f t="shared" si="13"/>
        <v>6.7677946324387284E-2</v>
      </c>
    </row>
    <row r="38" spans="1:18" x14ac:dyDescent="0.2">
      <c r="A38" s="9" t="str">
        <f t="shared" ref="A38:D38" si="29">A16</f>
        <v>BSX_NEUROMODULATION</v>
      </c>
      <c r="B38" s="9" t="str">
        <f t="shared" si="29"/>
        <v>Neuromodulation</v>
      </c>
      <c r="C38" s="9" t="str">
        <f t="shared" si="29"/>
        <v>2019Q4</v>
      </c>
      <c r="D38" s="9">
        <f t="shared" si="29"/>
        <v>20200130</v>
      </c>
      <c r="E38" s="18">
        <f t="shared" si="8"/>
        <v>0.22797446986762893</v>
      </c>
      <c r="F38" s="18">
        <f t="shared" ref="F38:J38" si="30">$S16/F16-1</f>
        <v>0.26906938434295902</v>
      </c>
      <c r="G38" s="18">
        <f t="shared" si="30"/>
        <v>0.13173528792142841</v>
      </c>
      <c r="H38" s="18">
        <f t="shared" si="30"/>
        <v>0.16007095774794577</v>
      </c>
      <c r="I38" s="18">
        <f t="shared" si="30"/>
        <v>1.477745379403927</v>
      </c>
      <c r="J38" s="18">
        <f t="shared" si="30"/>
        <v>0.19476338368162449</v>
      </c>
      <c r="K38" s="18">
        <f t="shared" ref="K38:Q38" si="31">$S16/K16-1</f>
        <v>0.14095604529238881</v>
      </c>
      <c r="L38" s="18">
        <f t="shared" si="31"/>
        <v>0.21931496434536291</v>
      </c>
      <c r="M38" s="18">
        <f t="shared" si="31"/>
        <v>2.4080891989457287E-2</v>
      </c>
      <c r="N38" s="18">
        <f t="shared" si="31"/>
        <v>4.5413772520908502E-2</v>
      </c>
      <c r="O38" s="18">
        <f t="shared" si="31"/>
        <v>0.22077636123695288</v>
      </c>
      <c r="P38" s="18">
        <f t="shared" si="31"/>
        <v>0.1039528611775693</v>
      </c>
      <c r="Q38" s="18">
        <f t="shared" si="31"/>
        <v>0.12052735210286025</v>
      </c>
      <c r="R38" s="41">
        <f t="shared" si="13"/>
        <v>7.7519379844961378E-3</v>
      </c>
    </row>
    <row r="39" spans="1:18" x14ac:dyDescent="0.2">
      <c r="A39" s="9" t="str">
        <f t="shared" ref="A39:D39" si="32">A17</f>
        <v>BSX_NEUROMODULATION</v>
      </c>
      <c r="B39" s="9" t="str">
        <f t="shared" si="32"/>
        <v>Neuromodulation</v>
      </c>
      <c r="C39" s="9" t="str">
        <f t="shared" si="32"/>
        <v>2020Q1</v>
      </c>
      <c r="D39" s="9">
        <f t="shared" si="32"/>
        <v>20200423</v>
      </c>
      <c r="E39" s="18">
        <f t="shared" si="8"/>
        <v>-0.12954745235458365</v>
      </c>
      <c r="F39" s="18">
        <f t="shared" ref="F39:J39" si="33">$S17/F17-1</f>
        <v>-8.6881849550202728E-2</v>
      </c>
      <c r="G39" s="18">
        <f t="shared" ref="G39:G44" si="34">$S17/G17-1</f>
        <v>-5.7074670706433572E-2</v>
      </c>
      <c r="H39" s="18">
        <f t="shared" si="33"/>
        <v>-8.4378454690116178E-2</v>
      </c>
      <c r="I39" s="18">
        <f t="shared" si="33"/>
        <v>1.0019454667403274</v>
      </c>
      <c r="J39" s="18">
        <f t="shared" si="33"/>
        <v>-9.0218460734799666E-2</v>
      </c>
      <c r="K39" s="18">
        <f t="shared" ref="K39:Q39" si="35">$S17/K17-1</f>
        <v>-0.29114768343738628</v>
      </c>
      <c r="L39" s="18">
        <f t="shared" si="35"/>
        <v>-0.2804820904866836</v>
      </c>
      <c r="M39" s="18">
        <f t="shared" si="35"/>
        <v>-0.16683226249367444</v>
      </c>
      <c r="N39" s="18">
        <f t="shared" si="35"/>
        <v>-0.21071936229884891</v>
      </c>
      <c r="O39" s="18">
        <f t="shared" si="35"/>
        <v>-0.19202938147666448</v>
      </c>
      <c r="P39" s="18">
        <f t="shared" si="35"/>
        <v>-0.2385257602541031</v>
      </c>
      <c r="Q39" s="18">
        <f t="shared" si="35"/>
        <v>-0.23260668205118862</v>
      </c>
      <c r="R39" s="41">
        <f t="shared" si="13"/>
        <v>-2.9562982005141403E-2</v>
      </c>
    </row>
    <row r="40" spans="1:18" x14ac:dyDescent="0.2">
      <c r="A40" s="9" t="str">
        <f t="shared" ref="A40:D40" si="36">A18</f>
        <v>BSX_NEUROMODULATION</v>
      </c>
      <c r="B40" s="9" t="str">
        <f t="shared" si="36"/>
        <v>Neuromodulation</v>
      </c>
      <c r="C40" s="9" t="str">
        <f t="shared" si="36"/>
        <v>2020Q2</v>
      </c>
      <c r="D40" s="9">
        <f t="shared" si="36"/>
        <v>20200723</v>
      </c>
      <c r="E40" s="18">
        <f t="shared" si="8"/>
        <v>-0.30029968864035839</v>
      </c>
      <c r="F40" s="18">
        <f t="shared" ref="F40:J40" si="37">$S18/F18-1</f>
        <v>-0.2708149624277929</v>
      </c>
      <c r="G40" s="18">
        <f t="shared" si="34"/>
        <v>0.20843565913331497</v>
      </c>
      <c r="H40" s="18">
        <f t="shared" si="37"/>
        <v>-0.2399743804483957</v>
      </c>
      <c r="I40" s="18">
        <f t="shared" si="37"/>
        <v>0.69507384419694862</v>
      </c>
      <c r="J40" s="18">
        <f t="shared" si="37"/>
        <v>-0.19091209323204106</v>
      </c>
      <c r="K40" s="18">
        <f t="shared" ref="K40:Q40" si="38">$S18/K18-1</f>
        <v>-0.19616489922128599</v>
      </c>
      <c r="L40" s="18">
        <f t="shared" si="38"/>
        <v>-0.20143407814967396</v>
      </c>
      <c r="M40" s="18">
        <f t="shared" si="38"/>
        <v>0.28158150130367932</v>
      </c>
      <c r="N40" s="18">
        <f t="shared" si="38"/>
        <v>-0.16993475803981817</v>
      </c>
      <c r="O40" s="18">
        <f t="shared" si="38"/>
        <v>-0.15328670417933188</v>
      </c>
      <c r="P40" s="18">
        <f t="shared" si="38"/>
        <v>-0.11067891372973804</v>
      </c>
      <c r="Q40" s="18">
        <f t="shared" si="38"/>
        <v>-0.11592859289334978</v>
      </c>
      <c r="R40" s="41">
        <f t="shared" ref="R40" si="39">$S18/R18-1</f>
        <v>0.67224080267558528</v>
      </c>
    </row>
    <row r="41" spans="1:18" x14ac:dyDescent="0.2">
      <c r="A41" s="9" t="str">
        <f t="shared" ref="A41:D41" si="40">A19</f>
        <v>BSX_NEUROMODULATION</v>
      </c>
      <c r="B41" s="9" t="str">
        <f t="shared" si="40"/>
        <v>Neuromodulation</v>
      </c>
      <c r="C41" s="9" t="str">
        <f t="shared" si="40"/>
        <v>2020Q3</v>
      </c>
      <c r="D41" s="9">
        <f t="shared" si="40"/>
        <v>20201022</v>
      </c>
      <c r="E41" s="18">
        <f t="shared" si="8"/>
        <v>0.18559500985215993</v>
      </c>
      <c r="F41" s="18">
        <f t="shared" ref="F41:I41" si="41">$S19/F19-1</f>
        <v>0.25258100186908572</v>
      </c>
      <c r="G41" s="18">
        <f t="shared" si="34"/>
        <v>0.10273070583098298</v>
      </c>
      <c r="H41" s="18">
        <f t="shared" si="41"/>
        <v>0.2284262353706823</v>
      </c>
      <c r="I41" s="18">
        <f t="shared" si="41"/>
        <v>1.7052577006197973</v>
      </c>
      <c r="J41" s="18">
        <f>$S19/J19-1</f>
        <v>0.18952056912462956</v>
      </c>
      <c r="K41" s="18">
        <f t="shared" ref="K41:Q41" si="42">$S19/K19-1</f>
        <v>0.69443258864404234</v>
      </c>
      <c r="L41" s="18">
        <f t="shared" si="42"/>
        <v>0.71778209552887295</v>
      </c>
      <c r="M41" s="18">
        <f t="shared" si="42"/>
        <v>-8.7472553878576442E-2</v>
      </c>
      <c r="N41" s="18">
        <f t="shared" si="42"/>
        <v>0.61629582446894648</v>
      </c>
      <c r="O41" s="18">
        <f t="shared" si="42"/>
        <v>0.59595271314060638</v>
      </c>
      <c r="P41" s="18">
        <f t="shared" si="42"/>
        <v>0.47019941736167348</v>
      </c>
      <c r="Q41" s="18">
        <f t="shared" si="42"/>
        <v>0.43073969148993485</v>
      </c>
      <c r="R41" s="41">
        <f>$S19/R19-1</f>
        <v>6.7961165048543659E-2</v>
      </c>
    </row>
    <row r="42" spans="1:18" x14ac:dyDescent="0.2">
      <c r="A42" s="9" t="str">
        <f t="shared" ref="A42:D42" si="43">A20</f>
        <v>BSX_NEUROMODULATION</v>
      </c>
      <c r="B42" s="9" t="str">
        <f t="shared" si="43"/>
        <v>Neuromodulation</v>
      </c>
      <c r="C42" s="9" t="str">
        <f t="shared" si="43"/>
        <v>2020Q4</v>
      </c>
      <c r="D42" s="9">
        <f t="shared" si="43"/>
        <v>20210128</v>
      </c>
      <c r="E42" s="18">
        <f t="shared" ref="E42:I42" si="44">$S20/E20-1</f>
        <v>0.1087235192007685</v>
      </c>
      <c r="F42" s="18">
        <f t="shared" si="44"/>
        <v>0.10675478792647453</v>
      </c>
      <c r="G42" s="18">
        <f t="shared" si="34"/>
        <v>8.7979240693154548E-3</v>
      </c>
      <c r="H42" s="18">
        <f t="shared" si="44"/>
        <v>0.20759479996553099</v>
      </c>
      <c r="I42" s="18">
        <f t="shared" si="44"/>
        <v>1.740113258113948</v>
      </c>
      <c r="J42" s="18">
        <f>$S20/J20-1</f>
        <v>0.10349339997373952</v>
      </c>
      <c r="K42" s="18">
        <f t="shared" ref="K42:Q42" si="45">$S20/K20-1</f>
        <v>-1.8588966440421628E-2</v>
      </c>
      <c r="L42" s="18">
        <f t="shared" si="45"/>
        <v>-8.053488901408401E-2</v>
      </c>
      <c r="M42" s="18">
        <f t="shared" si="45"/>
        <v>-7.7142655418867223E-2</v>
      </c>
      <c r="N42" s="18">
        <f t="shared" si="45"/>
        <v>-2.5803816312384265E-2</v>
      </c>
      <c r="O42" s="18">
        <f t="shared" si="45"/>
        <v>6.8219891961101009E-3</v>
      </c>
      <c r="P42" s="18">
        <f t="shared" si="45"/>
        <v>-5.1683602018395502E-2</v>
      </c>
      <c r="Q42" s="18">
        <f t="shared" si="45"/>
        <v>-4.2196497061255389E-2</v>
      </c>
      <c r="R42" s="41">
        <f>$S20/R20-1</f>
        <v>-8.6848635235732052E-2</v>
      </c>
    </row>
    <row r="43" spans="1:18" x14ac:dyDescent="0.2">
      <c r="A43" s="9" t="str">
        <f t="shared" ref="A43:D43" si="46">A21</f>
        <v>BSX_NEUROMODULATION</v>
      </c>
      <c r="B43" s="9" t="str">
        <f t="shared" si="46"/>
        <v>Neuromodulation</v>
      </c>
      <c r="C43" s="9" t="str">
        <f t="shared" si="46"/>
        <v>2021Q1</v>
      </c>
      <c r="D43" s="9">
        <f t="shared" si="46"/>
        <v>20210422</v>
      </c>
      <c r="E43" s="18">
        <f t="shared" ref="E43:J43" si="47">$S21/E21-1</f>
        <v>3.6192303999162956E-3</v>
      </c>
      <c r="F43" s="18">
        <f t="shared" si="47"/>
        <v>1.4397689011276915E-2</v>
      </c>
      <c r="G43" s="18">
        <f t="shared" si="34"/>
        <v>1.736619845677545E-2</v>
      </c>
      <c r="H43" s="18">
        <f t="shared" si="47"/>
        <v>4.9536073083075172E-2</v>
      </c>
      <c r="I43" s="18">
        <f t="shared" si="47"/>
        <v>1.1698632152716986</v>
      </c>
      <c r="J43" s="18">
        <f t="shared" si="47"/>
        <v>2.0946593927016366E-2</v>
      </c>
      <c r="K43" s="18">
        <f t="shared" ref="K43:Q43" si="48">$S21/K21-1</f>
        <v>-0.13745517216443337</v>
      </c>
      <c r="L43" s="18">
        <f t="shared" si="48"/>
        <v>-0.11922054426821338</v>
      </c>
      <c r="M43" s="18">
        <f t="shared" si="48"/>
        <v>-2.9177878754471642E-4</v>
      </c>
      <c r="N43" s="18">
        <f t="shared" si="48"/>
        <v>-0.12299541654693014</v>
      </c>
      <c r="O43" s="18">
        <f t="shared" si="48"/>
        <v>-0.20334364761328916</v>
      </c>
      <c r="P43" s="18">
        <f t="shared" si="48"/>
        <v>-9.4939089737170468E-2</v>
      </c>
      <c r="Q43" s="18">
        <f t="shared" si="48"/>
        <v>-0.11704966238203818</v>
      </c>
      <c r="R43" s="41">
        <f>$S21/R21-1</f>
        <v>1.0033444816053505E-2</v>
      </c>
    </row>
    <row r="44" spans="1:18" x14ac:dyDescent="0.2">
      <c r="A44" s="9" t="str">
        <f t="shared" ref="A44:D44" si="49">A22</f>
        <v>BSX_NEUROMODULATION</v>
      </c>
      <c r="B44" s="9" t="str">
        <f t="shared" si="49"/>
        <v>Neuromodulation</v>
      </c>
      <c r="C44" s="9" t="str">
        <f t="shared" si="49"/>
        <v>2021Q2</v>
      </c>
      <c r="D44" s="9">
        <f t="shared" si="49"/>
        <v>20210722</v>
      </c>
      <c r="E44" s="18">
        <f>$S22/E22-1</f>
        <v>-6.5823942271694857E-2</v>
      </c>
      <c r="F44" s="18">
        <f t="shared" ref="F44:J44" si="50">$S22/F22-1</f>
        <v>-1.7534467498971695E-2</v>
      </c>
      <c r="G44" s="18">
        <f t="shared" si="34"/>
        <v>-3.8701743911482511E-2</v>
      </c>
      <c r="H44" s="18">
        <f t="shared" si="50"/>
        <v>-1.6371866639271704E-2</v>
      </c>
      <c r="I44" s="18">
        <f t="shared" si="50"/>
        <v>1.2047842978262633</v>
      </c>
      <c r="J44" s="18">
        <f t="shared" si="50"/>
        <v>-3.5031651347325776E-2</v>
      </c>
      <c r="K44" s="18">
        <f t="shared" ref="K44:Q44" si="51">$S22/K22-1</f>
        <v>-6.9192748173966034E-2</v>
      </c>
      <c r="L44" s="18">
        <f t="shared" si="51"/>
        <v>-3.1478932627865719E-2</v>
      </c>
      <c r="M44" s="18">
        <f t="shared" si="51"/>
        <v>-5.511087595922326E-2</v>
      </c>
      <c r="N44" s="18">
        <f t="shared" si="51"/>
        <v>-6.2797212418567394E-2</v>
      </c>
      <c r="O44" s="18">
        <f t="shared" si="51"/>
        <v>1.6093679227698443E-2</v>
      </c>
      <c r="P44" s="18">
        <f t="shared" si="51"/>
        <v>-5.4829748791290767E-2</v>
      </c>
      <c r="Q44" s="18">
        <f t="shared" si="51"/>
        <v>-4.3724148307692112E-2</v>
      </c>
      <c r="R44" s="41">
        <f>$S22/R22-1</f>
        <v>0.12922002328288706</v>
      </c>
    </row>
    <row r="45" spans="1:18" x14ac:dyDescent="0.2">
      <c r="A45" s="177" t="s">
        <v>78</v>
      </c>
      <c r="B45" s="177"/>
      <c r="C45" s="173"/>
      <c r="D45" s="174"/>
      <c r="E45" s="74" cm="1">
        <f t="array" ref="E45">SUM(ABS(E28:E44))/COUNT(E28:E44)</f>
        <v>0.1007782814794361</v>
      </c>
      <c r="F45" s="107" cm="1">
        <f t="array" ref="F45">SUM(ABS(F28:F44))/COUNT(F28:F44)</f>
        <v>9.2871715100628444E-2</v>
      </c>
      <c r="G45" s="109" cm="1">
        <f t="array" ref="G45">SUM(ABS(G28:G44))/COUNT(G28:G44)</f>
        <v>7.1921398016349503E-2</v>
      </c>
      <c r="H45" s="107" cm="1">
        <f t="array" ref="H45">SUM(ABS(H28:H44))/COUNT(H28:H44)</f>
        <v>9.1360523628291071E-2</v>
      </c>
      <c r="I45" s="107" cm="1">
        <f t="array" ref="I45">SUM(ABS(I28:I44))/COUNT(I28:I44)</f>
        <v>0.96772711997325989</v>
      </c>
      <c r="J45" s="107" cm="1">
        <f t="array" ref="J45">SUM(ABS(J28:J44))/COUNT(J28:J44)</f>
        <v>7.7579321966367049E-2</v>
      </c>
      <c r="K45" s="107" cm="1">
        <f t="array" ref="K45">SUM(ABS(K28:K44))/COUNT(K28:K44)</f>
        <v>0.13619408524442289</v>
      </c>
      <c r="L45" s="107" cm="1">
        <f t="array" ref="L45">SUM(ABS(L28:L44))/COUNT(L28:L44)</f>
        <v>0.14446650487835605</v>
      </c>
      <c r="M45" s="107" cm="1">
        <f t="array" ref="M45">SUM(ABS(M28:M44))/COUNT(M28:M44)</f>
        <v>7.766362783357042E-2</v>
      </c>
      <c r="N45" s="107" cm="1">
        <f t="array" ref="N45">SUM(ABS(N28:N44))/COUNT(N28:N44)</f>
        <v>0.11513235941579672</v>
      </c>
      <c r="O45" s="107" cm="1">
        <f t="array" ref="O45">SUM(ABS(O28:O44))/COUNT(O28:O44)</f>
        <v>0.12628956976575934</v>
      </c>
      <c r="P45" s="107" cm="1">
        <f t="array" ref="P45">SUM(ABS(P28:P44))/COUNT(P28:P44)</f>
        <v>0.102636712984401</v>
      </c>
      <c r="Q45" s="107" cm="1">
        <f t="array" ref="Q45">SUM(ABS(Q28:Q44))/COUNT(Q28:Q44)</f>
        <v>0.10066644355962751</v>
      </c>
      <c r="R45" s="113" cm="1">
        <f t="array" ref="R45">SUM(ABS(R28:R44))/COUNT(R28:R44)</f>
        <v>8.5737733159777715E-2</v>
      </c>
    </row>
    <row r="46" spans="1:18" x14ac:dyDescent="0.2">
      <c r="A46" s="178" t="s">
        <v>79</v>
      </c>
      <c r="B46" s="178"/>
      <c r="C46" s="175"/>
      <c r="D46" s="176"/>
      <c r="E46" s="75" cm="1">
        <f t="array" ref="E46">SQRT(SUM(POWER(E28:E44,2))/COUNT(E28:E44))</f>
        <v>0.12649970458553228</v>
      </c>
      <c r="F46" s="108" cm="1">
        <f t="array" ref="F46">SQRT(SUM(POWER(F28:F44,2))/COUNT(F28:F44))</f>
        <v>0.12767563252118086</v>
      </c>
      <c r="G46" s="110" cm="1">
        <f t="array" ref="G46">SQRT(SUM(POWER(G28:G44,2))/COUNT(G28:G44))</f>
        <v>9.2135055538157415E-2</v>
      </c>
      <c r="H46" s="108" cm="1">
        <f t="array" ref="H46">SQRT(SUM(POWER(H28:H44,2))/COUNT(H28:H44))</f>
        <v>0.11582368465583573</v>
      </c>
      <c r="I46" s="108" cm="1">
        <f t="array" ref="I46">SQRT(SUM(POWER(I28:I44,2))/COUNT(I28:I44))</f>
        <v>1.0366922373458782</v>
      </c>
      <c r="J46" s="108" cm="1">
        <f t="array" ref="J46">SQRT(SUM(POWER(J28:J44,2))/COUNT(J28:J44))</f>
        <v>9.7369327462443381E-2</v>
      </c>
      <c r="K46" s="108" cm="1">
        <f t="array" ref="K46">SQRT(SUM(POWER(K28:K44,2))/COUNT(K28:K44))</f>
        <v>0.21107513080230272</v>
      </c>
      <c r="L46" s="108" cm="1">
        <f t="array" ref="L46">SQRT(SUM(POWER(L28:L44,2))/COUNT(L28:L44))</f>
        <v>0.22025312640693864</v>
      </c>
      <c r="M46" s="108" cm="1">
        <f t="array" ref="M46">SQRT(SUM(POWER(M28:M44,2))/COUNT(M28:M44))</f>
        <v>0.10356684490089783</v>
      </c>
      <c r="N46" s="108" cm="1">
        <f t="array" ref="N46">SQRT(SUM(POWER(N28:N44,2))/COUNT(N28:N44))</f>
        <v>0.18326976935880321</v>
      </c>
      <c r="O46" s="108" cm="1">
        <f t="array" ref="O46">SQRT(SUM(POWER(O28:O44,2))/COUNT(O28:O44))</f>
        <v>0.1908668120860392</v>
      </c>
      <c r="P46" s="108" cm="1">
        <f t="array" ref="P46">SQRT(SUM(POWER(P28:P44,2))/COUNT(P28:P44))</f>
        <v>0.14953578650154201</v>
      </c>
      <c r="Q46" s="108" cm="1">
        <f t="array" ref="Q46">SQRT(SUM(POWER(Q28:Q44,2))/COUNT(Q28:Q44))</f>
        <v>0.14309596682130571</v>
      </c>
      <c r="R46" s="114" cm="1">
        <f t="array" ref="R46">SQRT(SUM(POWER(R28:R44,2))/COUNT(R28:R44))</f>
        <v>0.17446916006810081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39"/>
  <sheetViews>
    <sheetView zoomScale="85" zoomScaleNormal="85" workbookViewId="0">
      <selection activeCell="P19" sqref="O19:P19"/>
    </sheetView>
  </sheetViews>
  <sheetFormatPr defaultRowHeight="12.75" x14ac:dyDescent="0.2"/>
  <cols>
    <col min="1" max="1" width="9.140625" style="68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8" t="s">
        <v>104</v>
      </c>
      <c r="B1" t="s">
        <v>84</v>
      </c>
    </row>
    <row r="2" spans="1:17" x14ac:dyDescent="0.2">
      <c r="A2" s="68" t="s">
        <v>99</v>
      </c>
      <c r="B2" t="s">
        <v>82</v>
      </c>
    </row>
    <row r="3" spans="1:17" x14ac:dyDescent="0.2">
      <c r="A3" s="68" t="s">
        <v>100</v>
      </c>
      <c r="B3" t="s">
        <v>147</v>
      </c>
    </row>
    <row r="4" spans="1:17" x14ac:dyDescent="0.2">
      <c r="A4" s="68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8" t="s">
        <v>102</v>
      </c>
      <c r="B7" s="179" t="s">
        <v>83</v>
      </c>
      <c r="C7" s="179"/>
      <c r="D7" s="179" t="s">
        <v>112</v>
      </c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6"/>
      <c r="P7" s="6"/>
      <c r="Q7" s="6"/>
    </row>
    <row r="8" spans="1:17" ht="15" x14ac:dyDescent="0.2">
      <c r="A8" s="68" t="s">
        <v>175</v>
      </c>
      <c r="C8" s="72" t="s">
        <v>85</v>
      </c>
      <c r="D8" s="72" t="s">
        <v>86</v>
      </c>
      <c r="E8" s="72" t="s">
        <v>87</v>
      </c>
      <c r="F8" s="72" t="s">
        <v>88</v>
      </c>
      <c r="G8" s="72" t="s">
        <v>89</v>
      </c>
      <c r="H8" s="72" t="s">
        <v>90</v>
      </c>
      <c r="I8" s="72" t="s">
        <v>91</v>
      </c>
      <c r="J8" s="72" t="s">
        <v>92</v>
      </c>
      <c r="K8" s="72" t="s">
        <v>93</v>
      </c>
      <c r="L8" s="72" t="s">
        <v>94</v>
      </c>
      <c r="M8" s="72" t="s">
        <v>95</v>
      </c>
      <c r="O8" s="6"/>
      <c r="P8" s="6"/>
      <c r="Q8" s="6"/>
    </row>
    <row r="9" spans="1:17" ht="15" x14ac:dyDescent="0.2">
      <c r="B9" s="72" t="s">
        <v>96</v>
      </c>
      <c r="C9" s="2">
        <v>6.1736434225471447E-2</v>
      </c>
      <c r="D9" s="2">
        <v>5.266768039022781E-2</v>
      </c>
      <c r="E9" s="2">
        <v>6.4603752092406139E-2</v>
      </c>
      <c r="F9" s="2">
        <v>6.8515352993023942E-2</v>
      </c>
      <c r="G9" s="2">
        <v>5.6189931461004781E-2</v>
      </c>
      <c r="H9" s="2">
        <v>6.4649009677925875E-2</v>
      </c>
      <c r="I9" s="2">
        <v>6.3293624267491799E-2</v>
      </c>
      <c r="J9" s="2">
        <v>5.623867417730119E-2</v>
      </c>
      <c r="K9" s="2">
        <v>5.8945412974592687E-2</v>
      </c>
      <c r="L9" s="2">
        <v>7.373253129821758E-2</v>
      </c>
      <c r="M9" s="2">
        <v>8.6040013188316097E-2</v>
      </c>
      <c r="O9" s="6"/>
      <c r="P9" s="6"/>
      <c r="Q9" s="6"/>
    </row>
    <row r="10" spans="1:17" ht="15" x14ac:dyDescent="0.2">
      <c r="B10" s="72" t="s">
        <v>97</v>
      </c>
      <c r="C10" s="2">
        <v>7.1422836418653851E-2</v>
      </c>
      <c r="D10" s="2">
        <v>6.5546786191251635E-2</v>
      </c>
      <c r="E10" s="2">
        <v>7.8702060842273394E-2</v>
      </c>
      <c r="F10" s="2">
        <v>7.7178243946323444E-2</v>
      </c>
      <c r="G10" s="2">
        <v>6.7715846304534241E-2</v>
      </c>
      <c r="H10" s="2">
        <v>7.8594534807359964E-2</v>
      </c>
      <c r="I10" s="2">
        <v>7.6714319245322363E-2</v>
      </c>
      <c r="J10" s="2">
        <v>6.7564562596599834E-2</v>
      </c>
      <c r="K10" s="2">
        <v>6.7601309483185587E-2</v>
      </c>
      <c r="L10" s="2">
        <v>8.7097943019615584E-2</v>
      </c>
      <c r="M10" s="2">
        <v>9.6563390223166096E-2</v>
      </c>
      <c r="O10" s="6"/>
      <c r="P10" s="6"/>
      <c r="Q10" s="6"/>
    </row>
    <row r="11" spans="1:17" ht="15" x14ac:dyDescent="0.2">
      <c r="B11" s="72" t="s">
        <v>98</v>
      </c>
      <c r="C11" s="2">
        <v>-7.692307692307665E-3</v>
      </c>
      <c r="D11" s="2">
        <v>-1.7069761589404101E-2</v>
      </c>
      <c r="E11" s="2">
        <v>3.6209403125491153E-2</v>
      </c>
      <c r="F11" s="2">
        <v>-5.4589477653688163E-5</v>
      </c>
      <c r="G11" s="2">
        <v>1.384660865315546E-2</v>
      </c>
      <c r="H11" s="2">
        <v>3.6247946633035877E-2</v>
      </c>
      <c r="I11" s="2">
        <v>3.6681326555294991E-2</v>
      </c>
      <c r="J11" s="2">
        <v>1.382762388894032E-2</v>
      </c>
      <c r="K11" s="2">
        <v>1.345509209050055E-2</v>
      </c>
      <c r="L11" s="2">
        <v>6.0294298368906978E-2</v>
      </c>
      <c r="M11" s="2">
        <v>7.795962046445748E-2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A14" s="68" t="s">
        <v>103</v>
      </c>
      <c r="B14" t="s">
        <v>139</v>
      </c>
      <c r="O14" s="6"/>
      <c r="P14" s="6"/>
      <c r="Q14" s="6"/>
    </row>
    <row r="15" spans="1:17" x14ac:dyDescent="0.2">
      <c r="B15" t="s">
        <v>140</v>
      </c>
      <c r="H15" s="69" t="s">
        <v>106</v>
      </c>
      <c r="O15" s="6"/>
      <c r="P15" s="6"/>
      <c r="Q15" s="6"/>
    </row>
    <row r="16" spans="1:17" x14ac:dyDescent="0.2">
      <c r="H16" s="69"/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A19" s="68" t="s">
        <v>105</v>
      </c>
      <c r="B19" s="180" t="s">
        <v>108</v>
      </c>
      <c r="C19" s="180"/>
      <c r="D19" s="180"/>
      <c r="E19" s="180"/>
      <c r="F19" s="67" t="e">
        <f>#REF!+#REF!*'2. Past Proj &amp; Candidate Model'!R22</f>
        <v>#REF!</v>
      </c>
      <c r="G19" s="70" t="s">
        <v>109</v>
      </c>
      <c r="H19" s="2" t="e">
        <f>'2. Past Proj &amp; Candidate Model'!S22/'3. Improved Alpha Model'!F19-1</f>
        <v>#REF!</v>
      </c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B23" s="181" t="s">
        <v>159</v>
      </c>
      <c r="C23" s="181"/>
      <c r="D23" s="181"/>
      <c r="E23" s="3">
        <f>C9</f>
        <v>6.1736434225471447E-2</v>
      </c>
      <c r="F23" t="s">
        <v>110</v>
      </c>
      <c r="G23" s="181" t="s">
        <v>111</v>
      </c>
      <c r="H23" s="181"/>
      <c r="I23" s="3" t="e">
        <f>#REF!</f>
        <v>#REF!</v>
      </c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8" t="s">
        <v>107</v>
      </c>
      <c r="B26" t="s">
        <v>113</v>
      </c>
      <c r="O26" s="6"/>
      <c r="P26" s="6"/>
      <c r="Q26" s="6"/>
    </row>
    <row r="27" spans="1:17" x14ac:dyDescent="0.2">
      <c r="B27" t="s">
        <v>114</v>
      </c>
      <c r="O27" s="6"/>
      <c r="P27" s="6"/>
      <c r="Q27" s="6"/>
    </row>
    <row r="28" spans="1:17" x14ac:dyDescent="0.2">
      <c r="B28" t="s">
        <v>115</v>
      </c>
      <c r="O28" s="6"/>
      <c r="P28" s="6"/>
      <c r="Q28" s="6"/>
    </row>
    <row r="29" spans="1:17" x14ac:dyDescent="0.2">
      <c r="B29" t="s">
        <v>116</v>
      </c>
      <c r="O29" s="6"/>
      <c r="P29" s="6"/>
      <c r="Q29" s="6"/>
    </row>
    <row r="30" spans="1:17" x14ac:dyDescent="0.2">
      <c r="B30" t="s">
        <v>117</v>
      </c>
      <c r="O30" s="6"/>
      <c r="P30" s="6"/>
      <c r="Q30" s="6"/>
    </row>
    <row r="31" spans="1:17" x14ac:dyDescent="0.2">
      <c r="B31" t="s">
        <v>118</v>
      </c>
      <c r="O31" s="6"/>
      <c r="P31" s="6"/>
      <c r="Q31" s="6"/>
    </row>
    <row r="32" spans="1:17" x14ac:dyDescent="0.2">
      <c r="B32" t="s">
        <v>119</v>
      </c>
      <c r="O32" s="6"/>
      <c r="P32" s="6"/>
      <c r="Q32" s="6"/>
    </row>
    <row r="33" spans="2:17" x14ac:dyDescent="0.2">
      <c r="B33" t="s">
        <v>120</v>
      </c>
      <c r="O33" s="6"/>
      <c r="P33" s="6"/>
      <c r="Q33" s="6"/>
    </row>
    <row r="34" spans="2:17" x14ac:dyDescent="0.2">
      <c r="B34" t="s">
        <v>121</v>
      </c>
      <c r="O34" s="6"/>
      <c r="P34" s="6"/>
      <c r="Q34" s="6"/>
    </row>
    <row r="35" spans="2:17" x14ac:dyDescent="0.2">
      <c r="B35" t="s">
        <v>122</v>
      </c>
      <c r="O35" s="6"/>
      <c r="P35" s="6"/>
      <c r="Q35" s="6"/>
    </row>
    <row r="36" spans="2:17" x14ac:dyDescent="0.2"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</row>
    <row r="39" spans="2:17" x14ac:dyDescent="0.2">
      <c r="O39" s="6"/>
      <c r="P39" s="6"/>
    </row>
  </sheetData>
  <mergeCells count="5">
    <mergeCell ref="D7:N7"/>
    <mergeCell ref="B7:C7"/>
    <mergeCell ref="B19:E19"/>
    <mergeCell ref="B23:D23"/>
    <mergeCell ref="G23:H23"/>
  </mergeCells>
  <conditionalFormatting sqref="C9:K9">
    <cfRule type="colorScale" priority="8">
      <colorScale>
        <cfvo type="min"/>
        <cfvo type="max"/>
        <color rgb="FF63BE7B"/>
        <color rgb="FFFFEF9C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0">
    <cfRule type="colorScale" priority="7">
      <colorScale>
        <cfvo type="min"/>
        <cfvo type="max"/>
        <color rgb="FF63BE7B"/>
        <color rgb="FFFFEF9C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zoomScale="85" zoomScaleNormal="85" workbookViewId="0">
      <selection activeCell="C45" sqref="C45"/>
    </sheetView>
  </sheetViews>
  <sheetFormatPr defaultRowHeight="12.75" x14ac:dyDescent="0.2"/>
  <cols>
    <col min="1" max="1" width="9.140625" style="68"/>
    <col min="3" max="3" width="18.5703125" customWidth="1"/>
    <col min="4" max="13" width="14.7109375" customWidth="1"/>
    <col min="23" max="23" width="22.5703125" customWidth="1"/>
  </cols>
  <sheetData>
    <row r="1" spans="1:25" x14ac:dyDescent="0.2">
      <c r="A1" s="68" t="s">
        <v>124</v>
      </c>
      <c r="B1" t="s">
        <v>84</v>
      </c>
    </row>
    <row r="2" spans="1:25" x14ac:dyDescent="0.2">
      <c r="A2" s="68" t="s">
        <v>99</v>
      </c>
      <c r="B2" s="76" t="s">
        <v>160</v>
      </c>
      <c r="C2" s="77" t="str">
        <f>D5</f>
        <v>PROJ</v>
      </c>
      <c r="D2" t="s">
        <v>161</v>
      </c>
    </row>
    <row r="4" spans="1:25" x14ac:dyDescent="0.2">
      <c r="A4" s="68" t="s">
        <v>100</v>
      </c>
      <c r="B4" t="s">
        <v>123</v>
      </c>
    </row>
    <row r="5" spans="1:25" ht="15" x14ac:dyDescent="0.2">
      <c r="A5" s="68" t="s">
        <v>174</v>
      </c>
      <c r="C5" s="72" t="s">
        <v>85</v>
      </c>
      <c r="D5" s="72" t="s">
        <v>86</v>
      </c>
      <c r="E5" s="72" t="s">
        <v>87</v>
      </c>
      <c r="F5" s="72" t="s">
        <v>88</v>
      </c>
      <c r="G5" s="72" t="s">
        <v>89</v>
      </c>
      <c r="H5" s="72" t="s">
        <v>90</v>
      </c>
      <c r="I5" s="72" t="s">
        <v>91</v>
      </c>
      <c r="J5" s="72" t="s">
        <v>92</v>
      </c>
      <c r="K5" s="72" t="s">
        <v>93</v>
      </c>
      <c r="L5" s="72" t="s">
        <v>94</v>
      </c>
      <c r="M5" s="72" t="s">
        <v>95</v>
      </c>
    </row>
    <row r="6" spans="1:25" ht="15" x14ac:dyDescent="0.2">
      <c r="B6" s="72" t="s">
        <v>96</v>
      </c>
      <c r="C6" s="2">
        <v>5.5562790802924297E-2</v>
      </c>
      <c r="D6" s="2">
        <v>5.3347455509099757E-2</v>
      </c>
      <c r="E6" s="2">
        <v>6.0465217171916913E-2</v>
      </c>
      <c r="F6" s="2">
        <v>6.2629946814200241E-2</v>
      </c>
      <c r="G6" s="2">
        <v>5.0753922887032253E-2</v>
      </c>
      <c r="H6" s="2">
        <v>6.0523728197584857E-2</v>
      </c>
      <c r="I6" s="2">
        <v>5.9572569056757271E-2</v>
      </c>
      <c r="J6" s="2">
        <v>5.0807580862691618E-2</v>
      </c>
      <c r="K6" s="2">
        <v>5.3541124701182732E-2</v>
      </c>
      <c r="L6" s="2">
        <v>6.8367901962002819E-2</v>
      </c>
      <c r="M6" s="2">
        <v>7.8243898316222124E-2</v>
      </c>
    </row>
    <row r="7" spans="1:25" ht="15" x14ac:dyDescent="0.2">
      <c r="B7" s="72" t="s">
        <v>97</v>
      </c>
      <c r="C7" s="2">
        <v>6.7757652009770894E-2</v>
      </c>
      <c r="D7" s="2">
        <v>6.4964273391522942E-2</v>
      </c>
      <c r="E7" s="2">
        <v>7.5023478765007312E-2</v>
      </c>
      <c r="F7" s="2">
        <v>7.328142506494234E-2</v>
      </c>
      <c r="G7" s="2">
        <v>6.4243498427480908E-2</v>
      </c>
      <c r="H7" s="2">
        <v>7.4927491649510167E-2</v>
      </c>
      <c r="I7" s="2">
        <v>7.3243503226409476E-2</v>
      </c>
      <c r="J7" s="2">
        <v>6.4100270869405923E-2</v>
      </c>
      <c r="K7" s="2">
        <v>6.4150968969557964E-2</v>
      </c>
      <c r="L7" s="2">
        <v>8.2872143726742245E-2</v>
      </c>
      <c r="M7" s="2">
        <v>9.1643692108952748E-2</v>
      </c>
    </row>
    <row r="8" spans="1:25" ht="15" x14ac:dyDescent="0.2">
      <c r="B8" s="72" t="s">
        <v>98</v>
      </c>
      <c r="C8" s="2">
        <v>-3.8461538461538321E-3</v>
      </c>
      <c r="D8" s="2">
        <v>-2.9377774544702029E-2</v>
      </c>
      <c r="E8" s="2">
        <v>3.239070233582042E-2</v>
      </c>
      <c r="F8" s="2">
        <v>-4.8579403412203348E-3</v>
      </c>
      <c r="G8" s="2">
        <v>6.008381465937962E-3</v>
      </c>
      <c r="H8" s="2">
        <v>3.1900546158299403E-2</v>
      </c>
      <c r="I8" s="2">
        <v>3.2623363597607202E-2</v>
      </c>
      <c r="J8" s="2">
        <v>5.9499414288674002E-3</v>
      </c>
      <c r="K8" s="2">
        <v>4.2762809250037606E-3</v>
      </c>
      <c r="L8" s="2">
        <v>4.8585728281487002E-2</v>
      </c>
      <c r="M8" s="2">
        <v>7.078382734727573E-2</v>
      </c>
    </row>
    <row r="10" spans="1:25" ht="15" x14ac:dyDescent="0.2">
      <c r="A10" s="68" t="s">
        <v>101</v>
      </c>
      <c r="B10" s="73" t="s">
        <v>162</v>
      </c>
    </row>
    <row r="12" spans="1:25" x14ac:dyDescent="0.2">
      <c r="A12" s="68" t="s">
        <v>102</v>
      </c>
      <c r="B12" t="s">
        <v>138</v>
      </c>
    </row>
    <row r="13" spans="1:25" ht="15" x14ac:dyDescent="0.2">
      <c r="B13" s="72" t="s">
        <v>125</v>
      </c>
      <c r="C13" s="72" t="s">
        <v>126</v>
      </c>
      <c r="D13" s="72" t="s">
        <v>85</v>
      </c>
      <c r="E13" s="72" t="s">
        <v>86</v>
      </c>
      <c r="F13" s="72" t="s">
        <v>87</v>
      </c>
      <c r="G13" s="72" t="s">
        <v>88</v>
      </c>
      <c r="H13" s="72" t="s">
        <v>89</v>
      </c>
      <c r="I13" s="72" t="s">
        <v>90</v>
      </c>
      <c r="J13" s="72" t="s">
        <v>91</v>
      </c>
      <c r="K13" s="72" t="s">
        <v>92</v>
      </c>
      <c r="L13" s="72" t="s">
        <v>93</v>
      </c>
      <c r="M13" s="72" t="s">
        <v>94</v>
      </c>
      <c r="N13" s="72" t="s">
        <v>95</v>
      </c>
      <c r="O13" s="72" t="s">
        <v>127</v>
      </c>
      <c r="P13" s="72" t="s">
        <v>128</v>
      </c>
      <c r="Q13" s="72" t="s">
        <v>129</v>
      </c>
      <c r="R13" s="72" t="s">
        <v>130</v>
      </c>
      <c r="S13" s="72" t="s">
        <v>131</v>
      </c>
      <c r="T13" s="72" t="s">
        <v>132</v>
      </c>
      <c r="U13" s="72" t="s">
        <v>133</v>
      </c>
      <c r="V13" s="72" t="s">
        <v>134</v>
      </c>
      <c r="W13" s="72" t="s">
        <v>135</v>
      </c>
      <c r="X13" s="72" t="s">
        <v>136</v>
      </c>
      <c r="Y13" s="72" t="s">
        <v>137</v>
      </c>
    </row>
    <row r="14" spans="1:25" x14ac:dyDescent="0.2">
      <c r="B14" t="s">
        <v>169</v>
      </c>
      <c r="C14">
        <v>125</v>
      </c>
      <c r="D14">
        <v>121.8</v>
      </c>
      <c r="E14">
        <v>130.24389099999999</v>
      </c>
      <c r="P14" s="2">
        <f>E14/C14-1</f>
        <v>4.1951128000000004E-2</v>
      </c>
    </row>
    <row r="15" spans="1:25" x14ac:dyDescent="0.2">
      <c r="B15" t="s">
        <v>170</v>
      </c>
      <c r="C15">
        <v>126</v>
      </c>
      <c r="D15">
        <v>125.8</v>
      </c>
      <c r="E15">
        <v>118.904392</v>
      </c>
      <c r="P15" s="2">
        <f t="shared" ref="P15:P20" si="0">E15/C15-1</f>
        <v>-5.6314349206349146E-2</v>
      </c>
    </row>
    <row r="16" spans="1:25" x14ac:dyDescent="0.2">
      <c r="B16" t="s">
        <v>167</v>
      </c>
      <c r="C16">
        <v>150</v>
      </c>
      <c r="D16">
        <v>147.1</v>
      </c>
      <c r="E16">
        <v>141.57278700000001</v>
      </c>
      <c r="P16" s="2">
        <f t="shared" si="0"/>
        <v>-5.6181419999999926E-2</v>
      </c>
    </row>
    <row r="17" spans="2:25" x14ac:dyDescent="0.2">
      <c r="B17" t="s">
        <v>42</v>
      </c>
      <c r="C17">
        <v>131</v>
      </c>
      <c r="D17">
        <v>127.7</v>
      </c>
      <c r="E17">
        <v>129.902863</v>
      </c>
      <c r="P17" s="2">
        <f t="shared" si="0"/>
        <v>-8.3750916030534972E-3</v>
      </c>
    </row>
    <row r="18" spans="2:25" x14ac:dyDescent="0.2">
      <c r="B18" t="s">
        <v>43</v>
      </c>
      <c r="C18">
        <v>160</v>
      </c>
      <c r="D18">
        <v>141.80000000000001</v>
      </c>
      <c r="E18">
        <v>153.09481500000001</v>
      </c>
      <c r="P18" s="2">
        <f t="shared" si="0"/>
        <v>-4.3157406249999974E-2</v>
      </c>
    </row>
    <row r="19" spans="2:25" x14ac:dyDescent="0.2">
      <c r="B19" t="s">
        <v>44</v>
      </c>
      <c r="C19">
        <v>155</v>
      </c>
      <c r="D19">
        <v>154</v>
      </c>
      <c r="E19">
        <v>133.23804100000001</v>
      </c>
      <c r="P19" s="2">
        <f t="shared" si="0"/>
        <v>-0.14039973548387086</v>
      </c>
    </row>
    <row r="20" spans="2:25" x14ac:dyDescent="0.2">
      <c r="B20" t="s">
        <v>45</v>
      </c>
      <c r="C20">
        <v>177</v>
      </c>
      <c r="D20">
        <v>180.7</v>
      </c>
      <c r="E20">
        <v>156.38827699999999</v>
      </c>
      <c r="P20" s="2">
        <f t="shared" si="0"/>
        <v>-0.11645041242937859</v>
      </c>
    </row>
    <row r="21" spans="2:25" x14ac:dyDescent="0.2">
      <c r="B21" t="s">
        <v>46</v>
      </c>
      <c r="C21">
        <v>144</v>
      </c>
      <c r="D21">
        <v>156.19999999999999</v>
      </c>
      <c r="E21">
        <v>144.152411</v>
      </c>
      <c r="F21">
        <v>154.7876287187739</v>
      </c>
      <c r="G21">
        <v>158.44234923735411</v>
      </c>
      <c r="H21">
        <v>158.36110958375059</v>
      </c>
      <c r="I21">
        <v>154.71046984521931</v>
      </c>
      <c r="J21">
        <v>154.78720955233231</v>
      </c>
      <c r="K21">
        <v>158.33027874736811</v>
      </c>
      <c r="L21">
        <v>158.36073698065749</v>
      </c>
      <c r="M21">
        <v>153.41282400556361</v>
      </c>
      <c r="N21">
        <v>153.15955692913349</v>
      </c>
      <c r="O21" s="2">
        <v>8.4722222222222143E-2</v>
      </c>
      <c r="P21" s="2">
        <v>1.0584097222221529E-3</v>
      </c>
      <c r="Q21" s="2">
        <v>7.4914088324818495E-2</v>
      </c>
      <c r="R21" s="2">
        <v>0.10029409192607019</v>
      </c>
      <c r="S21" s="2">
        <v>9.9729927664934825E-2</v>
      </c>
      <c r="T21" s="2">
        <v>7.4378262814023266E-2</v>
      </c>
      <c r="U21" s="2">
        <v>7.4911177446751687E-2</v>
      </c>
      <c r="V21" s="2">
        <v>9.9515824634500705E-2</v>
      </c>
      <c r="W21" s="2">
        <v>9.9727340143455079E-2</v>
      </c>
      <c r="X21" s="2">
        <v>6.5366833371969024E-2</v>
      </c>
      <c r="Y21" s="2">
        <v>6.3608034230093979E-2</v>
      </c>
    </row>
    <row r="22" spans="2:25" x14ac:dyDescent="0.2">
      <c r="B22" t="s">
        <v>47</v>
      </c>
      <c r="C22">
        <v>160</v>
      </c>
      <c r="D22">
        <v>173.8</v>
      </c>
      <c r="E22">
        <v>153.330274</v>
      </c>
      <c r="F22">
        <v>164.57152024738389</v>
      </c>
      <c r="G22">
        <v>170.62640695989219</v>
      </c>
      <c r="H22">
        <v>170.86971254516891</v>
      </c>
      <c r="I22">
        <v>164.4085033093701</v>
      </c>
      <c r="J22">
        <v>164.57046410238709</v>
      </c>
      <c r="K22">
        <v>170.8087467046104</v>
      </c>
      <c r="L22">
        <v>170.86883137891209</v>
      </c>
      <c r="M22">
        <v>165.9003453110507</v>
      </c>
      <c r="N22">
        <v>165.2178937090257</v>
      </c>
      <c r="O22" s="2">
        <v>8.625000000000016E-2</v>
      </c>
      <c r="P22" s="2">
        <v>-4.168578749999996E-2</v>
      </c>
      <c r="Q22" s="2">
        <v>2.8572001546149691E-2</v>
      </c>
      <c r="R22" s="2">
        <v>6.6415043499326032E-2</v>
      </c>
      <c r="S22" s="2">
        <v>6.793570340730537E-2</v>
      </c>
      <c r="T22" s="2">
        <v>2.755314568356293E-2</v>
      </c>
      <c r="U22" s="2">
        <v>2.856540063991941E-2</v>
      </c>
      <c r="V22" s="2">
        <v>6.7554666903815175E-2</v>
      </c>
      <c r="W22" s="2">
        <v>6.7930196118200614E-2</v>
      </c>
      <c r="X22" s="2">
        <v>3.6877158194067013E-2</v>
      </c>
      <c r="Y22" s="2">
        <v>3.2611835681410677E-2</v>
      </c>
    </row>
    <row r="23" spans="2:25" x14ac:dyDescent="0.2">
      <c r="B23" t="s">
        <v>48</v>
      </c>
      <c r="C23">
        <v>183</v>
      </c>
      <c r="D23">
        <v>171.4</v>
      </c>
      <c r="E23">
        <v>165.59243599999999</v>
      </c>
      <c r="F23">
        <v>178.18986251265329</v>
      </c>
      <c r="G23">
        <v>165.53391050801841</v>
      </c>
      <c r="H23">
        <v>173.9569810949759</v>
      </c>
      <c r="I23">
        <v>177.96066592624859</v>
      </c>
      <c r="J23">
        <v>178.18813075681999</v>
      </c>
      <c r="K23">
        <v>173.81555772668611</v>
      </c>
      <c r="L23">
        <v>172.02567048763629</v>
      </c>
      <c r="M23">
        <v>186.77105616738649</v>
      </c>
      <c r="N23">
        <v>208.468413662129</v>
      </c>
      <c r="O23" s="2">
        <v>-6.3387978142076418E-2</v>
      </c>
      <c r="P23" s="2">
        <v>-9.5123300546448131E-2</v>
      </c>
      <c r="Q23" s="2">
        <v>-2.62849043024409E-2</v>
      </c>
      <c r="R23" s="2">
        <v>-9.5443111978041451E-2</v>
      </c>
      <c r="S23" s="2">
        <v>-4.9415403852590689E-2</v>
      </c>
      <c r="T23" s="2">
        <v>-2.753734466530822E-2</v>
      </c>
      <c r="U23" s="2">
        <v>-2.6294367449070991E-2</v>
      </c>
      <c r="V23" s="2">
        <v>-5.018820914379174E-2</v>
      </c>
      <c r="W23" s="2">
        <v>-5.9969013728763287E-2</v>
      </c>
      <c r="X23" s="2">
        <v>2.0606864302658678E-2</v>
      </c>
      <c r="Y23" s="2">
        <v>0.13917165935589629</v>
      </c>
    </row>
    <row r="24" spans="2:25" x14ac:dyDescent="0.2">
      <c r="B24" t="s">
        <v>49</v>
      </c>
      <c r="C24">
        <v>208</v>
      </c>
      <c r="D24">
        <v>206.4</v>
      </c>
      <c r="E24">
        <v>183.78856099999999</v>
      </c>
      <c r="F24">
        <v>202.90786658042131</v>
      </c>
      <c r="G24">
        <v>199.07406076916519</v>
      </c>
      <c r="H24">
        <v>206.03494218487009</v>
      </c>
      <c r="I24">
        <v>202.63837464833699</v>
      </c>
      <c r="J24">
        <v>202.90571289183109</v>
      </c>
      <c r="K24">
        <v>205.89960501080751</v>
      </c>
      <c r="L24">
        <v>203.99363013562689</v>
      </c>
      <c r="M24">
        <v>220.5412140607327</v>
      </c>
      <c r="N24">
        <v>224.2156010566072</v>
      </c>
      <c r="O24" s="2">
        <v>-7.692307692307665E-3</v>
      </c>
      <c r="P24" s="2">
        <v>-0.11640114903846149</v>
      </c>
      <c r="Q24" s="2">
        <v>-2.4481410671051699E-2</v>
      </c>
      <c r="R24" s="2">
        <v>-4.2913169379013238E-2</v>
      </c>
      <c r="S24" s="2">
        <v>-9.4473933419704226E-3</v>
      </c>
      <c r="T24" s="2">
        <v>-2.577704495991839E-2</v>
      </c>
      <c r="U24" s="2">
        <v>-2.4491764943119779E-2</v>
      </c>
      <c r="V24" s="2">
        <v>-1.009805283265619E-2</v>
      </c>
      <c r="W24" s="2">
        <v>-1.9261393578716701E-2</v>
      </c>
      <c r="X24" s="2">
        <v>6.0294298368906978E-2</v>
      </c>
      <c r="Y24" s="2">
        <v>7.795962046445748E-2</v>
      </c>
    </row>
    <row r="25" spans="2:25" x14ac:dyDescent="0.2">
      <c r="B25" t="s">
        <v>50</v>
      </c>
      <c r="C25">
        <v>151</v>
      </c>
      <c r="D25">
        <v>155.6</v>
      </c>
      <c r="E25">
        <v>160.13993400000001</v>
      </c>
      <c r="F25">
        <v>174.35428202748011</v>
      </c>
      <c r="G25">
        <v>156.68151985263489</v>
      </c>
      <c r="H25">
        <v>167.2576995507861</v>
      </c>
      <c r="I25">
        <v>174.35422961313679</v>
      </c>
      <c r="J25">
        <v>174.3538433425424</v>
      </c>
      <c r="K25">
        <v>167.1541951262748</v>
      </c>
      <c r="L25">
        <v>166.44382376209339</v>
      </c>
      <c r="M25">
        <v>173.0975162004145</v>
      </c>
      <c r="N25">
        <v>174.40664906004429</v>
      </c>
      <c r="O25" s="2">
        <v>3.0463576158940461E-2</v>
      </c>
      <c r="P25" s="2">
        <v>6.0529364238410599E-2</v>
      </c>
      <c r="Q25" s="2">
        <v>0.1546641193872855</v>
      </c>
      <c r="R25" s="2">
        <v>3.7625959288972721E-2</v>
      </c>
      <c r="S25" s="2">
        <v>0.1076668844422923</v>
      </c>
      <c r="T25" s="2">
        <v>0.15466377227242931</v>
      </c>
      <c r="U25" s="2">
        <v>0.15466121418902251</v>
      </c>
      <c r="V25" s="2">
        <v>0.1069814246773166</v>
      </c>
      <c r="W25" s="2">
        <v>0.10227697855690999</v>
      </c>
      <c r="X25" s="2">
        <v>0.14634116689016241</v>
      </c>
      <c r="Y25" s="2">
        <v>0.15501092092744551</v>
      </c>
    </row>
    <row r="26" spans="2:25" x14ac:dyDescent="0.2">
      <c r="B26" t="s">
        <v>52</v>
      </c>
      <c r="C26">
        <v>176</v>
      </c>
      <c r="D26">
        <v>164.8</v>
      </c>
      <c r="E26">
        <v>159.60379</v>
      </c>
      <c r="F26">
        <v>170.72189217359869</v>
      </c>
      <c r="G26">
        <v>164.64763055226919</v>
      </c>
      <c r="H26">
        <v>167.8750961031196</v>
      </c>
      <c r="I26">
        <v>170.72185107993221</v>
      </c>
      <c r="J26">
        <v>170.32237073117699</v>
      </c>
      <c r="K26">
        <v>167.85449123354709</v>
      </c>
      <c r="L26">
        <v>167.39725465852001</v>
      </c>
      <c r="M26">
        <v>168.9182293705874</v>
      </c>
      <c r="N26">
        <v>168.11645100151441</v>
      </c>
      <c r="O26" s="2">
        <v>-6.3636363636363602E-2</v>
      </c>
      <c r="P26" s="2">
        <v>-9.316028409090904E-2</v>
      </c>
      <c r="Q26" s="2">
        <v>-2.998924901364397E-2</v>
      </c>
      <c r="R26" s="2">
        <v>-6.450209913483429E-2</v>
      </c>
      <c r="S26" s="2">
        <v>-4.6164226686820298E-2</v>
      </c>
      <c r="T26" s="2">
        <v>-2.9989482500385471E-2</v>
      </c>
      <c r="U26" s="2">
        <v>-3.2259257209221508E-2</v>
      </c>
      <c r="V26" s="2">
        <v>-4.628129980939133E-2</v>
      </c>
      <c r="W26" s="2">
        <v>-4.8879234894772972E-2</v>
      </c>
      <c r="X26" s="2">
        <v>-4.0237333121662333E-2</v>
      </c>
      <c r="Y26" s="2">
        <v>-4.4792892036850003E-2</v>
      </c>
    </row>
    <row r="27" spans="2:25" x14ac:dyDescent="0.2">
      <c r="B27" t="s">
        <v>53</v>
      </c>
      <c r="C27">
        <v>184</v>
      </c>
      <c r="D27">
        <v>201.5</v>
      </c>
      <c r="E27">
        <v>182.39529999999999</v>
      </c>
      <c r="F27">
        <v>199.7619222109474</v>
      </c>
      <c r="G27">
        <v>199.8482354813836</v>
      </c>
      <c r="H27">
        <v>202.53314484068301</v>
      </c>
      <c r="I27">
        <v>199.76180944664389</v>
      </c>
      <c r="J27">
        <v>198.58901496664109</v>
      </c>
      <c r="K27">
        <v>202.48475720004819</v>
      </c>
      <c r="L27">
        <v>201.44079865104061</v>
      </c>
      <c r="M27">
        <v>205.3662218536283</v>
      </c>
      <c r="N27">
        <v>205.61655609175031</v>
      </c>
      <c r="O27" s="2">
        <v>9.5108695652173836E-2</v>
      </c>
      <c r="P27" s="2">
        <v>-8.7211956521739964E-3</v>
      </c>
      <c r="Q27" s="2">
        <v>8.5662620711670856E-2</v>
      </c>
      <c r="R27" s="2">
        <v>8.6131714572737161E-2</v>
      </c>
      <c r="S27" s="2">
        <v>0.10072361326458119</v>
      </c>
      <c r="T27" s="2">
        <v>8.5662007862195022E-2</v>
      </c>
      <c r="U27" s="2">
        <v>7.9288124818701622E-2</v>
      </c>
      <c r="V27" s="2">
        <v>0.10046063695678351</v>
      </c>
      <c r="W27" s="2">
        <v>9.4786949190437841E-2</v>
      </c>
      <c r="X27" s="2">
        <v>0.1161207709436318</v>
      </c>
      <c r="Y27" s="2">
        <v>0.11748128310733889</v>
      </c>
    </row>
    <row r="28" spans="2:25" x14ac:dyDescent="0.2">
      <c r="B28" t="s">
        <v>54</v>
      </c>
      <c r="C28">
        <v>151</v>
      </c>
      <c r="D28">
        <v>149.5</v>
      </c>
      <c r="E28">
        <v>148.42246599999999</v>
      </c>
      <c r="F28">
        <v>156.46761987194921</v>
      </c>
      <c r="G28">
        <v>150.9917569888743</v>
      </c>
      <c r="H28">
        <v>153.09083790662649</v>
      </c>
      <c r="I28">
        <v>156.4734399415884</v>
      </c>
      <c r="J28">
        <v>156.5388803098495</v>
      </c>
      <c r="K28">
        <v>153.08797120723</v>
      </c>
      <c r="L28">
        <v>153.0317189056656</v>
      </c>
      <c r="M28">
        <v>155.9683031738528</v>
      </c>
      <c r="N28">
        <v>155.81161347790839</v>
      </c>
      <c r="O28" s="2">
        <v>-9.9337748344371368E-3</v>
      </c>
      <c r="P28" s="2">
        <v>-1.7069761589404101E-2</v>
      </c>
      <c r="Q28" s="2">
        <v>3.6209403125491153E-2</v>
      </c>
      <c r="R28" s="2">
        <v>-5.4589477653688163E-5</v>
      </c>
      <c r="S28" s="2">
        <v>1.384660865315546E-2</v>
      </c>
      <c r="T28" s="2">
        <v>3.6247946633035877E-2</v>
      </c>
      <c r="U28" s="2">
        <v>3.6681326555294991E-2</v>
      </c>
      <c r="V28" s="2">
        <v>1.382762388894032E-2</v>
      </c>
      <c r="W28" s="2">
        <v>1.345509209050055E-2</v>
      </c>
      <c r="X28" s="2">
        <v>3.2902670025515279E-2</v>
      </c>
      <c r="Y28" s="2">
        <v>3.1864989919923037E-2</v>
      </c>
    </row>
    <row r="29" spans="2:25" x14ac:dyDescent="0.2">
      <c r="B29" t="s">
        <v>55</v>
      </c>
      <c r="C29">
        <v>194</v>
      </c>
      <c r="D29">
        <v>171.8</v>
      </c>
      <c r="E29">
        <v>201.81041500000001</v>
      </c>
      <c r="F29">
        <v>217.40725851932589</v>
      </c>
      <c r="G29">
        <v>170.0878708499701</v>
      </c>
      <c r="H29">
        <v>191.9087533639339</v>
      </c>
      <c r="I29">
        <v>217.28622346383199</v>
      </c>
      <c r="J29">
        <v>215.82305712032681</v>
      </c>
      <c r="K29">
        <v>191.81937622278809</v>
      </c>
      <c r="L29">
        <v>189.30083141690201</v>
      </c>
      <c r="M29">
        <v>222.1000631742846</v>
      </c>
      <c r="N29">
        <v>215.70062329645731</v>
      </c>
      <c r="O29" s="2">
        <v>-0.1144329896907216</v>
      </c>
      <c r="P29" s="2">
        <v>4.0259871134020742E-2</v>
      </c>
      <c r="Q29" s="2">
        <v>0.12065597174910291</v>
      </c>
      <c r="R29" s="2">
        <v>-0.12325839768056671</v>
      </c>
      <c r="S29" s="2">
        <v>-1.077962183539238E-2</v>
      </c>
      <c r="T29" s="2">
        <v>0.1200320797104744</v>
      </c>
      <c r="U29" s="2">
        <v>0.1124899851563237</v>
      </c>
      <c r="V29" s="2">
        <v>-1.12403287485151E-2</v>
      </c>
      <c r="W29" s="2">
        <v>-2.422251846957724E-2</v>
      </c>
      <c r="X29" s="2">
        <v>0.14484568646538459</v>
      </c>
      <c r="Y29" s="2">
        <v>0.1118588829714291</v>
      </c>
    </row>
    <row r="30" spans="2:25" x14ac:dyDescent="0.2">
      <c r="B30" t="s">
        <v>71</v>
      </c>
      <c r="C30">
        <v>190</v>
      </c>
      <c r="D30">
        <v>190</v>
      </c>
      <c r="E30">
        <v>178.70156800000001</v>
      </c>
      <c r="F30">
        <v>185.58850345137239</v>
      </c>
      <c r="G30">
        <v>188.16435467109051</v>
      </c>
      <c r="H30">
        <v>189.65232931295691</v>
      </c>
      <c r="I30">
        <v>185.55472297384199</v>
      </c>
      <c r="J30">
        <v>185.04421628957209</v>
      </c>
      <c r="K30">
        <v>189.63372920407099</v>
      </c>
      <c r="L30">
        <v>189.0685192543063</v>
      </c>
      <c r="M30">
        <v>186.1836147921467</v>
      </c>
      <c r="N30">
        <v>191.53498424880149</v>
      </c>
      <c r="O30" s="2">
        <v>0</v>
      </c>
      <c r="P30" s="2">
        <v>-5.9465431578947348E-2</v>
      </c>
      <c r="Q30" s="2">
        <v>-2.3218402887513871E-2</v>
      </c>
      <c r="R30" s="2">
        <v>-9.6612912047869814E-3</v>
      </c>
      <c r="S30" s="2">
        <v>-1.8298457212795329E-3</v>
      </c>
      <c r="T30" s="2">
        <v>-2.3396194874515719E-2</v>
      </c>
      <c r="U30" s="2">
        <v>-2.60830721601466E-2</v>
      </c>
      <c r="V30" s="2">
        <v>-1.927741031205521E-3</v>
      </c>
      <c r="W30" s="2">
        <v>-4.9025302404930304E-3</v>
      </c>
      <c r="X30" s="2">
        <v>-2.008623793607001E-2</v>
      </c>
      <c r="Y30" s="2">
        <v>8.0788644673763788E-3</v>
      </c>
    </row>
    <row r="31" spans="2:25" x14ac:dyDescent="0.2">
      <c r="B31" s="112" t="s">
        <v>148</v>
      </c>
      <c r="C31" s="112"/>
      <c r="D31" s="112"/>
      <c r="E31">
        <f>E$30/(1+P31)</f>
        <v>186.25952699838251</v>
      </c>
      <c r="L31" s="111" t="s">
        <v>141</v>
      </c>
      <c r="M31" s="111"/>
      <c r="N31" s="111"/>
      <c r="O31" s="111"/>
      <c r="P31" s="3">
        <f>AVERAGE(P14:P29)</f>
        <v>-4.0577570018462197E-2</v>
      </c>
    </row>
    <row r="32" spans="2:25" x14ac:dyDescent="0.2">
      <c r="B32" s="96" t="s">
        <v>149</v>
      </c>
      <c r="C32" s="96"/>
      <c r="D32" s="96"/>
      <c r="E32">
        <f>E$30/(1+P32)</f>
        <v>186.61821049515953</v>
      </c>
      <c r="I32" s="3"/>
      <c r="L32" s="96" t="s">
        <v>143</v>
      </c>
      <c r="M32" s="96"/>
      <c r="N32" s="96"/>
      <c r="O32" s="96"/>
      <c r="P32" s="1">
        <f>MEDIAN(P14:P29)</f>
        <v>-4.2421596874999967E-2</v>
      </c>
    </row>
    <row r="33" spans="1:16" x14ac:dyDescent="0.2">
      <c r="B33" s="97" t="s">
        <v>150</v>
      </c>
      <c r="C33" s="97"/>
      <c r="D33" s="97"/>
      <c r="E33">
        <f>E$30/(1+P33)</f>
        <v>191.34705536563885</v>
      </c>
      <c r="F33">
        <f>AVERAGE(E33,E31)</f>
        <v>188.8032911820107</v>
      </c>
      <c r="L33" s="97" t="s">
        <v>142</v>
      </c>
      <c r="M33" s="97"/>
      <c r="N33" s="97"/>
      <c r="O33" s="97"/>
      <c r="P33" s="1">
        <f>AVERAGE(P26:P28,P22:P24,P15:P20)</f>
        <v>-6.6086657782504055E-2</v>
      </c>
    </row>
    <row r="34" spans="1:16" x14ac:dyDescent="0.2">
      <c r="B34" s="98" t="s">
        <v>151</v>
      </c>
      <c r="C34" s="98"/>
      <c r="D34" s="98"/>
      <c r="E34">
        <f>E$30/(1+P34)</f>
        <v>189.35223040518454</v>
      </c>
      <c r="L34" s="98" t="s">
        <v>144</v>
      </c>
      <c r="M34" s="98"/>
      <c r="N34" s="98"/>
      <c r="O34" s="98"/>
      <c r="P34" s="1">
        <f>MEDIAN(P26:P28,P22:P24,P15:P20)</f>
        <v>-5.6247884603174536E-2</v>
      </c>
    </row>
    <row r="35" spans="1:16" x14ac:dyDescent="0.2">
      <c r="B35" s="99" t="s">
        <v>152</v>
      </c>
      <c r="C35" s="99"/>
      <c r="D35" s="99"/>
      <c r="E35">
        <f>E$30/(1+P35)</f>
        <v>172.50023737667445</v>
      </c>
      <c r="I35" s="103"/>
      <c r="L35" s="99" t="s">
        <v>145</v>
      </c>
      <c r="M35" s="99"/>
      <c r="N35" s="99"/>
      <c r="O35" s="99"/>
      <c r="P35" s="1">
        <f>AVERAGE(P29,P25,P21,P14)</f>
        <v>3.5949693273663375E-2</v>
      </c>
    </row>
    <row r="36" spans="1:16" x14ac:dyDescent="0.2">
      <c r="B36" s="100" t="s">
        <v>153</v>
      </c>
      <c r="C36" s="100"/>
      <c r="D36" s="100"/>
      <c r="E36">
        <f t="shared" ref="E36" si="1">E$30/(1+P36)</f>
        <v>171.64597447071498</v>
      </c>
      <c r="L36" s="100" t="s">
        <v>146</v>
      </c>
      <c r="M36" s="100"/>
      <c r="N36" s="100"/>
      <c r="O36" s="100"/>
      <c r="P36" s="1">
        <f>MEDIAN(P29,P25,P21,P14)</f>
        <v>4.1105499567010373E-2</v>
      </c>
    </row>
    <row r="38" spans="1:16" x14ac:dyDescent="0.2">
      <c r="A38" s="68" t="s">
        <v>103</v>
      </c>
      <c r="B38" t="s">
        <v>154</v>
      </c>
    </row>
    <row r="39" spans="1:16" x14ac:dyDescent="0.2">
      <c r="B39" t="s">
        <v>155</v>
      </c>
    </row>
    <row r="45" spans="1:16" x14ac:dyDescent="0.2">
      <c r="A45" s="68" t="s">
        <v>105</v>
      </c>
      <c r="B45" s="78" t="s">
        <v>156</v>
      </c>
      <c r="C45" s="79">
        <f>E32</f>
        <v>186.61821049515953</v>
      </c>
      <c r="D45" t="s">
        <v>168</v>
      </c>
    </row>
    <row r="47" spans="1:16" x14ac:dyDescent="0.2">
      <c r="B47" s="182" t="s">
        <v>164</v>
      </c>
      <c r="C47" s="182"/>
      <c r="D47" s="2">
        <f>C45/D30-1</f>
        <v>-1.7798892130739263E-2</v>
      </c>
    </row>
    <row r="48" spans="1:16" x14ac:dyDescent="0.2">
      <c r="B48" s="170" t="s">
        <v>163</v>
      </c>
      <c r="C48" s="170"/>
      <c r="D48" s="2">
        <f>'1. Data &amp; Confidence Interval'!N25</f>
        <v>-5.3833987801546357E-2</v>
      </c>
    </row>
  </sheetData>
  <mergeCells count="2">
    <mergeCell ref="B48:C48"/>
    <mergeCell ref="B47:C47"/>
  </mergeCells>
  <conditionalFormatting sqref="P21:W29 Q20:W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2:P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1:P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2021-10-21T18:55:29Z</dcterms:modified>
</cp:coreProperties>
</file>