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da.research\personal\rxia\Improved Alpha Models\BSX\"/>
    </mc:Choice>
  </mc:AlternateContent>
  <xr:revisionPtr revIDLastSave="0" documentId="13_ncr:1_{0EEFF47B-06C0-4860-98E8-3763B8E7CEBF}" xr6:coauthVersionLast="46" xr6:coauthVersionMax="46" xr10:uidLastSave="{00000000-0000-0000-0000-000000000000}"/>
  <bookViews>
    <workbookView xWindow="-26070" yWindow="3090" windowWidth="21600" windowHeight="11385" xr2:uid="{07F493FA-2681-4851-A3A3-ECE0336C6524}"/>
  </bookViews>
  <sheets>
    <sheet name="1. Data &amp; Confidence Interval" sheetId="1" r:id="rId1"/>
    <sheet name="2. Past Proj &amp; Candidate Model" sheetId="2" r:id="rId2"/>
    <sheet name="3. Improved Alpha Model" sheetId="3" r:id="rId3"/>
    <sheet name="4. Result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5" i="4" l="1"/>
  <c r="H34" i="4"/>
  <c r="H36" i="4" s="1"/>
  <c r="G36" i="4"/>
  <c r="G35" i="4"/>
  <c r="G34" i="4"/>
  <c r="G33" i="4"/>
  <c r="G32" i="4"/>
  <c r="G31" i="4"/>
  <c r="R36" i="4"/>
  <c r="R35" i="4"/>
  <c r="R34" i="4"/>
  <c r="R33" i="4"/>
  <c r="R32" i="4"/>
  <c r="R31" i="4"/>
  <c r="Q20" i="2"/>
  <c r="L20" i="2"/>
  <c r="M20" i="2"/>
  <c r="N20" i="2"/>
  <c r="O20" i="2"/>
  <c r="P20" i="2"/>
  <c r="K20" i="2"/>
  <c r="J20" i="2"/>
  <c r="C2" i="4"/>
  <c r="J23" i="2"/>
  <c r="P23" i="2" s="1"/>
  <c r="K23" i="2"/>
  <c r="L23" i="2"/>
  <c r="M23" i="2"/>
  <c r="N23" i="2"/>
  <c r="O23" i="2"/>
  <c r="Q23" i="2"/>
  <c r="R23" i="2"/>
  <c r="AK26" i="1"/>
  <c r="AK25" i="1"/>
  <c r="AJ18" i="1"/>
  <c r="AK21" i="1"/>
  <c r="AK20" i="1"/>
  <c r="AK23" i="1"/>
  <c r="AK22" i="1"/>
  <c r="J10" i="1"/>
  <c r="AJ10" i="1"/>
  <c r="N25" i="1"/>
  <c r="K25" i="1"/>
  <c r="N24" i="1"/>
  <c r="K24" i="1"/>
  <c r="D47" i="4" l="1"/>
  <c r="R28" i="2"/>
  <c r="K29" i="2"/>
  <c r="L29" i="2"/>
  <c r="M29" i="2"/>
  <c r="N29" i="2"/>
  <c r="O29" i="2"/>
  <c r="P29" i="2"/>
  <c r="Q29" i="2"/>
  <c r="R29" i="2"/>
  <c r="K30" i="2"/>
  <c r="L30" i="2"/>
  <c r="M30" i="2"/>
  <c r="N30" i="2"/>
  <c r="O30" i="2"/>
  <c r="P30" i="2"/>
  <c r="Q30" i="2"/>
  <c r="R30" i="2"/>
  <c r="A28" i="2"/>
  <c r="B28" i="2"/>
  <c r="C28" i="2"/>
  <c r="D28" i="2"/>
  <c r="E28" i="2"/>
  <c r="F28" i="2"/>
  <c r="G28" i="2"/>
  <c r="H28" i="2"/>
  <c r="I28" i="2"/>
  <c r="J28" i="2"/>
  <c r="A29" i="2"/>
  <c r="B29" i="2"/>
  <c r="C29" i="2"/>
  <c r="D29" i="2"/>
  <c r="E29" i="2"/>
  <c r="F29" i="2"/>
  <c r="G29" i="2"/>
  <c r="H29" i="2"/>
  <c r="I29" i="2"/>
  <c r="J29" i="2"/>
  <c r="F13" i="1"/>
  <c r="G13" i="1"/>
  <c r="H13" i="1"/>
  <c r="I13" i="1"/>
  <c r="F17" i="1"/>
  <c r="E17" i="1"/>
  <c r="D17" i="1"/>
  <c r="C17" i="1"/>
  <c r="B17" i="1"/>
  <c r="E18" i="1"/>
  <c r="D18" i="1"/>
  <c r="C18" i="1"/>
  <c r="B18" i="1"/>
  <c r="F18" i="1"/>
  <c r="K22" i="1"/>
  <c r="K20" i="1"/>
  <c r="J39" i="2" l="1"/>
  <c r="J42" i="2"/>
  <c r="H18" i="1"/>
  <c r="G18" i="1"/>
  <c r="L22" i="1"/>
  <c r="M22" i="1"/>
  <c r="N22" i="1"/>
  <c r="O22" i="1"/>
  <c r="P22" i="1"/>
  <c r="L20" i="1"/>
  <c r="M20" i="1"/>
  <c r="N20" i="1"/>
  <c r="N21" i="1" s="1"/>
  <c r="O20" i="1"/>
  <c r="P20" i="1"/>
  <c r="J41" i="2"/>
  <c r="J40" i="2"/>
  <c r="G40" i="2"/>
  <c r="R24" i="2"/>
  <c r="Q22" i="1"/>
  <c r="R22" i="1"/>
  <c r="Q20" i="1"/>
  <c r="R20" i="1"/>
  <c r="H39" i="2"/>
  <c r="H40" i="2"/>
  <c r="G44" i="2"/>
  <c r="G43" i="2"/>
  <c r="G42" i="2"/>
  <c r="G41" i="2"/>
  <c r="G39" i="2"/>
  <c r="G37" i="2"/>
  <c r="G36" i="2"/>
  <c r="E41" i="2"/>
  <c r="E40" i="2"/>
  <c r="E39" i="2"/>
  <c r="E38" i="2"/>
  <c r="E37" i="2"/>
  <c r="E36" i="2"/>
  <c r="E35" i="2"/>
  <c r="E34" i="2"/>
  <c r="E33" i="2"/>
  <c r="E32" i="2"/>
  <c r="E31" i="2"/>
  <c r="AK18" i="1"/>
  <c r="J17" i="1"/>
  <c r="I17" i="1"/>
  <c r="H17" i="1"/>
  <c r="G17" i="1"/>
  <c r="R17" i="1"/>
  <c r="Q17" i="1"/>
  <c r="P17" i="1"/>
  <c r="O17" i="1"/>
  <c r="M18" i="1"/>
  <c r="L18" i="1"/>
  <c r="J18" i="1"/>
  <c r="I18" i="1"/>
  <c r="S20" i="1"/>
  <c r="S22" i="1"/>
  <c r="O21" i="1" l="1"/>
  <c r="R21" i="1"/>
  <c r="O23" i="1"/>
  <c r="N23" i="1"/>
  <c r="P21" i="1"/>
  <c r="S21" i="1"/>
  <c r="S23" i="1"/>
  <c r="Q23" i="1"/>
  <c r="P23" i="1"/>
  <c r="Q21" i="1"/>
  <c r="R23" i="1"/>
  <c r="J24" i="2"/>
  <c r="AJ13" i="1"/>
  <c r="K13" i="1"/>
  <c r="L13" i="1"/>
  <c r="M13" i="1"/>
  <c r="N13" i="1"/>
  <c r="O13" i="1"/>
  <c r="P13" i="1"/>
  <c r="Q13" i="1"/>
  <c r="R13" i="1"/>
  <c r="S13" i="1"/>
  <c r="T13" i="1"/>
  <c r="U13" i="1"/>
  <c r="V13" i="1"/>
  <c r="W13" i="1"/>
  <c r="X13" i="1"/>
  <c r="Y13" i="1"/>
  <c r="Z13" i="1"/>
  <c r="AA13" i="1"/>
  <c r="AB13" i="1"/>
  <c r="AC13" i="1"/>
  <c r="AD13" i="1"/>
  <c r="AE13" i="1"/>
  <c r="AF13" i="1"/>
  <c r="AG13" i="1"/>
  <c r="AH13" i="1"/>
  <c r="AI13" i="1"/>
  <c r="J13" i="1"/>
  <c r="Q31" i="2"/>
  <c r="P31" i="2"/>
  <c r="O31" i="2"/>
  <c r="N31" i="2"/>
  <c r="M31" i="2"/>
  <c r="L31" i="2"/>
  <c r="K31" i="2"/>
  <c r="R31" i="2"/>
  <c r="A30" i="2"/>
  <c r="B30" i="2"/>
  <c r="C30" i="2"/>
  <c r="D30" i="2"/>
  <c r="E30" i="2"/>
  <c r="F30" i="2"/>
  <c r="G30" i="2"/>
  <c r="H30" i="2"/>
  <c r="I30" i="2"/>
  <c r="J30" i="2"/>
  <c r="Q24" i="2"/>
  <c r="P24" i="2"/>
  <c r="O24" i="2"/>
  <c r="N24" i="2"/>
  <c r="M24" i="2"/>
  <c r="L24" i="2"/>
  <c r="K24" i="2"/>
  <c r="I24" i="2"/>
  <c r="H24" i="2"/>
  <c r="G24" i="2"/>
  <c r="F24" i="2"/>
  <c r="E24" i="2"/>
  <c r="AJ17" i="1"/>
  <c r="AK24" i="1" s="1"/>
  <c r="AI17" i="1"/>
  <c r="AH17" i="1"/>
  <c r="AG17" i="1"/>
  <c r="AF17" i="1"/>
  <c r="AI20" i="1"/>
  <c r="AH20" i="1"/>
  <c r="AG20" i="1"/>
  <c r="AF20" i="1"/>
  <c r="AE20" i="1"/>
  <c r="AD20" i="1"/>
  <c r="AC20" i="1"/>
  <c r="AB20" i="1"/>
  <c r="AA20" i="1"/>
  <c r="Z20" i="1"/>
  <c r="Y20" i="1"/>
  <c r="X20" i="1"/>
  <c r="W20" i="1"/>
  <c r="V20" i="1"/>
  <c r="U20" i="1"/>
  <c r="T20" i="1"/>
  <c r="AI18" i="1"/>
  <c r="AH18" i="1"/>
  <c r="S18" i="1"/>
  <c r="R18" i="1"/>
  <c r="Q18" i="1"/>
  <c r="P18" i="1"/>
  <c r="O18" i="1"/>
  <c r="N18" i="1"/>
  <c r="K18" i="1"/>
  <c r="L17" i="1"/>
  <c r="K17" i="1"/>
  <c r="J31" i="2"/>
  <c r="I31" i="2"/>
  <c r="H31" i="2"/>
  <c r="G31" i="2"/>
  <c r="F31" i="2"/>
  <c r="A32" i="2"/>
  <c r="B32" i="2"/>
  <c r="C32" i="2"/>
  <c r="D32" i="2"/>
  <c r="A33" i="2"/>
  <c r="B33" i="2"/>
  <c r="C33" i="2"/>
  <c r="D33" i="2"/>
  <c r="A34" i="2"/>
  <c r="B34" i="2"/>
  <c r="C34" i="2"/>
  <c r="D34" i="2"/>
  <c r="A35" i="2"/>
  <c r="B35" i="2"/>
  <c r="C35" i="2"/>
  <c r="D35" i="2"/>
  <c r="A36" i="2"/>
  <c r="B36" i="2"/>
  <c r="C36" i="2"/>
  <c r="D36" i="2"/>
  <c r="A37" i="2"/>
  <c r="B37" i="2"/>
  <c r="C37" i="2"/>
  <c r="D37" i="2"/>
  <c r="A38" i="2"/>
  <c r="B38" i="2"/>
  <c r="C38" i="2"/>
  <c r="D38" i="2"/>
  <c r="A39" i="2"/>
  <c r="B39" i="2"/>
  <c r="C39" i="2"/>
  <c r="D39" i="2"/>
  <c r="A40" i="2"/>
  <c r="B40" i="2"/>
  <c r="C40" i="2"/>
  <c r="D40" i="2"/>
  <c r="A41" i="2"/>
  <c r="B41" i="2"/>
  <c r="C41" i="2"/>
  <c r="D41" i="2"/>
  <c r="A42" i="2"/>
  <c r="B42" i="2"/>
  <c r="C42" i="2"/>
  <c r="D42" i="2"/>
  <c r="A43" i="2"/>
  <c r="B43" i="2"/>
  <c r="C43" i="2"/>
  <c r="D43" i="2"/>
  <c r="A44" i="2"/>
  <c r="B44" i="2"/>
  <c r="C44" i="2"/>
  <c r="D44" i="2"/>
  <c r="B31" i="2"/>
  <c r="C31" i="2"/>
  <c r="D31" i="2"/>
  <c r="A31" i="2"/>
  <c r="I29" i="3"/>
  <c r="E29" i="3"/>
  <c r="AE17" i="1"/>
  <c r="AD17" i="1"/>
  <c r="AC17" i="1"/>
  <c r="AB17" i="1"/>
  <c r="C7" i="1" l="1"/>
  <c r="U21" i="1"/>
  <c r="T21" i="1"/>
  <c r="AI22" i="1"/>
  <c r="AH22" i="1"/>
  <c r="AG22" i="1"/>
  <c r="AF22" i="1"/>
  <c r="AE22" i="1"/>
  <c r="AD22" i="1"/>
  <c r="AC22" i="1"/>
  <c r="AB22" i="1"/>
  <c r="AA22" i="1"/>
  <c r="Z22" i="1"/>
  <c r="Y22" i="1"/>
  <c r="X22" i="1"/>
  <c r="W22" i="1"/>
  <c r="V22" i="1"/>
  <c r="U22" i="1"/>
  <c r="T22" i="1"/>
  <c r="AC18" i="1"/>
  <c r="AB18" i="1"/>
  <c r="AA18" i="1"/>
  <c r="Z18" i="1"/>
  <c r="Y18" i="1"/>
  <c r="X18" i="1"/>
  <c r="W18" i="1"/>
  <c r="V18" i="1"/>
  <c r="U18" i="1"/>
  <c r="T18" i="1"/>
  <c r="M17" i="1"/>
  <c r="N17" i="1"/>
  <c r="S17" i="1"/>
  <c r="T17" i="1"/>
  <c r="U17" i="1"/>
  <c r="V17" i="1"/>
  <c r="W17" i="1"/>
  <c r="X17" i="1"/>
  <c r="Y17" i="1"/>
  <c r="Z17" i="1"/>
  <c r="AA17" i="1"/>
  <c r="F25" i="3"/>
  <c r="D48" i="4" l="1"/>
  <c r="U23" i="1"/>
  <c r="T23" i="1"/>
  <c r="B7" i="1"/>
  <c r="V21" i="1"/>
  <c r="R44" i="2"/>
  <c r="R43" i="2"/>
  <c r="R42" i="2"/>
  <c r="R41" i="2"/>
  <c r="R39" i="2"/>
  <c r="R38" i="2"/>
  <c r="R37" i="2"/>
  <c r="R36" i="2"/>
  <c r="R35" i="2"/>
  <c r="R34" i="2"/>
  <c r="R33" i="2"/>
  <c r="R32" i="2"/>
  <c r="M2" i="1" l="1"/>
  <c r="N2" i="1"/>
  <c r="N3" i="1"/>
  <c r="M3" i="1"/>
  <c r="H25" i="3"/>
  <c r="O2" i="1" l="1"/>
  <c r="P2" i="1" s="1"/>
  <c r="O3" i="1"/>
  <c r="P3" i="1" s="1"/>
  <c r="R40" i="2"/>
  <c r="R45" i="2" s="1" a="1"/>
  <c r="R45" i="2" s="1"/>
  <c r="K32" i="2"/>
  <c r="L32" i="2"/>
  <c r="M32" i="2"/>
  <c r="N32" i="2"/>
  <c r="O32" i="2"/>
  <c r="P32" i="2"/>
  <c r="Q32" i="2"/>
  <c r="K33" i="2"/>
  <c r="L33" i="2"/>
  <c r="M33" i="2"/>
  <c r="N33" i="2"/>
  <c r="O33" i="2"/>
  <c r="P33" i="2"/>
  <c r="Q33" i="2"/>
  <c r="K34" i="2"/>
  <c r="L34" i="2"/>
  <c r="M34" i="2"/>
  <c r="N34" i="2"/>
  <c r="O34" i="2"/>
  <c r="P34" i="2"/>
  <c r="Q34" i="2"/>
  <c r="K35" i="2"/>
  <c r="L35" i="2"/>
  <c r="M35" i="2"/>
  <c r="N35" i="2"/>
  <c r="O35" i="2"/>
  <c r="P35" i="2"/>
  <c r="Q35" i="2"/>
  <c r="K36" i="2"/>
  <c r="L36" i="2"/>
  <c r="M36" i="2"/>
  <c r="N36" i="2"/>
  <c r="O36" i="2"/>
  <c r="P36" i="2"/>
  <c r="Q36" i="2"/>
  <c r="K37" i="2"/>
  <c r="L37" i="2"/>
  <c r="M37" i="2"/>
  <c r="N37" i="2"/>
  <c r="O37" i="2"/>
  <c r="P37" i="2"/>
  <c r="Q37" i="2"/>
  <c r="K38" i="2"/>
  <c r="L38" i="2"/>
  <c r="M38" i="2"/>
  <c r="N38" i="2"/>
  <c r="O38" i="2"/>
  <c r="P38" i="2"/>
  <c r="Q38" i="2"/>
  <c r="K39" i="2"/>
  <c r="L39" i="2"/>
  <c r="M39" i="2"/>
  <c r="N39" i="2"/>
  <c r="O39" i="2"/>
  <c r="P39" i="2"/>
  <c r="Q39" i="2"/>
  <c r="K40" i="2"/>
  <c r="L40" i="2"/>
  <c r="M40" i="2"/>
  <c r="N40" i="2"/>
  <c r="O40" i="2"/>
  <c r="P40" i="2"/>
  <c r="Q40" i="2"/>
  <c r="K41" i="2"/>
  <c r="L41" i="2"/>
  <c r="M41" i="2"/>
  <c r="N41" i="2"/>
  <c r="O41" i="2"/>
  <c r="P41" i="2"/>
  <c r="Q41" i="2"/>
  <c r="K42" i="2"/>
  <c r="L42" i="2"/>
  <c r="M42" i="2"/>
  <c r="N42" i="2"/>
  <c r="O42" i="2"/>
  <c r="P42" i="2"/>
  <c r="Q42" i="2"/>
  <c r="K43" i="2"/>
  <c r="L43" i="2"/>
  <c r="M43" i="2"/>
  <c r="N43" i="2"/>
  <c r="O43" i="2"/>
  <c r="P43" i="2"/>
  <c r="Q43" i="2"/>
  <c r="K44" i="2"/>
  <c r="L44" i="2"/>
  <c r="M44" i="2"/>
  <c r="N44" i="2"/>
  <c r="O44" i="2"/>
  <c r="P44" i="2"/>
  <c r="Q44" i="2"/>
  <c r="E44" i="2"/>
  <c r="F32" i="2"/>
  <c r="G32" i="2"/>
  <c r="H32" i="2"/>
  <c r="I32" i="2"/>
  <c r="J32" i="2"/>
  <c r="F33" i="2"/>
  <c r="G33" i="2"/>
  <c r="H33" i="2"/>
  <c r="I33" i="2"/>
  <c r="J33" i="2"/>
  <c r="F34" i="2"/>
  <c r="G34" i="2"/>
  <c r="H34" i="2"/>
  <c r="I34" i="2"/>
  <c r="J34" i="2"/>
  <c r="F35" i="2"/>
  <c r="G35" i="2"/>
  <c r="H35" i="2"/>
  <c r="I35" i="2"/>
  <c r="J35" i="2"/>
  <c r="F36" i="2"/>
  <c r="H36" i="2"/>
  <c r="I36" i="2"/>
  <c r="J36" i="2"/>
  <c r="F37" i="2"/>
  <c r="H37" i="2"/>
  <c r="I37" i="2"/>
  <c r="J37" i="2"/>
  <c r="F38" i="2"/>
  <c r="G38" i="2"/>
  <c r="H38" i="2"/>
  <c r="I38" i="2"/>
  <c r="J38" i="2"/>
  <c r="F39" i="2"/>
  <c r="I39" i="2"/>
  <c r="F40" i="2"/>
  <c r="I40" i="2"/>
  <c r="F41" i="2"/>
  <c r="H41" i="2"/>
  <c r="I41" i="2"/>
  <c r="E42" i="2"/>
  <c r="F42" i="2"/>
  <c r="H42" i="2"/>
  <c r="I42" i="2"/>
  <c r="E43" i="2"/>
  <c r="F43" i="2"/>
  <c r="H43" i="2"/>
  <c r="I43" i="2"/>
  <c r="J43" i="2"/>
  <c r="F44" i="2"/>
  <c r="H44" i="2"/>
  <c r="I44" i="2"/>
  <c r="J44" i="2"/>
  <c r="H46" i="2" l="1" a="1"/>
  <c r="H46" i="2" s="1"/>
  <c r="H45" i="2" a="1"/>
  <c r="H45" i="2" s="1"/>
  <c r="Q46" i="2" a="1"/>
  <c r="Q46" i="2" s="1"/>
  <c r="Q45" i="2" a="1"/>
  <c r="Q45" i="2" s="1"/>
  <c r="P45" i="2" a="1"/>
  <c r="P45" i="2" s="1"/>
  <c r="P46" i="2" a="1"/>
  <c r="P46" i="2" s="1"/>
  <c r="F45" i="2" a="1"/>
  <c r="F45" i="2" s="1"/>
  <c r="F46" i="2" a="1"/>
  <c r="F46" i="2" s="1"/>
  <c r="N46" i="2" a="1"/>
  <c r="N46" i="2" s="1"/>
  <c r="N45" i="2" a="1"/>
  <c r="N45" i="2" s="1"/>
  <c r="M46" i="2" a="1"/>
  <c r="M46" i="2" s="1"/>
  <c r="M45" i="2" a="1"/>
  <c r="M45" i="2" s="1"/>
  <c r="O46" i="2" a="1"/>
  <c r="O46" i="2" s="1"/>
  <c r="O45" i="2" a="1"/>
  <c r="O45" i="2" s="1"/>
  <c r="L45" i="2" a="1"/>
  <c r="L45" i="2" s="1"/>
  <c r="L46" i="2" a="1"/>
  <c r="L46" i="2" s="1"/>
  <c r="E46" i="2" a="1"/>
  <c r="E46" i="2" s="1"/>
  <c r="E45" i="2" a="1"/>
  <c r="E45" i="2" s="1"/>
  <c r="J45" i="2" a="1"/>
  <c r="J45" i="2" s="1"/>
  <c r="J46" i="2" a="1"/>
  <c r="J46" i="2" s="1"/>
  <c r="K46" i="2" a="1"/>
  <c r="K46" i="2" s="1"/>
  <c r="K45" i="2" a="1"/>
  <c r="K45" i="2" s="1"/>
  <c r="G46" i="2" a="1"/>
  <c r="G46" i="2" s="1"/>
  <c r="G45" i="2" a="1"/>
  <c r="G45" i="2" s="1"/>
  <c r="I45" i="2" a="1"/>
  <c r="I45" i="2" s="1"/>
  <c r="I46" i="2" a="1"/>
  <c r="I46" i="2" s="1"/>
  <c r="R46" i="2" a="1"/>
  <c r="R46" i="2" s="1"/>
  <c r="AH21" i="1"/>
  <c r="W21" i="1"/>
  <c r="AI21" i="1"/>
  <c r="AE21" i="1"/>
  <c r="AI23" i="1"/>
  <c r="X21" i="1"/>
  <c r="Y21" i="1"/>
  <c r="Z21" i="1"/>
  <c r="Y23" i="1"/>
  <c r="X23" i="1"/>
  <c r="AD23" i="1"/>
  <c r="W23" i="1"/>
  <c r="V23" i="1"/>
  <c r="AE23" i="1"/>
  <c r="AA23" i="1"/>
  <c r="AC23" i="1"/>
  <c r="Z23" i="1"/>
  <c r="AB23" i="1"/>
  <c r="AH23" i="1"/>
  <c r="AG23" i="1"/>
  <c r="AF23" i="1"/>
  <c r="AG21" i="1"/>
  <c r="AA21" i="1"/>
  <c r="AB21" i="1"/>
  <c r="AC21" i="1"/>
  <c r="AD21" i="1"/>
  <c r="AF21" i="1"/>
  <c r="O4" i="1" l="1"/>
  <c r="P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<sst xmlns="http://schemas.openxmlformats.org/spreadsheetml/2006/main" count="327" uniqueCount="175">
  <si>
    <t>Consensus</t>
  </si>
  <si>
    <t>VA Actual</t>
  </si>
  <si>
    <t>YoY Growth</t>
  </si>
  <si>
    <t>Q2</t>
  </si>
  <si>
    <t>Q3</t>
  </si>
  <si>
    <t>Q4</t>
  </si>
  <si>
    <t>DATA</t>
  </si>
  <si>
    <t>Beat (1 Yes, 0 No)</t>
  </si>
  <si>
    <t>Avg Beat</t>
  </si>
  <si>
    <t>Beat Moving Avg (4)</t>
  </si>
  <si>
    <t>Avg Beat MA</t>
  </si>
  <si>
    <t>Beat Pct</t>
  </si>
  <si>
    <t>Beat Pct MA (4)</t>
  </si>
  <si>
    <t>Median Beat Pct</t>
  </si>
  <si>
    <t>Median Beat Pct MA</t>
  </si>
  <si>
    <t>Avg YoY Growth</t>
  </si>
  <si>
    <t>Avg Last 4 Qtr YoY GR</t>
  </si>
  <si>
    <t>US Pre-Q Revenue</t>
  </si>
  <si>
    <t>US to Total Proportion Revenue</t>
  </si>
  <si>
    <t>QTR</t>
  </si>
  <si>
    <t>Q1</t>
  </si>
  <si>
    <t>Q3E</t>
  </si>
  <si>
    <t>Q4E</t>
  </si>
  <si>
    <t>Avg Last 4 Qtr US to Total Proportion Revenue</t>
  </si>
  <si>
    <t>QTR Distributions</t>
  </si>
  <si>
    <t>Avg Positive Beat</t>
  </si>
  <si>
    <t>Avg Negative Beat</t>
  </si>
  <si>
    <t>Q3 Quarter Distribution Avg</t>
  </si>
  <si>
    <t>Q3 Quarter Distribution Standard Deviation</t>
  </si>
  <si>
    <t>Median Positive Beat</t>
  </si>
  <si>
    <t>Median Negative Beat</t>
  </si>
  <si>
    <t>Lower</t>
  </si>
  <si>
    <t>Upper</t>
  </si>
  <si>
    <t>GUIDANCE</t>
  </si>
  <si>
    <t>PARAMETERS</t>
  </si>
  <si>
    <t>Confidance Interval</t>
  </si>
  <si>
    <t>USA Guidance</t>
  </si>
  <si>
    <t>Lower Confidence Interval</t>
  </si>
  <si>
    <t>Upper Confidence Interval</t>
  </si>
  <si>
    <t>Avg</t>
  </si>
  <si>
    <t>Total</t>
  </si>
  <si>
    <t>Expected YoY Growth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</si>
  <si>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</si>
  <si>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</si>
  <si>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</si>
  <si>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</si>
  <si>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</si>
  <si>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</si>
  <si>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</si>
  <si>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</si>
  <si>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</si>
  <si>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</si>
  <si>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</si>
  <si>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</si>
  <si>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</si>
  <si>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</si>
  <si>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TICKER</t>
  </si>
  <si>
    <t>REVENUE_TYPE</t>
  </si>
  <si>
    <t>CutDate</t>
  </si>
  <si>
    <t>SS_12_12 Estimate</t>
  </si>
  <si>
    <t>SS_NO_LR</t>
  </si>
  <si>
    <t>NSS_12_12_Estimate</t>
  </si>
  <si>
    <t>Average</t>
  </si>
  <si>
    <t>SS_12_12 Estimate_GR</t>
  </si>
  <si>
    <t>SS_NO_LR_GR</t>
  </si>
  <si>
    <t>NSS_12_12_Estimate_GR</t>
  </si>
  <si>
    <t>Average_GR</t>
  </si>
  <si>
    <t>AVG_AVG_GR</t>
  </si>
  <si>
    <t>Calendar Year</t>
  </si>
  <si>
    <t>SS 12_03 LR</t>
  </si>
  <si>
    <t>NSS 12_03 LR</t>
  </si>
  <si>
    <t>2021Q3</t>
  </si>
  <si>
    <t>Reported Revenue</t>
  </si>
  <si>
    <t>SS 12_03_LR_GR</t>
  </si>
  <si>
    <t>NSS 12_03_LR_GR</t>
  </si>
  <si>
    <t>CORRELATION W/O 2021Q3</t>
  </si>
  <si>
    <t>Historical Projections</t>
  </si>
  <si>
    <t>Projection Accuracy</t>
  </si>
  <si>
    <t>Absolute Average</t>
  </si>
  <si>
    <t>Standard Deviation from 0</t>
  </si>
  <si>
    <t>NOTE:</t>
  </si>
  <si>
    <t>The Best Linear Regression Models (Linear Models) comes either from best correlations or Best (lowest) Accuracy or Best (Standard Deviation) Accuracy</t>
  </si>
  <si>
    <t>From Step 2. We input the historical values for the projection methodology and add a layered forward chaining linear models regression</t>
  </si>
  <si>
    <t>2021Q2 Results</t>
  </si>
  <si>
    <t>Notes</t>
  </si>
  <si>
    <t>CONSENSUS</t>
  </si>
  <si>
    <t>PROJ</t>
  </si>
  <si>
    <t>LR</t>
  </si>
  <si>
    <t>LR_CON</t>
  </si>
  <si>
    <t>LR_CON_PROJ</t>
  </si>
  <si>
    <t>RIDGE</t>
  </si>
  <si>
    <t>LASSO</t>
  </si>
  <si>
    <t>RIDGE_CON</t>
  </si>
  <si>
    <t>LASSO_CON</t>
  </si>
  <si>
    <t>QUAD</t>
  </si>
  <si>
    <t>CUBIC</t>
  </si>
  <si>
    <t>AVG</t>
  </si>
  <si>
    <t>STD</t>
  </si>
  <si>
    <t>MEDIAN</t>
  </si>
  <si>
    <t>1.</t>
  </si>
  <si>
    <t>2.</t>
  </si>
  <si>
    <t>3.</t>
  </si>
  <si>
    <t>4.</t>
  </si>
  <si>
    <t>5.</t>
  </si>
  <si>
    <t>STEP</t>
  </si>
  <si>
    <t>6.</t>
  </si>
  <si>
    <t>2. Past Proj &amp; Candidate Model'!A45:B45</t>
  </si>
  <si>
    <t>7.</t>
  </si>
  <si>
    <t>The predicted 2021Q2 Revenue is then:</t>
  </si>
  <si>
    <t>Acuuracy:</t>
  </si>
  <si>
    <t>off</t>
  </si>
  <si>
    <t xml:space="preserve">This methodology scored: </t>
  </si>
  <si>
    <t>Finding the best methodology in the previous quarter. (Do not put 2021Q3 data point into the pandas data frame in LR_adj.py)</t>
  </si>
  <si>
    <t xml:space="preserve">To explain each methodology result. </t>
  </si>
  <si>
    <t>1. Consensus is the benchmark. It is how well consensus performs in the same out of sample</t>
  </si>
  <si>
    <t>2. Projection is the inputted data series from past projection</t>
  </si>
  <si>
    <t>3. LR is the linear regression with the projection as X values and Reported Revenue as Y</t>
  </si>
  <si>
    <t>4. LR_CON is the linear regression that doesn't uses the projection and takes consensus values and run the regression with it. Example on the right</t>
  </si>
  <si>
    <t>5. LR_CON_PROJ is the multi-linear regression that takes both consensus and projection as X and outputs predicted reported revenue</t>
  </si>
  <si>
    <t>6. Ridge is a modified linear regression method. This takes projection as X and outputs predicted reported revenue as Y</t>
  </si>
  <si>
    <t>6. Lasso is an another modified linear regression method. This takes projection as X and outputs predicted reported revenue as Y</t>
  </si>
  <si>
    <t>7. Ridge_CON is the multi-linear regression with the projection and consensus as X and outputs predicted reported revenue as Y</t>
  </si>
  <si>
    <t>8. LASSO_CON is the multi-linear regression with the projection and consensus as X and outputs predicted reported revenue as Y</t>
  </si>
  <si>
    <t>Overall Result</t>
  </si>
  <si>
    <t>Step</t>
  </si>
  <si>
    <t>DATE</t>
  </si>
  <si>
    <t>REVENUE</t>
  </si>
  <si>
    <t>acc_CON</t>
  </si>
  <si>
    <t>acc_PROJ</t>
  </si>
  <si>
    <t>acc_LR</t>
  </si>
  <si>
    <t>acc_LR_CON</t>
  </si>
  <si>
    <t>acc_LR_CON_PROJ</t>
  </si>
  <si>
    <t>acc_RIDGE</t>
  </si>
  <si>
    <t>acc_LASSO</t>
  </si>
  <si>
    <t>acc_RIDGE_CON</t>
  </si>
  <si>
    <t>acc_LASSO_CON</t>
  </si>
  <si>
    <t>acc_QUAD</t>
  </si>
  <si>
    <t>acc_CUBIC</t>
  </si>
  <si>
    <t>Improved Alpha Model</t>
  </si>
  <si>
    <t>This is the same average and standard deviation calculation found in Cell</t>
  </si>
  <si>
    <t>Median value is there to show how often the back-test overshoots or undershoots the results. Negative means it overshoots.</t>
  </si>
  <si>
    <t>Average Undershoot or Overshoot:</t>
  </si>
  <si>
    <t>Average Undershoot</t>
  </si>
  <si>
    <t>Median Undershoot or Overshoot:</t>
  </si>
  <si>
    <t>Median Undershoot</t>
  </si>
  <si>
    <t>Average Overshoot</t>
  </si>
  <si>
    <t>Median Overshoot</t>
  </si>
  <si>
    <r>
      <t xml:space="preserve">You can find the script in this directory </t>
    </r>
    <r>
      <rPr>
        <b/>
        <sz val="10"/>
        <color theme="1"/>
        <rFont val="Arial"/>
        <family val="2"/>
      </rPr>
      <t>C:\dev\da.research\personal\rxia\LR_Adj.py</t>
    </r>
  </si>
  <si>
    <t>Scaling Average Undershoot or Overshoot:</t>
  </si>
  <si>
    <t>Scaling Median Undershoot or Overshoot:</t>
  </si>
  <si>
    <t>Scaling Average Undershoot</t>
  </si>
  <si>
    <t>Scaling Median Undershoot</t>
  </si>
  <si>
    <t>Scaling Average Overshoot</t>
  </si>
  <si>
    <t>Scaling Median Overshoot</t>
  </si>
  <si>
    <t>Depending on the belief, if you think the results currently is larger than what it is currently is then we can use the miss value at average overshoot</t>
  </si>
  <si>
    <t xml:space="preserve">However the average or median undershoot or overshoot is unbiased. </t>
  </si>
  <si>
    <t>Use:</t>
  </si>
  <si>
    <t>Total Revenue</t>
  </si>
  <si>
    <t>Input those as projection into python script in step 3.</t>
  </si>
  <si>
    <t>Consensus average scored:</t>
  </si>
  <si>
    <t>Since:</t>
  </si>
  <si>
    <t>Methodology performed the best at in 2021Q2, we use it to predict Q3</t>
  </si>
  <si>
    <t>These average are biased because it compares it to the relative the inputted reported revenue. Since we do not have 2021Q3, I input consensus in there. See Step 4 for the regression summary.</t>
  </si>
  <si>
    <t>Historical Average Beat\Miss:</t>
  </si>
  <si>
    <t>Improved Alpha Implied Beat/Miss:</t>
  </si>
  <si>
    <t>For Sheet 3 Regression Removed 2020Q2</t>
  </si>
  <si>
    <r>
      <t xml:space="preserve">I store the output for each ticker in </t>
    </r>
    <r>
      <rPr>
        <b/>
        <sz val="10"/>
        <color theme="1"/>
        <rFont val="Arial"/>
        <family val="2"/>
      </rPr>
      <t>C:\dev\da.research\personal\rxia\Improved Alpha Models</t>
    </r>
  </si>
  <si>
    <t>2017Q4</t>
  </si>
  <si>
    <t>which is not inline with the confidence interval in step1. If this value is unsatisfactory, use confidence interval.</t>
  </si>
  <si>
    <t>2017Q2</t>
  </si>
  <si>
    <t>2017Q3</t>
  </si>
  <si>
    <t>SS_NO_LR RM Q2</t>
  </si>
  <si>
    <t>BSX_RN</t>
  </si>
  <si>
    <t>Electrophysiology</t>
  </si>
  <si>
    <t>SS_NO_LR_RMQ2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</si>
</sst>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%"/>
    <numFmt numFmtId="165" formatCode="0.0000"/>
    <numFmt numFmtId="166" formatCode="0.0"/>
    <numFmt numFmtId="167" formatCode="0.00000"/>
  </numFmts>
  <fonts count="10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FF000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2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name val="Calibri"/>
      <family val="2"/>
    </font>
    <font>
      <sz val="11"/>
      <name val="Calibri"/>
      <family val="2"/>
    </font>
  </fonts>
  <fills count="1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3">
    <xf numFmtId="0" fontId="0" fillId="0" borderId="0" xfId="0"/>
    <xf numFmtId="10" fontId="0" fillId="0" borderId="0" xfId="0" applyNumberFormat="1"/>
    <xf numFmtId="164" fontId="0" fillId="0" borderId="0" xfId="1" applyNumberFormat="1" applyFont="1"/>
    <xf numFmtId="164" fontId="0" fillId="0" borderId="0" xfId="0" applyNumberFormat="1"/>
    <xf numFmtId="0" fontId="0" fillId="0" borderId="1" xfId="0" applyBorder="1"/>
    <xf numFmtId="0" fontId="0" fillId="0" borderId="4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8" borderId="1" xfId="0" applyFill="1" applyBorder="1"/>
    <xf numFmtId="164" fontId="0" fillId="0" borderId="0" xfId="1" applyNumberFormat="1" applyFont="1" applyBorder="1"/>
    <xf numFmtId="0" fontId="0" fillId="8" borderId="11" xfId="0" applyFill="1" applyBorder="1"/>
    <xf numFmtId="0" fontId="0" fillId="3" borderId="6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164" fontId="0" fillId="0" borderId="11" xfId="0" applyNumberFormat="1" applyBorder="1"/>
    <xf numFmtId="164" fontId="0" fillId="0" borderId="12" xfId="0" applyNumberFormat="1" applyBorder="1"/>
    <xf numFmtId="0" fontId="0" fillId="11" borderId="1" xfId="0" applyFill="1" applyBorder="1"/>
    <xf numFmtId="9" fontId="0" fillId="0" borderId="1" xfId="0" applyNumberFormat="1" applyBorder="1"/>
    <xf numFmtId="0" fontId="0" fillId="8" borderId="14" xfId="0" applyFill="1" applyBorder="1"/>
    <xf numFmtId="0" fontId="0" fillId="4" borderId="2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164" fontId="0" fillId="0" borderId="9" xfId="1" applyNumberFormat="1" applyFont="1" applyBorder="1"/>
    <xf numFmtId="0" fontId="0" fillId="8" borderId="2" xfId="0" applyFill="1" applyBorder="1"/>
    <xf numFmtId="164" fontId="4" fillId="0" borderId="4" xfId="1" applyNumberFormat="1" applyFont="1" applyFill="1" applyBorder="1"/>
    <xf numFmtId="164" fontId="0" fillId="0" borderId="4" xfId="0" applyNumberFormat="1" applyBorder="1"/>
    <xf numFmtId="10" fontId="0" fillId="0" borderId="4" xfId="0" applyNumberFormat="1" applyFill="1" applyBorder="1"/>
    <xf numFmtId="0" fontId="0" fillId="8" borderId="10" xfId="0" applyFill="1" applyBorder="1"/>
    <xf numFmtId="164" fontId="0" fillId="0" borderId="7" xfId="0" applyNumberFormat="1" applyBorder="1"/>
    <xf numFmtId="10" fontId="0" fillId="0" borderId="12" xfId="1" applyNumberFormat="1" applyFont="1" applyBorder="1"/>
    <xf numFmtId="0" fontId="0" fillId="2" borderId="6" xfId="0" applyFill="1" applyBorder="1"/>
    <xf numFmtId="0" fontId="0" fillId="2" borderId="7" xfId="0" applyFill="1" applyBorder="1"/>
    <xf numFmtId="0" fontId="0" fillId="0" borderId="0" xfId="0" applyFill="1" applyAlignment="1">
      <alignment horizontal="center" vertical="center"/>
    </xf>
    <xf numFmtId="0" fontId="0" fillId="14" borderId="4" xfId="0" applyFill="1" applyBorder="1"/>
    <xf numFmtId="0" fontId="5" fillId="3" borderId="8" xfId="0" applyFont="1" applyFill="1" applyBorder="1"/>
    <xf numFmtId="0" fontId="6" fillId="5" borderId="10" xfId="0" applyFont="1" applyFill="1" applyBorder="1" applyAlignment="1">
      <alignment horizontal="left" vertical="center"/>
    </xf>
    <xf numFmtId="166" fontId="6" fillId="0" borderId="11" xfId="0" applyNumberFormat="1" applyFont="1" applyFill="1" applyBorder="1" applyAlignment="1">
      <alignment horizontal="center" vertical="center"/>
    </xf>
    <xf numFmtId="166" fontId="6" fillId="0" borderId="12" xfId="0" applyNumberFormat="1" applyFont="1" applyFill="1" applyBorder="1" applyAlignment="1">
      <alignment horizontal="center" vertical="center"/>
    </xf>
    <xf numFmtId="0" fontId="7" fillId="13" borderId="0" xfId="0" applyFont="1" applyFill="1" applyBorder="1"/>
    <xf numFmtId="0" fontId="7" fillId="13" borderId="9" xfId="0" applyFont="1" applyFill="1" applyBorder="1"/>
    <xf numFmtId="0" fontId="3" fillId="12" borderId="5" xfId="0" applyFont="1" applyFill="1" applyBorder="1"/>
    <xf numFmtId="0" fontId="0" fillId="10" borderId="8" xfId="0" applyFill="1" applyBorder="1"/>
    <xf numFmtId="0" fontId="0" fillId="10" borderId="0" xfId="0" applyFill="1" applyBorder="1"/>
    <xf numFmtId="0" fontId="0" fillId="0" borderId="3" xfId="0" applyBorder="1"/>
    <xf numFmtId="166" fontId="0" fillId="0" borderId="0" xfId="0" applyNumberFormat="1" applyBorder="1"/>
    <xf numFmtId="166" fontId="0" fillId="0" borderId="11" xfId="0" applyNumberFormat="1" applyBorder="1"/>
    <xf numFmtId="166" fontId="0" fillId="0" borderId="14" xfId="0" applyNumberFormat="1" applyBorder="1"/>
    <xf numFmtId="166" fontId="0" fillId="0" borderId="15" xfId="0" applyNumberFormat="1" applyBorder="1"/>
    <xf numFmtId="2" fontId="0" fillId="0" borderId="0" xfId="0" applyNumberFormat="1"/>
    <xf numFmtId="49" fontId="0" fillId="0" borderId="0" xfId="0" applyNumberFormat="1"/>
    <xf numFmtId="0" fontId="0" fillId="0" borderId="0" xfId="0" quotePrefix="1"/>
    <xf numFmtId="0" fontId="0" fillId="9" borderId="0" xfId="0" applyFill="1"/>
    <xf numFmtId="0" fontId="0" fillId="0" borderId="14" xfId="0" applyFill="1" applyBorder="1"/>
    <xf numFmtId="0" fontId="8" fillId="0" borderId="1" xfId="0" applyFont="1" applyBorder="1" applyAlignment="1">
      <alignment horizontal="center" vertical="top"/>
    </xf>
    <xf numFmtId="0" fontId="9" fillId="0" borderId="0" xfId="0" applyFont="1" applyFill="1" applyBorder="1" applyAlignment="1">
      <alignment horizontal="left" vertical="top"/>
    </xf>
    <xf numFmtId="10" fontId="4" fillId="0" borderId="5" xfId="1" applyNumberFormat="1" applyFont="1" applyBorder="1"/>
    <xf numFmtId="10" fontId="4" fillId="0" borderId="10" xfId="1" applyNumberFormat="1" applyFont="1" applyBorder="1"/>
    <xf numFmtId="0" fontId="0" fillId="0" borderId="0" xfId="0" applyAlignment="1">
      <alignment horizontal="right"/>
    </xf>
    <xf numFmtId="0" fontId="0" fillId="17" borderId="0" xfId="0" applyFill="1"/>
    <xf numFmtId="0" fontId="0" fillId="3" borderId="0" xfId="0" applyFill="1"/>
    <xf numFmtId="166" fontId="0" fillId="2" borderId="0" xfId="0" applyNumberFormat="1" applyFill="1"/>
    <xf numFmtId="164" fontId="0" fillId="0" borderId="1" xfId="0" applyNumberFormat="1" applyBorder="1"/>
    <xf numFmtId="0" fontId="0" fillId="7" borderId="2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166" fontId="0" fillId="0" borderId="10" xfId="0" applyNumberFormat="1" applyBorder="1"/>
    <xf numFmtId="166" fontId="0" fillId="0" borderId="5" xfId="0" applyNumberFormat="1" applyBorder="1"/>
    <xf numFmtId="164" fontId="0" fillId="0" borderId="13" xfId="1" applyNumberFormat="1" applyFont="1" applyFill="1" applyBorder="1" applyAlignment="1">
      <alignment horizontal="center"/>
    </xf>
    <xf numFmtId="9" fontId="0" fillId="0" borderId="0" xfId="0" applyNumberFormat="1"/>
    <xf numFmtId="0" fontId="0" fillId="3" borderId="14" xfId="0" applyFill="1" applyBorder="1"/>
    <xf numFmtId="164" fontId="0" fillId="3" borderId="0" xfId="1" applyNumberFormat="1" applyFont="1" applyFill="1" applyBorder="1"/>
    <xf numFmtId="164" fontId="0" fillId="3" borderId="8" xfId="1" applyNumberFormat="1" applyFont="1" applyFill="1" applyBorder="1"/>
    <xf numFmtId="0" fontId="0" fillId="3" borderId="9" xfId="0" applyFill="1" applyBorder="1"/>
    <xf numFmtId="164" fontId="0" fillId="3" borderId="9" xfId="1" applyNumberFormat="1" applyFont="1" applyFill="1" applyBorder="1"/>
    <xf numFmtId="0" fontId="0" fillId="8" borderId="0" xfId="0" applyFill="1" applyBorder="1"/>
    <xf numFmtId="0" fontId="0" fillId="8" borderId="8" xfId="0" applyFill="1" applyBorder="1"/>
    <xf numFmtId="165" fontId="0" fillId="0" borderId="0" xfId="0" applyNumberFormat="1" applyBorder="1"/>
    <xf numFmtId="0" fontId="0" fillId="9" borderId="0" xfId="0" applyFill="1" applyAlignment="1"/>
    <xf numFmtId="0" fontId="0" fillId="8" borderId="0" xfId="0" applyFill="1" applyAlignment="1"/>
    <xf numFmtId="0" fontId="0" fillId="16" borderId="0" xfId="0" applyFill="1" applyAlignment="1"/>
    <xf numFmtId="0" fontId="0" fillId="2" borderId="0" xfId="0" applyFill="1" applyAlignment="1"/>
    <xf numFmtId="0" fontId="0" fillId="12" borderId="0" xfId="0" applyFill="1" applyAlignment="1"/>
    <xf numFmtId="164" fontId="0" fillId="0" borderId="15" xfId="0" applyNumberFormat="1" applyBorder="1"/>
    <xf numFmtId="164" fontId="0" fillId="0" borderId="13" xfId="0" applyNumberFormat="1" applyBorder="1"/>
    <xf numFmtId="166" fontId="0" fillId="0" borderId="0" xfId="0" applyNumberFormat="1"/>
    <xf numFmtId="167" fontId="4" fillId="0" borderId="3" xfId="0" applyNumberFormat="1" applyFont="1" applyBorder="1"/>
    <xf numFmtId="167" fontId="2" fillId="0" borderId="3" xfId="0" applyNumberFormat="1" applyFont="1" applyBorder="1"/>
    <xf numFmtId="3" fontId="0" fillId="0" borderId="0" xfId="0" applyNumberFormat="1"/>
    <xf numFmtId="10" fontId="4" fillId="0" borderId="6" xfId="1" applyNumberFormat="1" applyFont="1" applyBorder="1"/>
    <xf numFmtId="10" fontId="4" fillId="0" borderId="11" xfId="1" applyNumberFormat="1" applyFont="1" applyBorder="1"/>
    <xf numFmtId="10" fontId="2" fillId="0" borderId="6" xfId="1" applyNumberFormat="1" applyFont="1" applyBorder="1"/>
    <xf numFmtId="10" fontId="2" fillId="0" borderId="11" xfId="1" applyNumberFormat="1" applyFont="1" applyBorder="1"/>
    <xf numFmtId="0" fontId="0" fillId="10" borderId="0" xfId="0" applyFill="1" applyAlignment="1"/>
    <xf numFmtId="0" fontId="0" fillId="10" borderId="0" xfId="0" applyFill="1"/>
    <xf numFmtId="10" fontId="2" fillId="0" borderId="7" xfId="1" applyNumberFormat="1" applyFont="1" applyBorder="1"/>
    <xf numFmtId="10" fontId="2" fillId="0" borderId="12" xfId="1" applyNumberFormat="1" applyFont="1" applyBorder="1"/>
    <xf numFmtId="0" fontId="0" fillId="7" borderId="2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8" borderId="8" xfId="0" applyFill="1" applyBorder="1" applyAlignment="1">
      <alignment horizontal="center"/>
    </xf>
    <xf numFmtId="0" fontId="0" fillId="8" borderId="9" xfId="0" applyFill="1" applyBorder="1" applyAlignment="1">
      <alignment horizontal="center"/>
    </xf>
    <xf numFmtId="0" fontId="0" fillId="11" borderId="2" xfId="0" applyFill="1" applyBorder="1" applyAlignment="1">
      <alignment horizontal="center"/>
    </xf>
    <xf numFmtId="0" fontId="0" fillId="11" borderId="3" xfId="0" applyFill="1" applyBorder="1" applyAlignment="1">
      <alignment horizontal="center"/>
    </xf>
    <xf numFmtId="0" fontId="0" fillId="11" borderId="12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12" borderId="10" xfId="0" applyFill="1" applyBorder="1" applyAlignment="1">
      <alignment horizontal="center"/>
    </xf>
    <xf numFmtId="0" fontId="0" fillId="12" borderId="11" xfId="0" applyFill="1" applyBorder="1" applyAlignment="1">
      <alignment horizontal="center"/>
    </xf>
    <xf numFmtId="0" fontId="0" fillId="10" borderId="5" xfId="0" applyFill="1" applyBorder="1" applyAlignment="1">
      <alignment horizontal="center"/>
    </xf>
    <xf numFmtId="0" fontId="0" fillId="10" borderId="6" xfId="0" applyFill="1" applyBorder="1" applyAlignment="1">
      <alignment horizontal="center"/>
    </xf>
    <xf numFmtId="0" fontId="0" fillId="8" borderId="10" xfId="0" applyFill="1" applyBorder="1" applyAlignment="1">
      <alignment horizontal="center"/>
    </xf>
    <xf numFmtId="0" fontId="0" fillId="8" borderId="11" xfId="0" applyFill="1" applyBorder="1" applyAlignment="1">
      <alignment horizontal="center"/>
    </xf>
    <xf numFmtId="0" fontId="0" fillId="10" borderId="8" xfId="0" applyFill="1" applyBorder="1" applyAlignment="1">
      <alignment horizontal="center"/>
    </xf>
    <xf numFmtId="0" fontId="0" fillId="10" borderId="9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10" borderId="7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0" fillId="12" borderId="2" xfId="0" applyFill="1" applyBorder="1" applyAlignment="1">
      <alignment horizontal="center"/>
    </xf>
    <xf numFmtId="0" fontId="0" fillId="12" borderId="4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164" fontId="0" fillId="0" borderId="5" xfId="1" applyNumberFormat="1" applyFont="1" applyBorder="1" applyAlignment="1">
      <alignment horizontal="center"/>
    </xf>
    <xf numFmtId="164" fontId="0" fillId="0" borderId="7" xfId="1" applyNumberFormat="1" applyFont="1" applyBorder="1" applyAlignment="1">
      <alignment horizontal="center"/>
    </xf>
    <xf numFmtId="164" fontId="0" fillId="0" borderId="10" xfId="1" applyNumberFormat="1" applyFont="1" applyBorder="1" applyAlignment="1">
      <alignment horizontal="center"/>
    </xf>
    <xf numFmtId="164" fontId="0" fillId="0" borderId="12" xfId="1" applyNumberFormat="1" applyFont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0" fillId="8" borderId="12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15" borderId="6" xfId="0" applyFill="1" applyBorder="1" applyAlignment="1">
      <alignment horizontal="center"/>
    </xf>
    <xf numFmtId="0" fontId="0" fillId="15" borderId="7" xfId="0" applyFill="1" applyBorder="1" applyAlignment="1">
      <alignment horizontal="center"/>
    </xf>
    <xf numFmtId="0" fontId="0" fillId="15" borderId="11" xfId="0" applyFill="1" applyBorder="1" applyAlignment="1">
      <alignment horizontal="center"/>
    </xf>
    <xf numFmtId="0" fontId="0" fillId="15" borderId="12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9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4" borderId="0" xfId="0" applyFill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86475-E142-46B6-ADBD-612F8B77D2A2}">
  <dimension ref="A1:AL29"/>
  <sheetViews>
    <sheetView tabSelected="1" zoomScale="70" zoomScaleNormal="70" workbookViewId="0">
      <selection activeCell="A4" sqref="A4"/>
    </sheetView>
  </sheetViews>
  <sheetFormatPr defaultRowHeight="12.75" x14ac:dyDescent="0.2"/>
  <cols>
    <col min="1" max="1" width="17.85546875" bestFit="1" customWidth="1"/>
    <col min="2" max="35" width="10.7109375" customWidth="1"/>
    <col min="36" max="36" width="17.85546875" customWidth="1"/>
    <col min="37" max="38" width="10.7109375" customWidth="1"/>
  </cols>
  <sheetData>
    <row r="1" spans="1:37" x14ac:dyDescent="0.2">
      <c r="A1" s="147" t="s">
        <v>172</v>
      </c>
      <c r="B1" s="148"/>
      <c r="C1" s="149"/>
      <c r="K1" s="156" t="s">
        <v>35</v>
      </c>
      <c r="L1" s="157"/>
      <c r="M1" s="62" t="s">
        <v>31</v>
      </c>
      <c r="N1" s="62" t="s">
        <v>32</v>
      </c>
      <c r="O1" s="4" t="s">
        <v>39</v>
      </c>
      <c r="P1" s="158" t="s">
        <v>41</v>
      </c>
      <c r="Q1" s="159"/>
    </row>
    <row r="2" spans="1:37" x14ac:dyDescent="0.2">
      <c r="A2" s="150"/>
      <c r="B2" s="151"/>
      <c r="C2" s="152"/>
      <c r="K2" s="60" t="s">
        <v>37</v>
      </c>
      <c r="L2" s="61"/>
      <c r="M2" s="63">
        <f>$B$7*($AK$25-2*$AK$26)</f>
        <v>32.693995022643115</v>
      </c>
      <c r="N2" s="63">
        <f>$B$7*($AK$25+2*$AK$26)</f>
        <v>37.806361996005457</v>
      </c>
      <c r="O2" s="65">
        <f>AVERAGE(M2:N2)</f>
        <v>35.250178509324286</v>
      </c>
      <c r="P2" s="160">
        <f>$O$2/AF14-1</f>
        <v>6.8187227555281282E-2</v>
      </c>
      <c r="Q2" s="161"/>
    </row>
    <row r="3" spans="1:37" x14ac:dyDescent="0.2">
      <c r="A3" s="153"/>
      <c r="B3" s="154"/>
      <c r="C3" s="155"/>
      <c r="K3" s="46" t="s">
        <v>38</v>
      </c>
      <c r="L3" s="19"/>
      <c r="M3" s="64">
        <f>$C$7*($AK$25-2*$AK$26)</f>
        <v>33.248130531501467</v>
      </c>
      <c r="N3" s="64">
        <f>$C$7*($AK$25+2*$AK$26)</f>
        <v>38.447147792547923</v>
      </c>
      <c r="O3" s="66">
        <f>AVERAGE(M3:N3)</f>
        <v>35.847639162024691</v>
      </c>
      <c r="P3" s="162">
        <f>$O$3/AF15-1</f>
        <v>8.6292095818929937E-2</v>
      </c>
      <c r="Q3" s="163"/>
    </row>
    <row r="4" spans="1:37" x14ac:dyDescent="0.2">
      <c r="A4" s="51"/>
      <c r="B4" s="51"/>
      <c r="C4" s="51"/>
      <c r="N4" s="4" t="s">
        <v>40</v>
      </c>
      <c r="O4" s="66">
        <f>AVERAGE(O2:O3)</f>
        <v>35.548908835674489</v>
      </c>
      <c r="P4" s="162">
        <f>$O$4/AF15-1</f>
        <v>7.723966168710561E-2</v>
      </c>
      <c r="Q4" s="163"/>
    </row>
    <row r="5" spans="1:37" x14ac:dyDescent="0.2">
      <c r="A5" s="59" t="s">
        <v>34</v>
      </c>
      <c r="B5" s="49" t="s">
        <v>31</v>
      </c>
      <c r="C5" s="50" t="s">
        <v>32</v>
      </c>
      <c r="D5" s="87"/>
      <c r="E5" s="87"/>
    </row>
    <row r="6" spans="1:37" ht="15.75" x14ac:dyDescent="0.25">
      <c r="A6" s="53" t="s">
        <v>33</v>
      </c>
      <c r="B6" s="57">
        <v>11697.34</v>
      </c>
      <c r="C6" s="58">
        <v>11895.6</v>
      </c>
    </row>
    <row r="7" spans="1:37" ht="14.25" x14ac:dyDescent="0.2">
      <c r="A7" s="54" t="s">
        <v>36</v>
      </c>
      <c r="B7" s="55">
        <f>B6*$AK$24</f>
        <v>136.30751359754564</v>
      </c>
      <c r="C7" s="56">
        <f>C6*$AK$24</f>
        <v>138.617810438182</v>
      </c>
    </row>
    <row r="8" spans="1:37" x14ac:dyDescent="0.2">
      <c r="F8" s="51"/>
      <c r="G8" s="51"/>
      <c r="H8" s="51"/>
    </row>
    <row r="9" spans="1:37" x14ac:dyDescent="0.2">
      <c r="F9" s="51"/>
      <c r="G9" s="51"/>
      <c r="H9" s="51"/>
    </row>
    <row r="10" spans="1:37" x14ac:dyDescent="0.2">
      <c r="H10" s="146" t="s">
        <v>15</v>
      </c>
      <c r="I10" s="146"/>
      <c r="J10" s="36">
        <f>AVERAGE(F13:AJ13)</f>
        <v>1.0405186936026158</v>
      </c>
      <c r="AG10" s="146" t="s">
        <v>16</v>
      </c>
      <c r="AH10" s="146"/>
      <c r="AI10" s="146"/>
      <c r="AJ10" s="80">
        <f>AVERAGE(AF13:AJ13)</f>
        <v>1.0656286549707601</v>
      </c>
    </row>
    <row r="11" spans="1:37" x14ac:dyDescent="0.2">
      <c r="A11" s="52" t="s">
        <v>6</v>
      </c>
      <c r="B11" s="115">
        <v>2013</v>
      </c>
      <c r="C11" s="116"/>
      <c r="D11" s="116"/>
      <c r="E11" s="117"/>
      <c r="F11" s="133">
        <v>2014</v>
      </c>
      <c r="G11" s="133"/>
      <c r="H11" s="133"/>
      <c r="I11" s="134"/>
      <c r="J11" s="135">
        <v>2015</v>
      </c>
      <c r="K11" s="136"/>
      <c r="L11" s="136"/>
      <c r="M11" s="137"/>
      <c r="N11" s="135">
        <v>2016</v>
      </c>
      <c r="O11" s="136"/>
      <c r="P11" s="136"/>
      <c r="Q11" s="137"/>
      <c r="R11" s="138">
        <v>2017</v>
      </c>
      <c r="S11" s="139"/>
      <c r="T11" s="139"/>
      <c r="U11" s="140"/>
      <c r="V11" s="164">
        <v>2018</v>
      </c>
      <c r="W11" s="165"/>
      <c r="X11" s="165"/>
      <c r="Y11" s="166"/>
      <c r="Z11" s="141">
        <v>2019</v>
      </c>
      <c r="AA11" s="142"/>
      <c r="AB11" s="142"/>
      <c r="AC11" s="143"/>
      <c r="AD11" s="144">
        <v>2020</v>
      </c>
      <c r="AE11" s="133"/>
      <c r="AF11" s="133"/>
      <c r="AG11" s="134"/>
      <c r="AH11" s="135">
        <v>2021</v>
      </c>
      <c r="AI11" s="136"/>
      <c r="AJ11" s="136"/>
      <c r="AK11" s="137"/>
    </row>
    <row r="12" spans="1:37" x14ac:dyDescent="0.2">
      <c r="A12" s="14" t="s">
        <v>19</v>
      </c>
      <c r="B12" s="81" t="s">
        <v>20</v>
      </c>
      <c r="C12" s="82" t="s">
        <v>3</v>
      </c>
      <c r="D12" s="82" t="s">
        <v>4</v>
      </c>
      <c r="E12" s="83" t="s">
        <v>5</v>
      </c>
      <c r="F12" s="20" t="s">
        <v>20</v>
      </c>
      <c r="G12" s="20" t="s">
        <v>3</v>
      </c>
      <c r="H12" s="20" t="s">
        <v>4</v>
      </c>
      <c r="I12" s="20" t="s">
        <v>5</v>
      </c>
      <c r="J12" s="21" t="s">
        <v>20</v>
      </c>
      <c r="K12" s="22" t="s">
        <v>3</v>
      </c>
      <c r="L12" s="22" t="s">
        <v>4</v>
      </c>
      <c r="M12" s="22" t="s">
        <v>5</v>
      </c>
      <c r="N12" s="21" t="s">
        <v>20</v>
      </c>
      <c r="O12" s="22" t="s">
        <v>3</v>
      </c>
      <c r="P12" s="22" t="s">
        <v>4</v>
      </c>
      <c r="Q12" s="22" t="s">
        <v>5</v>
      </c>
      <c r="R12" s="23" t="s">
        <v>20</v>
      </c>
      <c r="S12" s="24" t="s">
        <v>3</v>
      </c>
      <c r="T12" s="24" t="s">
        <v>4</v>
      </c>
      <c r="U12" s="24" t="s">
        <v>5</v>
      </c>
      <c r="V12" s="25" t="s">
        <v>20</v>
      </c>
      <c r="W12" s="26" t="s">
        <v>3</v>
      </c>
      <c r="X12" s="26" t="s">
        <v>4</v>
      </c>
      <c r="Y12" s="26" t="s">
        <v>5</v>
      </c>
      <c r="Z12" s="27" t="s">
        <v>20</v>
      </c>
      <c r="AA12" s="28" t="s">
        <v>3</v>
      </c>
      <c r="AB12" s="28" t="s">
        <v>4</v>
      </c>
      <c r="AC12" s="28" t="s">
        <v>5</v>
      </c>
      <c r="AD12" s="29" t="s">
        <v>20</v>
      </c>
      <c r="AE12" s="20" t="s">
        <v>3</v>
      </c>
      <c r="AF12" s="20" t="s">
        <v>4</v>
      </c>
      <c r="AG12" s="20" t="s">
        <v>5</v>
      </c>
      <c r="AH12" s="38" t="s">
        <v>20</v>
      </c>
      <c r="AI12" s="39" t="s">
        <v>3</v>
      </c>
      <c r="AJ12" s="40" t="s">
        <v>21</v>
      </c>
      <c r="AK12" s="30" t="s">
        <v>22</v>
      </c>
    </row>
    <row r="13" spans="1:37" x14ac:dyDescent="0.2">
      <c r="A13" s="35" t="s">
        <v>2</v>
      </c>
      <c r="B13" s="31"/>
      <c r="C13" s="31"/>
      <c r="D13" s="31"/>
      <c r="E13" s="31"/>
      <c r="F13" s="86">
        <f t="shared" ref="F13:I13" si="0">F15/B15</f>
        <v>1.2</v>
      </c>
      <c r="G13" s="86">
        <f t="shared" si="0"/>
        <v>1.1153846153846154</v>
      </c>
      <c r="H13" s="86">
        <f t="shared" si="0"/>
        <v>1.28</v>
      </c>
      <c r="I13" s="86">
        <f t="shared" si="0"/>
        <v>1.0666666666666667</v>
      </c>
      <c r="J13" s="86">
        <f>J15/F15</f>
        <v>1.0666666666666667</v>
      </c>
      <c r="K13" s="86">
        <f t="shared" ref="K13:AI13" si="1">K15/G15</f>
        <v>1.0689655172413792</v>
      </c>
      <c r="L13" s="86">
        <f t="shared" si="1"/>
        <v>1.0625</v>
      </c>
      <c r="M13" s="86">
        <f t="shared" si="1"/>
        <v>1.0625</v>
      </c>
      <c r="N13" s="86">
        <f t="shared" si="1"/>
        <v>0.96875</v>
      </c>
      <c r="O13" s="86">
        <f t="shared" si="1"/>
        <v>1.032258064516129</v>
      </c>
      <c r="P13" s="86">
        <f t="shared" si="1"/>
        <v>0.97058823529411764</v>
      </c>
      <c r="Q13" s="86">
        <f t="shared" si="1"/>
        <v>0.95</v>
      </c>
      <c r="R13" s="86">
        <f t="shared" si="1"/>
        <v>1.032258064516129</v>
      </c>
      <c r="S13" s="86">
        <f t="shared" si="1"/>
        <v>1.0625</v>
      </c>
      <c r="T13" s="86">
        <f t="shared" si="1"/>
        <v>1.0303030303030303</v>
      </c>
      <c r="U13" s="86">
        <f t="shared" si="1"/>
        <v>1.1145510835913313</v>
      </c>
      <c r="V13" s="86">
        <f t="shared" si="1"/>
        <v>1.09375</v>
      </c>
      <c r="W13" s="86">
        <f t="shared" si="1"/>
        <v>1.1470588235294117</v>
      </c>
      <c r="X13" s="86">
        <f t="shared" si="1"/>
        <v>1.088235294117647</v>
      </c>
      <c r="Y13" s="86">
        <f t="shared" si="1"/>
        <v>1.0833333333333333</v>
      </c>
      <c r="Z13" s="86">
        <f t="shared" si="1"/>
        <v>1.0285714285714285</v>
      </c>
      <c r="AA13" s="86">
        <f t="shared" si="1"/>
        <v>1</v>
      </c>
      <c r="AB13" s="86">
        <f t="shared" si="1"/>
        <v>1.027027027027027</v>
      </c>
      <c r="AC13" s="86">
        <f t="shared" si="1"/>
        <v>0.92307692307692313</v>
      </c>
      <c r="AD13" s="86">
        <f t="shared" si="1"/>
        <v>0.88888888888888884</v>
      </c>
      <c r="AE13" s="86">
        <f t="shared" si="1"/>
        <v>0.5641025641025641</v>
      </c>
      <c r="AF13" s="86">
        <f t="shared" si="1"/>
        <v>0.86842105263157898</v>
      </c>
      <c r="AG13" s="86">
        <f t="shared" si="1"/>
        <v>0.88888888888888884</v>
      </c>
      <c r="AH13" s="86">
        <f t="shared" si="1"/>
        <v>0.9375</v>
      </c>
      <c r="AI13" s="86">
        <f t="shared" si="1"/>
        <v>1.5454545454545454</v>
      </c>
      <c r="AJ13" s="86">
        <f>AJ14/AF14</f>
        <v>1.0878787878787879</v>
      </c>
      <c r="AK13" s="32"/>
    </row>
    <row r="14" spans="1:37" x14ac:dyDescent="0.2">
      <c r="A14" s="15" t="s">
        <v>0</v>
      </c>
      <c r="B14" s="7">
        <v>25</v>
      </c>
      <c r="C14" s="7">
        <v>26</v>
      </c>
      <c r="D14" s="7">
        <v>25.1</v>
      </c>
      <c r="E14" s="7">
        <v>31</v>
      </c>
      <c r="F14" s="7">
        <v>30.1</v>
      </c>
      <c r="G14" s="7">
        <v>29.1</v>
      </c>
      <c r="H14" s="7">
        <v>32.1</v>
      </c>
      <c r="I14" s="7">
        <v>32.1</v>
      </c>
      <c r="J14" s="9">
        <v>32</v>
      </c>
      <c r="K14" s="6">
        <v>31.1</v>
      </c>
      <c r="L14" s="6">
        <v>33.9</v>
      </c>
      <c r="M14" s="6">
        <v>34</v>
      </c>
      <c r="N14" s="9">
        <v>31</v>
      </c>
      <c r="O14" s="6">
        <v>32</v>
      </c>
      <c r="P14" s="6">
        <v>32.9</v>
      </c>
      <c r="Q14" s="6">
        <v>32.1</v>
      </c>
      <c r="R14" s="9">
        <v>32</v>
      </c>
      <c r="S14" s="6">
        <v>34</v>
      </c>
      <c r="T14" s="6">
        <v>34.1</v>
      </c>
      <c r="U14" s="6">
        <v>35.799999999999997</v>
      </c>
      <c r="V14" s="9">
        <v>35</v>
      </c>
      <c r="W14" s="6">
        <v>39</v>
      </c>
      <c r="X14" s="6">
        <v>37</v>
      </c>
      <c r="Y14" s="6">
        <v>38.9</v>
      </c>
      <c r="Z14" s="9">
        <v>36</v>
      </c>
      <c r="AA14" s="6">
        <v>38.9</v>
      </c>
      <c r="AB14" s="6">
        <v>37.9</v>
      </c>
      <c r="AC14" s="6">
        <v>36.200000000000003</v>
      </c>
      <c r="AD14" s="9">
        <v>31.9</v>
      </c>
      <c r="AE14" s="6">
        <v>21.9</v>
      </c>
      <c r="AF14" s="6">
        <v>33</v>
      </c>
      <c r="AG14" s="6">
        <v>32</v>
      </c>
      <c r="AH14" s="6">
        <v>30.3</v>
      </c>
      <c r="AI14" s="6">
        <v>33.799999999999997</v>
      </c>
      <c r="AJ14" s="6">
        <v>35.9</v>
      </c>
      <c r="AK14" s="6">
        <v>37.6</v>
      </c>
    </row>
    <row r="15" spans="1:37" x14ac:dyDescent="0.2">
      <c r="A15" s="15" t="s">
        <v>1</v>
      </c>
      <c r="B15" s="6">
        <v>25</v>
      </c>
      <c r="C15" s="6">
        <v>26</v>
      </c>
      <c r="D15" s="6">
        <v>25</v>
      </c>
      <c r="E15" s="6">
        <v>30</v>
      </c>
      <c r="F15" s="6">
        <v>30</v>
      </c>
      <c r="G15" s="6">
        <v>29</v>
      </c>
      <c r="H15" s="6">
        <v>32</v>
      </c>
      <c r="I15" s="6">
        <v>32</v>
      </c>
      <c r="J15" s="9">
        <v>32</v>
      </c>
      <c r="K15" s="6">
        <v>31</v>
      </c>
      <c r="L15" s="6">
        <v>34</v>
      </c>
      <c r="M15" s="6">
        <v>34</v>
      </c>
      <c r="N15" s="9">
        <v>31</v>
      </c>
      <c r="O15" s="6">
        <v>32</v>
      </c>
      <c r="P15" s="6">
        <v>33</v>
      </c>
      <c r="Q15" s="6">
        <v>32.299999999999997</v>
      </c>
      <c r="R15" s="9">
        <v>32</v>
      </c>
      <c r="S15" s="6">
        <v>34</v>
      </c>
      <c r="T15" s="6">
        <v>34</v>
      </c>
      <c r="U15" s="6">
        <v>36</v>
      </c>
      <c r="V15" s="9">
        <v>35</v>
      </c>
      <c r="W15" s="6">
        <v>39</v>
      </c>
      <c r="X15" s="6">
        <v>37</v>
      </c>
      <c r="Y15" s="6">
        <v>39</v>
      </c>
      <c r="Z15" s="9">
        <v>36</v>
      </c>
      <c r="AA15" s="6">
        <v>39</v>
      </c>
      <c r="AB15" s="6">
        <v>38</v>
      </c>
      <c r="AC15" s="6">
        <v>36</v>
      </c>
      <c r="AD15" s="9">
        <v>32</v>
      </c>
      <c r="AE15" s="6">
        <v>22</v>
      </c>
      <c r="AF15" s="6">
        <v>33</v>
      </c>
      <c r="AG15" s="6">
        <v>32</v>
      </c>
      <c r="AH15" s="9">
        <v>30</v>
      </c>
      <c r="AI15" s="6">
        <v>34</v>
      </c>
      <c r="AJ15" s="9"/>
      <c r="AK15" s="10"/>
    </row>
    <row r="16" spans="1:37" x14ac:dyDescent="0.2">
      <c r="A16" s="15" t="s">
        <v>157</v>
      </c>
      <c r="B16" s="9">
        <v>1761</v>
      </c>
      <c r="C16" s="6">
        <v>1809</v>
      </c>
      <c r="D16" s="6">
        <v>1735</v>
      </c>
      <c r="E16" s="10">
        <v>1836</v>
      </c>
      <c r="F16" s="9">
        <v>1774</v>
      </c>
      <c r="G16" s="6">
        <v>1873</v>
      </c>
      <c r="H16" s="6">
        <v>1845</v>
      </c>
      <c r="I16" s="10">
        <v>1886</v>
      </c>
      <c r="J16" s="9">
        <v>1768</v>
      </c>
      <c r="K16" s="6">
        <v>1843</v>
      </c>
      <c r="L16" s="6">
        <v>1888</v>
      </c>
      <c r="M16" s="10">
        <v>1978</v>
      </c>
      <c r="N16" s="9">
        <v>1964</v>
      </c>
      <c r="O16" s="6">
        <v>2126</v>
      </c>
      <c r="P16" s="6">
        <v>2105</v>
      </c>
      <c r="Q16" s="10">
        <v>2191</v>
      </c>
      <c r="R16" s="9">
        <v>2160</v>
      </c>
      <c r="S16" s="6">
        <v>2257</v>
      </c>
      <c r="T16" s="6">
        <v>2222</v>
      </c>
      <c r="U16" s="10">
        <v>2408</v>
      </c>
      <c r="V16" s="9">
        <v>2379</v>
      </c>
      <c r="W16" s="6">
        <v>2490</v>
      </c>
      <c r="X16" s="6">
        <v>2393</v>
      </c>
      <c r="Y16" s="10">
        <v>2561</v>
      </c>
      <c r="Z16" s="9">
        <v>2493</v>
      </c>
      <c r="AA16" s="6">
        <v>2631</v>
      </c>
      <c r="AB16" s="6">
        <v>2707</v>
      </c>
      <c r="AC16" s="10">
        <v>2905</v>
      </c>
      <c r="AD16" s="9">
        <v>2543</v>
      </c>
      <c r="AE16" s="6">
        <v>2003</v>
      </c>
      <c r="AF16" s="6">
        <v>2659</v>
      </c>
      <c r="AG16" s="10">
        <v>2708</v>
      </c>
      <c r="AH16" s="9">
        <v>2752</v>
      </c>
      <c r="AI16">
        <v>3077</v>
      </c>
      <c r="AJ16" s="106">
        <v>2970.4</v>
      </c>
      <c r="AK16" s="10"/>
    </row>
    <row r="17" spans="1:38" x14ac:dyDescent="0.2">
      <c r="A17" s="88" t="s">
        <v>18</v>
      </c>
      <c r="B17" s="89">
        <f>B15/B16</f>
        <v>1.4196479273140262E-2</v>
      </c>
      <c r="C17" s="89">
        <f>C15/C16</f>
        <v>1.4372581536760642E-2</v>
      </c>
      <c r="D17" s="89">
        <f>D15/D16</f>
        <v>1.4409221902017291E-2</v>
      </c>
      <c r="E17" s="89">
        <f>E15/E16</f>
        <v>1.6339869281045753E-2</v>
      </c>
      <c r="F17" s="89">
        <f>F15/F16</f>
        <v>1.6910935738444193E-2</v>
      </c>
      <c r="G17" s="89">
        <f t="shared" ref="G17:L17" si="2">G15/G16</f>
        <v>1.5483182060864922E-2</v>
      </c>
      <c r="H17" s="89">
        <f t="shared" si="2"/>
        <v>1.7344173441734417E-2</v>
      </c>
      <c r="I17" s="89">
        <f t="shared" si="2"/>
        <v>1.6967126193001062E-2</v>
      </c>
      <c r="J17" s="89">
        <f t="shared" si="2"/>
        <v>1.8099547511312219E-2</v>
      </c>
      <c r="K17" s="89">
        <f t="shared" si="2"/>
        <v>1.6820401519262073E-2</v>
      </c>
      <c r="L17" s="89">
        <f t="shared" si="2"/>
        <v>1.8008474576271187E-2</v>
      </c>
      <c r="M17" s="89">
        <f t="shared" ref="M17:AA17" si="3">M15/M16</f>
        <v>1.7189079878665317E-2</v>
      </c>
      <c r="N17" s="89">
        <f t="shared" si="3"/>
        <v>1.5784114052953158E-2</v>
      </c>
      <c r="O17" s="89">
        <f>O15/O16</f>
        <v>1.5051740357478834E-2</v>
      </c>
      <c r="P17" s="89">
        <f>P15/P16</f>
        <v>1.5676959619952493E-2</v>
      </c>
      <c r="Q17" s="89">
        <f>Q15/Q16</f>
        <v>1.4742126882701961E-2</v>
      </c>
      <c r="R17" s="89">
        <f>R15/R16</f>
        <v>1.4814814814814815E-2</v>
      </c>
      <c r="S17" s="89">
        <f t="shared" si="3"/>
        <v>1.5064244572441293E-2</v>
      </c>
      <c r="T17" s="89">
        <f t="shared" si="3"/>
        <v>1.5301530153015301E-2</v>
      </c>
      <c r="U17" s="89">
        <f t="shared" si="3"/>
        <v>1.4950166112956811E-2</v>
      </c>
      <c r="V17" s="89">
        <f t="shared" si="3"/>
        <v>1.4712063892391762E-2</v>
      </c>
      <c r="W17" s="89">
        <f t="shared" si="3"/>
        <v>1.566265060240964E-2</v>
      </c>
      <c r="X17" s="89">
        <f t="shared" si="3"/>
        <v>1.5461763476807356E-2</v>
      </c>
      <c r="Y17" s="89">
        <f t="shared" si="3"/>
        <v>1.5228426395939087E-2</v>
      </c>
      <c r="Z17" s="89">
        <f t="shared" si="3"/>
        <v>1.444043321299639E-2</v>
      </c>
      <c r="AA17" s="89">
        <f t="shared" si="3"/>
        <v>1.4823261117445839E-2</v>
      </c>
      <c r="AB17" s="89">
        <f t="shared" ref="AB17:AE17" si="4">AB15/AB16</f>
        <v>1.4037680088659032E-2</v>
      </c>
      <c r="AC17" s="89">
        <f t="shared" si="4"/>
        <v>1.2392426850258176E-2</v>
      </c>
      <c r="AD17" s="89">
        <f t="shared" si="4"/>
        <v>1.2583562721195438E-2</v>
      </c>
      <c r="AE17" s="89">
        <f t="shared" si="4"/>
        <v>1.0983524712930605E-2</v>
      </c>
      <c r="AF17" s="89">
        <f>AF15/AF16</f>
        <v>1.2410680707032719E-2</v>
      </c>
      <c r="AG17" s="89">
        <f>AG15/AG16</f>
        <v>1.1816838995568686E-2</v>
      </c>
      <c r="AH17" s="89">
        <f>AH15/AH16</f>
        <v>1.0901162790697675E-2</v>
      </c>
      <c r="AI17" s="89">
        <f>AI15/AI16</f>
        <v>1.1049723756906077E-2</v>
      </c>
      <c r="AJ17" s="90">
        <f>AJ14/AJ16</f>
        <v>1.2085914354969026E-2</v>
      </c>
      <c r="AK17" s="91"/>
    </row>
    <row r="18" spans="1:38" x14ac:dyDescent="0.2">
      <c r="A18" s="88" t="s">
        <v>24</v>
      </c>
      <c r="B18" s="89">
        <f>B15/SUM(B15:E15)</f>
        <v>0.23584905660377359</v>
      </c>
      <c r="C18" s="89">
        <f>C15/SUM(B15:E15)</f>
        <v>0.24528301886792453</v>
      </c>
      <c r="D18" s="89">
        <f>D15/SUM(B15:E15)</f>
        <v>0.23584905660377359</v>
      </c>
      <c r="E18" s="92">
        <f>E15/SUM(B15:E15)</f>
        <v>0.28301886792452829</v>
      </c>
      <c r="F18" s="89">
        <f>F15/SUM(F15:I15)</f>
        <v>0.24390243902439024</v>
      </c>
      <c r="G18" s="89">
        <f>G15/SUM(F15:I15)</f>
        <v>0.23577235772357724</v>
      </c>
      <c r="H18" s="89">
        <f>H15/SUM(F15:I15)</f>
        <v>0.26016260162601629</v>
      </c>
      <c r="I18" s="92">
        <f>I15/SUM(F15:I15)</f>
        <v>0.26016260162601629</v>
      </c>
      <c r="J18" s="89">
        <f>J15/SUM(J15:M15)</f>
        <v>0.24427480916030533</v>
      </c>
      <c r="K18" s="89">
        <f>K15/SUM(J15:M15)</f>
        <v>0.23664122137404581</v>
      </c>
      <c r="L18" s="89">
        <f>L15/SUM(J15:M15)</f>
        <v>0.25954198473282442</v>
      </c>
      <c r="M18" s="92">
        <f>M15/SUM(J15:M15)</f>
        <v>0.25954198473282442</v>
      </c>
      <c r="N18" s="89">
        <f>N15/SUM(N15:Q15)</f>
        <v>0.24162120031176926</v>
      </c>
      <c r="O18" s="89">
        <f>O15/SUM(N15:Q15)</f>
        <v>0.24941543257989085</v>
      </c>
      <c r="P18" s="89">
        <f>P15/SUM(N15:Q15)</f>
        <v>0.25720966484801244</v>
      </c>
      <c r="Q18" s="92">
        <f>Q15/SUM(N15:Q15)</f>
        <v>0.25175370226032734</v>
      </c>
      <c r="R18" s="89">
        <f>R15/SUM(R15:U15)</f>
        <v>0.23529411764705882</v>
      </c>
      <c r="S18" s="89">
        <f>S15/SUM(R15:U15)</f>
        <v>0.25</v>
      </c>
      <c r="T18" s="89">
        <f>T15/SUM(R15:U15)</f>
        <v>0.25</v>
      </c>
      <c r="U18" s="92">
        <f>U15/SUM(R15:U15)</f>
        <v>0.26470588235294118</v>
      </c>
      <c r="V18" s="89">
        <f>V15/SUM(V15:Y15)</f>
        <v>0.23333333333333334</v>
      </c>
      <c r="W18" s="89">
        <f>W15/SUM(V15:Y15)</f>
        <v>0.26</v>
      </c>
      <c r="X18" s="89">
        <f>X15/SUM(V15:Y15)</f>
        <v>0.24666666666666667</v>
      </c>
      <c r="Y18" s="92">
        <f>Y15/SUM(V15:Y15)</f>
        <v>0.26</v>
      </c>
      <c r="Z18" s="89">
        <f>Z15/SUM(Z15:AC15)</f>
        <v>0.24161073825503357</v>
      </c>
      <c r="AA18" s="89">
        <f>AA15/SUM(Z15:AC15)</f>
        <v>0.26174496644295303</v>
      </c>
      <c r="AB18" s="89">
        <f>AB15/SUM(Z15:AC15)</f>
        <v>0.25503355704697989</v>
      </c>
      <c r="AC18" s="92">
        <f>AC15/SUM(Z15:AC15)</f>
        <v>0.24161073825503357</v>
      </c>
      <c r="AD18" s="89"/>
      <c r="AE18" s="89"/>
      <c r="AF18" s="89"/>
      <c r="AG18" s="92"/>
      <c r="AH18" s="89">
        <f>AH15/SUM(AH15:AI15,AJ14:AK14)</f>
        <v>0.21818181818181817</v>
      </c>
      <c r="AI18" s="89">
        <f>AI15/SUM(AH15:AI15,AJ14:AK14)</f>
        <v>0.24727272727272728</v>
      </c>
      <c r="AJ18" s="89">
        <f>AJ14/SUM(AH15:AI15,AJ14:AK14)</f>
        <v>0.2610909090909091</v>
      </c>
      <c r="AK18" s="92">
        <f>AK14/SUM(AH15:AI15,AJ14:AK14)</f>
        <v>0.27345454545454545</v>
      </c>
      <c r="AL18" s="3"/>
    </row>
    <row r="19" spans="1:38" x14ac:dyDescent="0.2">
      <c r="A19" s="16" t="s">
        <v>17</v>
      </c>
      <c r="B19" s="12"/>
      <c r="C19" s="12"/>
      <c r="D19" s="12"/>
      <c r="E19" s="12"/>
      <c r="F19" s="12"/>
      <c r="G19" s="12"/>
      <c r="H19" s="12"/>
      <c r="I19" s="12"/>
      <c r="J19" s="11"/>
      <c r="K19" s="12">
        <v>27.9</v>
      </c>
      <c r="L19" s="12">
        <v>28.8</v>
      </c>
      <c r="M19" s="6">
        <v>34.200000000000003</v>
      </c>
      <c r="N19" s="9">
        <v>34.200000000000003</v>
      </c>
      <c r="O19" s="12">
        <v>31.4</v>
      </c>
      <c r="P19" s="12">
        <v>35.5</v>
      </c>
      <c r="Q19" s="6">
        <v>34.299999999999997</v>
      </c>
      <c r="R19" s="84">
        <v>31.7</v>
      </c>
      <c r="S19" s="84">
        <v>32</v>
      </c>
      <c r="T19" s="84">
        <v>35</v>
      </c>
      <c r="U19" s="84">
        <v>34.6</v>
      </c>
      <c r="V19" s="84">
        <v>34.4</v>
      </c>
      <c r="W19" s="64">
        <v>36.9</v>
      </c>
      <c r="X19" s="64">
        <v>38.5</v>
      </c>
      <c r="Y19" s="64">
        <v>38.4</v>
      </c>
      <c r="Z19" s="84">
        <v>38.5</v>
      </c>
      <c r="AA19" s="64">
        <v>41.5</v>
      </c>
      <c r="AB19" s="64">
        <v>39.700000000000003</v>
      </c>
      <c r="AC19" s="64">
        <v>40.1</v>
      </c>
      <c r="AD19" s="84">
        <v>34.5</v>
      </c>
      <c r="AE19" s="64">
        <v>18.399999999999999</v>
      </c>
      <c r="AF19" s="64">
        <v>32.5</v>
      </c>
      <c r="AG19" s="64">
        <v>35.700000000000003</v>
      </c>
      <c r="AH19" s="84">
        <v>31.5</v>
      </c>
      <c r="AI19" s="64">
        <v>36.799999999999997</v>
      </c>
      <c r="AJ19" s="85"/>
      <c r="AK19" s="13"/>
    </row>
    <row r="20" spans="1:38" x14ac:dyDescent="0.2">
      <c r="I20" s="127" t="s">
        <v>7</v>
      </c>
      <c r="J20" s="145"/>
      <c r="K20" s="7">
        <f t="shared" ref="K20:P20" si="5">IF(K15&gt;K19,1,0)</f>
        <v>1</v>
      </c>
      <c r="L20" s="7">
        <f t="shared" si="5"/>
        <v>1</v>
      </c>
      <c r="M20" s="7">
        <f t="shared" si="5"/>
        <v>0</v>
      </c>
      <c r="N20" s="7">
        <f t="shared" si="5"/>
        <v>0</v>
      </c>
      <c r="O20" s="7">
        <f t="shared" si="5"/>
        <v>1</v>
      </c>
      <c r="P20" s="7">
        <f t="shared" si="5"/>
        <v>0</v>
      </c>
      <c r="Q20" s="7">
        <f t="shared" ref="Q20:AI20" si="6">IF(Q15&gt;Q19,1,0)</f>
        <v>0</v>
      </c>
      <c r="R20" s="7">
        <f t="shared" si="6"/>
        <v>1</v>
      </c>
      <c r="S20" s="7">
        <f t="shared" si="6"/>
        <v>1</v>
      </c>
      <c r="T20" s="7">
        <f t="shared" si="6"/>
        <v>0</v>
      </c>
      <c r="U20" s="7">
        <f t="shared" si="6"/>
        <v>1</v>
      </c>
      <c r="V20" s="7">
        <f t="shared" si="6"/>
        <v>1</v>
      </c>
      <c r="W20" s="7">
        <f t="shared" si="6"/>
        <v>1</v>
      </c>
      <c r="X20" s="7">
        <f t="shared" si="6"/>
        <v>0</v>
      </c>
      <c r="Y20" s="7">
        <f t="shared" si="6"/>
        <v>1</v>
      </c>
      <c r="Z20" s="7">
        <f t="shared" si="6"/>
        <v>0</v>
      </c>
      <c r="AA20" s="7">
        <f t="shared" si="6"/>
        <v>0</v>
      </c>
      <c r="AB20" s="7">
        <f t="shared" si="6"/>
        <v>0</v>
      </c>
      <c r="AC20" s="7">
        <f t="shared" si="6"/>
        <v>0</v>
      </c>
      <c r="AD20" s="7">
        <f t="shared" si="6"/>
        <v>0</v>
      </c>
      <c r="AE20" s="7">
        <f t="shared" si="6"/>
        <v>1</v>
      </c>
      <c r="AF20" s="7">
        <f t="shared" si="6"/>
        <v>1</v>
      </c>
      <c r="AG20" s="7">
        <f t="shared" si="6"/>
        <v>0</v>
      </c>
      <c r="AH20" s="7">
        <f t="shared" si="6"/>
        <v>0</v>
      </c>
      <c r="AI20" s="8">
        <f t="shared" si="6"/>
        <v>0</v>
      </c>
      <c r="AJ20" s="46" t="s">
        <v>8</v>
      </c>
      <c r="AK20" s="43">
        <f>AVERAGE(K20:AI20)</f>
        <v>0.44</v>
      </c>
    </row>
    <row r="21" spans="1:38" x14ac:dyDescent="0.2">
      <c r="I21" s="118" t="s">
        <v>9</v>
      </c>
      <c r="J21" s="119"/>
      <c r="M21" s="6"/>
      <c r="N21" s="6">
        <f t="shared" ref="N21:O21" si="7">AVERAGE(K20:N20)</f>
        <v>0.5</v>
      </c>
      <c r="O21" s="6">
        <f t="shared" si="7"/>
        <v>0.5</v>
      </c>
      <c r="P21" s="6">
        <f t="shared" ref="P21" si="8">AVERAGE(M20:P20)</f>
        <v>0.25</v>
      </c>
      <c r="Q21" s="6">
        <f t="shared" ref="Q21" si="9">AVERAGE(N20:Q20)</f>
        <v>0.25</v>
      </c>
      <c r="R21" s="6">
        <f t="shared" ref="R21" si="10">AVERAGE(O20:R20)</f>
        <v>0.5</v>
      </c>
      <c r="S21" s="6">
        <f t="shared" ref="S21" si="11">AVERAGE(P20:S20)</f>
        <v>0.5</v>
      </c>
      <c r="T21" s="6">
        <f t="shared" ref="T21" si="12">AVERAGE(Q20:T20)</f>
        <v>0.5</v>
      </c>
      <c r="U21" s="6">
        <f t="shared" ref="U21" si="13">AVERAGE(R20:U20)</f>
        <v>0.75</v>
      </c>
      <c r="V21" s="6">
        <f t="shared" ref="V21:AI21" si="14">AVERAGE(S20:V20)</f>
        <v>0.75</v>
      </c>
      <c r="W21" s="6">
        <f t="shared" si="14"/>
        <v>0.75</v>
      </c>
      <c r="X21" s="6">
        <f t="shared" si="14"/>
        <v>0.75</v>
      </c>
      <c r="Y21" s="6">
        <f t="shared" si="14"/>
        <v>0.75</v>
      </c>
      <c r="Z21" s="6">
        <f t="shared" si="14"/>
        <v>0.5</v>
      </c>
      <c r="AA21" s="6">
        <f t="shared" si="14"/>
        <v>0.25</v>
      </c>
      <c r="AB21" s="6">
        <f t="shared" si="14"/>
        <v>0.25</v>
      </c>
      <c r="AC21" s="6">
        <f t="shared" si="14"/>
        <v>0</v>
      </c>
      <c r="AD21" s="6">
        <f t="shared" si="14"/>
        <v>0</v>
      </c>
      <c r="AE21" s="6">
        <f t="shared" si="14"/>
        <v>0.25</v>
      </c>
      <c r="AF21" s="6">
        <f t="shared" si="14"/>
        <v>0.5</v>
      </c>
      <c r="AG21" s="6">
        <f t="shared" si="14"/>
        <v>0.5</v>
      </c>
      <c r="AH21" s="6">
        <f>AVERAGE(AE20:AH20)</f>
        <v>0.5</v>
      </c>
      <c r="AI21" s="10">
        <f t="shared" si="14"/>
        <v>0.25</v>
      </c>
      <c r="AJ21" s="42" t="s">
        <v>10</v>
      </c>
      <c r="AK21" s="43">
        <f>AVERAGE(N21:AI21)</f>
        <v>0.44318181818181818</v>
      </c>
    </row>
    <row r="22" spans="1:38" x14ac:dyDescent="0.2">
      <c r="I22" s="131" t="s">
        <v>11</v>
      </c>
      <c r="J22" s="132"/>
      <c r="K22" s="18">
        <f t="shared" ref="K22:P22" si="15">K15/K19-1</f>
        <v>0.11111111111111116</v>
      </c>
      <c r="L22" s="18">
        <f t="shared" si="15"/>
        <v>0.18055555555555558</v>
      </c>
      <c r="M22" s="18">
        <f t="shared" si="15"/>
        <v>-5.8479532163743242E-3</v>
      </c>
      <c r="N22" s="18">
        <f t="shared" si="15"/>
        <v>-9.356725146198841E-2</v>
      </c>
      <c r="O22" s="18">
        <f t="shared" si="15"/>
        <v>1.9108280254777066E-2</v>
      </c>
      <c r="P22" s="18">
        <f t="shared" si="15"/>
        <v>-7.0422535211267623E-2</v>
      </c>
      <c r="Q22" s="18">
        <f t="shared" ref="Q22:AI22" si="16">Q15/Q19-1</f>
        <v>-5.8309037900874605E-2</v>
      </c>
      <c r="R22" s="18">
        <f t="shared" si="16"/>
        <v>9.4637223974762819E-3</v>
      </c>
      <c r="S22" s="18">
        <f t="shared" si="16"/>
        <v>6.25E-2</v>
      </c>
      <c r="T22" s="18">
        <f t="shared" si="16"/>
        <v>-2.8571428571428581E-2</v>
      </c>
      <c r="U22" s="18">
        <f t="shared" si="16"/>
        <v>4.0462427745664664E-2</v>
      </c>
      <c r="V22" s="18">
        <f t="shared" si="16"/>
        <v>1.744186046511631E-2</v>
      </c>
      <c r="W22" s="18">
        <f t="shared" si="16"/>
        <v>5.6910569105691033E-2</v>
      </c>
      <c r="X22" s="18">
        <f t="shared" si="16"/>
        <v>-3.8961038961038974E-2</v>
      </c>
      <c r="Y22" s="18">
        <f t="shared" si="16"/>
        <v>1.5625E-2</v>
      </c>
      <c r="Z22" s="18">
        <f t="shared" si="16"/>
        <v>-6.4935064935064957E-2</v>
      </c>
      <c r="AA22" s="18">
        <f t="shared" si="16"/>
        <v>-6.0240963855421659E-2</v>
      </c>
      <c r="AB22" s="18">
        <f t="shared" si="16"/>
        <v>-4.2821158690176442E-2</v>
      </c>
      <c r="AC22" s="18">
        <f t="shared" si="16"/>
        <v>-0.10224438902743149</v>
      </c>
      <c r="AD22" s="18">
        <f t="shared" si="16"/>
        <v>-7.2463768115942018E-2</v>
      </c>
      <c r="AE22" s="18">
        <f t="shared" si="16"/>
        <v>0.19565217391304368</v>
      </c>
      <c r="AF22" s="18">
        <f t="shared" si="16"/>
        <v>1.538461538461533E-2</v>
      </c>
      <c r="AG22" s="18">
        <f t="shared" si="16"/>
        <v>-0.10364145658263313</v>
      </c>
      <c r="AH22" s="18">
        <f t="shared" si="16"/>
        <v>-4.7619047619047672E-2</v>
      </c>
      <c r="AI22" s="41">
        <f t="shared" si="16"/>
        <v>-7.6086956521739024E-2</v>
      </c>
      <c r="AJ22" s="42" t="s">
        <v>13</v>
      </c>
      <c r="AK22" s="44">
        <f>MEDIAN(K22:AI22)</f>
        <v>-2.8571428571428581E-2</v>
      </c>
    </row>
    <row r="23" spans="1:38" x14ac:dyDescent="0.2">
      <c r="I23" s="118" t="s">
        <v>12</v>
      </c>
      <c r="J23" s="119"/>
      <c r="M23" s="6"/>
      <c r="N23" s="33">
        <f t="shared" ref="N23:O23" si="17">AVERAGE(K22:N22)</f>
        <v>4.8062865497076002E-2</v>
      </c>
      <c r="O23" s="33">
        <f t="shared" si="17"/>
        <v>2.5062157782992478E-2</v>
      </c>
      <c r="P23" s="33">
        <f t="shared" ref="P23" si="18">AVERAGE(M22:P22)</f>
        <v>-3.7682364908713323E-2</v>
      </c>
      <c r="Q23" s="33">
        <f t="shared" ref="Q23" si="19">AVERAGE(N22:Q22)</f>
        <v>-5.0797636079838393E-2</v>
      </c>
      <c r="R23" s="33">
        <f t="shared" ref="R23" si="20">AVERAGE(O22:R22)</f>
        <v>-2.503989261497222E-2</v>
      </c>
      <c r="S23" s="33">
        <f t="shared" ref="S23" si="21">AVERAGE(P22:S22)</f>
        <v>-1.4191962678666487E-2</v>
      </c>
      <c r="T23" s="33">
        <f t="shared" ref="T23" si="22">AVERAGE(Q22:T22)</f>
        <v>-3.7291860187067261E-3</v>
      </c>
      <c r="U23" s="33">
        <f t="shared" ref="U23" si="23">AVERAGE(R22:U22)</f>
        <v>2.0963680392928091E-2</v>
      </c>
      <c r="V23" s="33">
        <f t="shared" ref="V23:AI23" si="24">AVERAGE(S22:V22)</f>
        <v>2.2958214909838098E-2</v>
      </c>
      <c r="W23" s="33">
        <f t="shared" si="24"/>
        <v>2.1560857186260857E-2</v>
      </c>
      <c r="X23" s="33">
        <f t="shared" si="24"/>
        <v>1.8963454588858258E-2</v>
      </c>
      <c r="Y23" s="33">
        <f t="shared" si="24"/>
        <v>1.2754097652442092E-2</v>
      </c>
      <c r="Z23" s="33">
        <f t="shared" si="24"/>
        <v>-7.8401336976032243E-3</v>
      </c>
      <c r="AA23" s="33">
        <f t="shared" si="24"/>
        <v>-3.7128016937881397E-2</v>
      </c>
      <c r="AB23" s="33">
        <f t="shared" si="24"/>
        <v>-3.8093046870165764E-2</v>
      </c>
      <c r="AC23" s="33">
        <f t="shared" si="24"/>
        <v>-6.7560394127023637E-2</v>
      </c>
      <c r="AD23" s="33">
        <f t="shared" si="24"/>
        <v>-6.9442569922242903E-2</v>
      </c>
      <c r="AE23" s="33">
        <f t="shared" si="24"/>
        <v>-5.4692854801265678E-3</v>
      </c>
      <c r="AF23" s="33">
        <f t="shared" si="24"/>
        <v>9.0821580385713752E-3</v>
      </c>
      <c r="AG23" s="33">
        <f t="shared" si="24"/>
        <v>8.732891149770966E-3</v>
      </c>
      <c r="AH23" s="33">
        <f t="shared" si="24"/>
        <v>1.4944071273994552E-2</v>
      </c>
      <c r="AI23" s="34">
        <f t="shared" si="24"/>
        <v>-5.2990711334701124E-2</v>
      </c>
      <c r="AJ23" s="19" t="s">
        <v>14</v>
      </c>
      <c r="AK23" s="34">
        <f>MEDIAN(K23:AI23)</f>
        <v>-4.5992357494166469E-3</v>
      </c>
    </row>
    <row r="24" spans="1:38" x14ac:dyDescent="0.2">
      <c r="I24" s="127" t="s">
        <v>25</v>
      </c>
      <c r="J24" s="145"/>
      <c r="K24" s="102">
        <f>AVERAGE(K22:L22,O22,R22:S22,U22:W22,Y22,AE22:AF22)</f>
        <v>6.5837755993913741E-2</v>
      </c>
      <c r="L24" s="127" t="s">
        <v>29</v>
      </c>
      <c r="M24" s="128"/>
      <c r="N24" s="47">
        <f>MEDIAN(K22:L22,O22,R22:S22,U22:W22,Y22,AE22:AF22)</f>
        <v>4.0462427745664664E-2</v>
      </c>
      <c r="AF24" s="3"/>
      <c r="AG24" s="120" t="s">
        <v>23</v>
      </c>
      <c r="AH24" s="121"/>
      <c r="AI24" s="121"/>
      <c r="AJ24" s="122"/>
      <c r="AK24" s="45">
        <f>AVERAGE(AF17:AJ17)</f>
        <v>1.1652864121034837E-2</v>
      </c>
    </row>
    <row r="25" spans="1:38" x14ac:dyDescent="0.2">
      <c r="I25" s="129" t="s">
        <v>26</v>
      </c>
      <c r="J25" s="167"/>
      <c r="K25" s="101">
        <f>AVERAGE(M22:N22,P22:Q22,,T22,X22,Z22:AD22,AG22:AI22)</f>
        <v>-5.7715470044695259E-2</v>
      </c>
      <c r="L25" s="129" t="s">
        <v>30</v>
      </c>
      <c r="M25" s="130"/>
      <c r="N25" s="34">
        <f>MEDIAN(M22:N22,P22:Q22,,T22,X22,Z22:AD22,AG22:AI22)</f>
        <v>-6.0240963855421659E-2</v>
      </c>
      <c r="AG25" s="123" t="s">
        <v>27</v>
      </c>
      <c r="AH25" s="124"/>
      <c r="AI25" s="124"/>
      <c r="AJ25" s="124"/>
      <c r="AK25" s="47">
        <f>AVERAGE(AJ18,AB18,P18,H18,L18)</f>
        <v>0.25860774346894844</v>
      </c>
    </row>
    <row r="26" spans="1:38" x14ac:dyDescent="0.2">
      <c r="AG26" s="125" t="s">
        <v>28</v>
      </c>
      <c r="AH26" s="126"/>
      <c r="AI26" s="126"/>
      <c r="AJ26" s="126"/>
      <c r="AK26" s="48">
        <f>_xlfn.STDEV.S(AJ18,AB18,T18,L18,D18,X18)</f>
        <v>9.3765318551273114E-3</v>
      </c>
    </row>
    <row r="29" spans="1:38" ht="18" customHeight="1" x14ac:dyDescent="0.2"/>
  </sheetData>
  <mergeCells count="28">
    <mergeCell ref="I21:J21"/>
    <mergeCell ref="V11:Y11"/>
    <mergeCell ref="I24:J24"/>
    <mergeCell ref="I25:J25"/>
    <mergeCell ref="H10:I10"/>
    <mergeCell ref="AG10:AI10"/>
    <mergeCell ref="A1:C3"/>
    <mergeCell ref="K1:L1"/>
    <mergeCell ref="P1:Q1"/>
    <mergeCell ref="P2:Q2"/>
    <mergeCell ref="P3:Q3"/>
    <mergeCell ref="P4:Q4"/>
    <mergeCell ref="B11:E11"/>
    <mergeCell ref="I23:J23"/>
    <mergeCell ref="AG24:AJ24"/>
    <mergeCell ref="AG25:AJ25"/>
    <mergeCell ref="AG26:AJ26"/>
    <mergeCell ref="L24:M24"/>
    <mergeCell ref="L25:M25"/>
    <mergeCell ref="I22:J22"/>
    <mergeCell ref="F11:I11"/>
    <mergeCell ref="J11:M11"/>
    <mergeCell ref="N11:Q11"/>
    <mergeCell ref="R11:U11"/>
    <mergeCell ref="Z11:AC11"/>
    <mergeCell ref="AD11:AG11"/>
    <mergeCell ref="AH11:AK11"/>
    <mergeCell ref="I20:J20"/>
  </mergeCells>
  <conditionalFormatting sqref="K20:AI20 AK20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21:AI21 AK21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2:AI22">
    <cfRule type="dataBar" priority="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{56CFC7B0-C261-494B-BB2F-961FC5395604}</x14:id>
        </ext>
      </extLst>
    </cfRule>
  </conditionalFormatting>
  <conditionalFormatting sqref="N23:AI23">
    <cfRule type="dataBar" priority="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{41DE4205-EE7F-4DBF-8BBA-9EEAD7B09998}</x14:id>
        </ext>
      </extLst>
    </cfRule>
  </conditionalFormatting>
  <conditionalFormatting sqref="AK22:AK23">
    <cfRule type="dataBar" priority="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{8C038067-089E-49FF-8126-BD91D38602DD}</x14:id>
        </ext>
      </extLst>
    </cfRule>
  </conditionalFormatting>
  <conditionalFormatting sqref="AK20:AK21">
    <cfRule type="dataBar" priority="2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{B86A584F-5630-40E1-B995-7746D53887D9}</x14:id>
        </ext>
      </extLst>
    </cfRule>
  </conditionalFormatting>
  <conditionalFormatting sqref="AK20:AK21 AK24">
    <cfRule type="dataBar" priority="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{62207A90-4DCB-469A-A9CB-D988FA8A2AE2}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6CFC7B0-C261-494B-BB2F-961FC539560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K22:AI22</xm:sqref>
        </x14:conditionalFormatting>
        <x14:conditionalFormatting xmlns:xm="http://schemas.microsoft.com/office/excel/2006/main">
          <x14:cfRule type="dataBar" id="{41DE4205-EE7F-4DBF-8BBA-9EEAD7B0999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N23:AI23</xm:sqref>
        </x14:conditionalFormatting>
        <x14:conditionalFormatting xmlns:xm="http://schemas.microsoft.com/office/excel/2006/main">
          <x14:cfRule type="dataBar" id="{8C038067-089E-49FF-8126-BD91D38602D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AK22:AK23</xm:sqref>
        </x14:conditionalFormatting>
        <x14:conditionalFormatting xmlns:xm="http://schemas.microsoft.com/office/excel/2006/main">
          <x14:cfRule type="dataBar" id="{B86A584F-5630-40E1-B995-7746D53887D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AK20:AK21</xm:sqref>
        </x14:conditionalFormatting>
        <x14:conditionalFormatting xmlns:xm="http://schemas.microsoft.com/office/excel/2006/main">
          <x14:cfRule type="dataBar" id="{62207A90-4DCB-469A-A9CB-D988FA8A2AE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AK20:AK21 AK24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249C6-FF3D-4DBB-B370-A9A55622C4B9}">
  <dimension ref="A1:U48"/>
  <sheetViews>
    <sheetView zoomScale="85" zoomScaleNormal="85" workbookViewId="0">
      <selection activeCell="A24" sqref="A24:D24"/>
    </sheetView>
  </sheetViews>
  <sheetFormatPr defaultRowHeight="12.75" x14ac:dyDescent="0.2"/>
  <cols>
    <col min="1" max="1" width="7.5703125" bestFit="1" customWidth="1"/>
    <col min="2" max="2" width="16" bestFit="1" customWidth="1"/>
    <col min="3" max="3" width="12.7109375" bestFit="1" customWidth="1"/>
    <col min="4" max="4" width="11.5703125" customWidth="1"/>
    <col min="5" max="5" width="18" bestFit="1" customWidth="1"/>
    <col min="6" max="6" width="12.140625" bestFit="1" customWidth="1"/>
    <col min="7" max="7" width="10.7109375" bestFit="1" customWidth="1"/>
    <col min="8" max="8" width="19.7109375" bestFit="1" customWidth="1"/>
    <col min="9" max="9" width="13.5703125" bestFit="1" customWidth="1"/>
    <col min="10" max="10" width="8.7109375" bestFit="1" customWidth="1"/>
    <col min="11" max="11" width="21.85546875" bestFit="1" customWidth="1"/>
    <col min="12" max="12" width="16.42578125" bestFit="1" customWidth="1"/>
    <col min="13" max="13" width="14.5703125" bestFit="1" customWidth="1"/>
    <col min="14" max="14" width="23.5703125" bestFit="1" customWidth="1"/>
    <col min="15" max="15" width="17.85546875" bestFit="1" customWidth="1"/>
    <col min="16" max="16" width="11.42578125" bestFit="1" customWidth="1"/>
    <col min="17" max="17" width="14" bestFit="1" customWidth="1"/>
    <col min="18" max="18" width="10.28515625" bestFit="1" customWidth="1"/>
    <col min="19" max="19" width="16.140625" bestFit="1" customWidth="1"/>
  </cols>
  <sheetData>
    <row r="1" spans="1:21" x14ac:dyDescent="0.2">
      <c r="A1" t="s">
        <v>80</v>
      </c>
      <c r="B1" t="s">
        <v>81</v>
      </c>
    </row>
    <row r="4" spans="1:21" x14ac:dyDescent="0.2">
      <c r="A4" s="170" t="s">
        <v>76</v>
      </c>
      <c r="B4" s="170"/>
      <c r="T4" s="71" t="s">
        <v>165</v>
      </c>
    </row>
    <row r="5" spans="1:21" x14ac:dyDescent="0.2">
      <c r="A5" s="17" t="s">
        <v>56</v>
      </c>
      <c r="B5" s="17" t="s">
        <v>57</v>
      </c>
      <c r="C5" s="17" t="s">
        <v>68</v>
      </c>
      <c r="D5" s="17" t="s">
        <v>58</v>
      </c>
      <c r="E5" s="17" t="s">
        <v>59</v>
      </c>
      <c r="F5" s="17" t="s">
        <v>69</v>
      </c>
      <c r="G5" s="17" t="s">
        <v>60</v>
      </c>
      <c r="H5" s="17" t="s">
        <v>61</v>
      </c>
      <c r="I5" s="17" t="s">
        <v>70</v>
      </c>
      <c r="J5" s="17" t="s">
        <v>62</v>
      </c>
      <c r="K5" s="17" t="s">
        <v>63</v>
      </c>
      <c r="L5" s="17" t="s">
        <v>73</v>
      </c>
      <c r="M5" s="17" t="s">
        <v>64</v>
      </c>
      <c r="N5" s="17" t="s">
        <v>65</v>
      </c>
      <c r="O5" s="17" t="s">
        <v>74</v>
      </c>
      <c r="P5" s="17" t="s">
        <v>66</v>
      </c>
      <c r="Q5" s="17" t="s">
        <v>67</v>
      </c>
      <c r="R5" s="17" t="s">
        <v>0</v>
      </c>
      <c r="S5" s="17" t="s">
        <v>72</v>
      </c>
      <c r="T5" s="37" t="s">
        <v>0</v>
      </c>
      <c r="U5" s="37" t="s">
        <v>72</v>
      </c>
    </row>
    <row r="6" spans="1:21" x14ac:dyDescent="0.2">
      <c r="A6" t="s">
        <v>172</v>
      </c>
      <c r="B6" t="s">
        <v>173</v>
      </c>
      <c r="C6" t="s">
        <v>169</v>
      </c>
      <c r="D6">
        <v>20170720</v>
      </c>
      <c r="E6">
        <v>32.232872</v>
      </c>
      <c r="F6">
        <v>32.221428000000003</v>
      </c>
      <c r="G6">
        <v>31.533428000000001</v>
      </c>
      <c r="H6">
        <v>32.238776000000001</v>
      </c>
      <c r="I6">
        <v>28.404305000000001</v>
      </c>
      <c r="J6">
        <v>31.326161800000001</v>
      </c>
      <c r="R6">
        <v>32</v>
      </c>
      <c r="S6">
        <v>34</v>
      </c>
      <c r="T6" s="94"/>
      <c r="U6" s="93"/>
    </row>
    <row r="7" spans="1:21" x14ac:dyDescent="0.2">
      <c r="A7" t="s">
        <v>172</v>
      </c>
      <c r="B7" t="s">
        <v>173</v>
      </c>
      <c r="C7" t="s">
        <v>170</v>
      </c>
      <c r="D7">
        <v>20171019</v>
      </c>
      <c r="E7">
        <v>41.694862000000001</v>
      </c>
      <c r="F7">
        <v>39.711010000000002</v>
      </c>
      <c r="G7">
        <v>34.437381000000002</v>
      </c>
      <c r="H7">
        <v>27.069818000000001</v>
      </c>
      <c r="I7">
        <v>22.871969</v>
      </c>
      <c r="J7">
        <v>33.157008000000005</v>
      </c>
      <c r="K7">
        <v>43.98073209238072</v>
      </c>
      <c r="L7">
        <v>41.902995112445041</v>
      </c>
      <c r="M7">
        <v>37.131102714237102</v>
      </c>
      <c r="N7">
        <v>28.548658671160467</v>
      </c>
      <c r="O7">
        <v>27.3777846703167</v>
      </c>
      <c r="P7">
        <v>35.987117706836337</v>
      </c>
      <c r="Q7">
        <v>35.821398494562722</v>
      </c>
      <c r="R7">
        <v>35</v>
      </c>
      <c r="S7">
        <v>34</v>
      </c>
      <c r="T7" s="94"/>
      <c r="U7" s="93"/>
    </row>
    <row r="8" spans="1:21" x14ac:dyDescent="0.2">
      <c r="A8" t="s">
        <v>172</v>
      </c>
      <c r="B8" t="s">
        <v>173</v>
      </c>
      <c r="C8" t="s">
        <v>167</v>
      </c>
      <c r="D8">
        <v>20180125</v>
      </c>
      <c r="E8">
        <v>42.060273000000002</v>
      </c>
      <c r="F8">
        <v>41.691192000000001</v>
      </c>
      <c r="G8">
        <v>36.830663000000001</v>
      </c>
      <c r="H8">
        <v>37.579611</v>
      </c>
      <c r="I8">
        <v>31.242246999999999</v>
      </c>
      <c r="J8">
        <v>37.880797200000003</v>
      </c>
      <c r="K8">
        <v>34.29797374074532</v>
      </c>
      <c r="L8">
        <v>35.695403566920106</v>
      </c>
      <c r="M8">
        <v>36.36288549352809</v>
      </c>
      <c r="N8">
        <v>47.200419818116252</v>
      </c>
      <c r="O8">
        <v>46.442717633973707</v>
      </c>
      <c r="P8">
        <v>38.843887988928309</v>
      </c>
      <c r="Q8">
        <v>39.807214707035293</v>
      </c>
      <c r="R8">
        <v>34.6</v>
      </c>
      <c r="S8">
        <v>36</v>
      </c>
      <c r="T8" s="94"/>
      <c r="U8" s="93"/>
    </row>
    <row r="9" spans="1:21" x14ac:dyDescent="0.2">
      <c r="A9" t="s">
        <v>172</v>
      </c>
      <c r="B9" t="s">
        <v>173</v>
      </c>
      <c r="C9" t="s">
        <v>42</v>
      </c>
      <c r="D9">
        <v>20180419</v>
      </c>
      <c r="E9">
        <v>36.539619000000002</v>
      </c>
      <c r="F9">
        <v>36.437905000000001</v>
      </c>
      <c r="G9">
        <v>33.452686999999997</v>
      </c>
      <c r="H9">
        <v>35.486637999999999</v>
      </c>
      <c r="I9">
        <v>30.573371999999999</v>
      </c>
      <c r="J9">
        <v>34.498044200000002</v>
      </c>
      <c r="K9">
        <v>31.274791868326677</v>
      </c>
      <c r="L9">
        <v>31.463830057917271</v>
      </c>
      <c r="M9">
        <v>32.698209424033443</v>
      </c>
      <c r="N9">
        <v>33.995002449599596</v>
      </c>
      <c r="O9">
        <v>35.229264783675774</v>
      </c>
      <c r="P9">
        <v>32.785202081227581</v>
      </c>
      <c r="Q9">
        <v>32.907716777463385</v>
      </c>
      <c r="R9">
        <v>34.4</v>
      </c>
      <c r="S9">
        <v>35</v>
      </c>
      <c r="T9" s="9"/>
      <c r="U9" s="63"/>
    </row>
    <row r="10" spans="1:21" x14ac:dyDescent="0.2">
      <c r="A10" t="s">
        <v>172</v>
      </c>
      <c r="B10" t="s">
        <v>173</v>
      </c>
      <c r="C10" t="s">
        <v>43</v>
      </c>
      <c r="D10">
        <v>20180719</v>
      </c>
      <c r="E10">
        <v>42.077424000000001</v>
      </c>
      <c r="F10">
        <v>41.886350999999998</v>
      </c>
      <c r="G10">
        <v>38.320472000000002</v>
      </c>
      <c r="H10">
        <v>40.387628999999997</v>
      </c>
      <c r="I10">
        <v>35.760041999999999</v>
      </c>
      <c r="J10">
        <v>39.686383599999999</v>
      </c>
      <c r="K10">
        <v>40.304466228835061</v>
      </c>
      <c r="L10">
        <v>40.233440561415364</v>
      </c>
      <c r="M10">
        <v>40.092938423750539</v>
      </c>
      <c r="N10">
        <v>39.83378236619653</v>
      </c>
      <c r="O10">
        <v>40.937632590870251</v>
      </c>
      <c r="P10">
        <v>40.26383113046159</v>
      </c>
      <c r="Q10">
        <v>40.277681883588222</v>
      </c>
      <c r="R10">
        <v>36.9</v>
      </c>
      <c r="S10">
        <v>39</v>
      </c>
      <c r="T10" s="9"/>
      <c r="U10" s="63"/>
    </row>
    <row r="11" spans="1:21" x14ac:dyDescent="0.2">
      <c r="A11" t="s">
        <v>172</v>
      </c>
      <c r="B11" t="s">
        <v>173</v>
      </c>
      <c r="C11" t="s">
        <v>44</v>
      </c>
      <c r="D11">
        <v>20181018</v>
      </c>
      <c r="E11">
        <v>46.662004000000003</v>
      </c>
      <c r="F11">
        <v>46.981271999999997</v>
      </c>
      <c r="G11">
        <v>39.809615000000001</v>
      </c>
      <c r="H11">
        <v>41.407049000000001</v>
      </c>
      <c r="I11">
        <v>36.134754000000001</v>
      </c>
      <c r="J11">
        <v>42.198938799999993</v>
      </c>
      <c r="K11">
        <v>43.249276761809377</v>
      </c>
      <c r="L11">
        <v>43.743834548872492</v>
      </c>
      <c r="M11">
        <v>40.515549625797924</v>
      </c>
      <c r="N11">
        <v>39.9843949987755</v>
      </c>
      <c r="O11">
        <v>39.408661936135317</v>
      </c>
      <c r="P11">
        <v>41.46910007693419</v>
      </c>
      <c r="Q11">
        <v>41.395136324720802</v>
      </c>
      <c r="R11">
        <v>38.5</v>
      </c>
      <c r="S11">
        <v>37</v>
      </c>
      <c r="T11" s="9"/>
      <c r="U11" s="63"/>
    </row>
    <row r="12" spans="1:21" x14ac:dyDescent="0.2">
      <c r="A12" t="s">
        <v>172</v>
      </c>
      <c r="B12" t="s">
        <v>173</v>
      </c>
      <c r="C12" t="s">
        <v>45</v>
      </c>
      <c r="D12">
        <v>20190131</v>
      </c>
      <c r="E12">
        <v>44.741911000000002</v>
      </c>
      <c r="F12">
        <v>45.001483999999998</v>
      </c>
      <c r="G12">
        <v>41.179220999999998</v>
      </c>
      <c r="H12">
        <v>42.764640999999997</v>
      </c>
      <c r="I12">
        <v>39.290599</v>
      </c>
      <c r="J12">
        <v>42.595571199999995</v>
      </c>
      <c r="K12">
        <v>35.477488429343929</v>
      </c>
      <c r="L12">
        <v>35.44082220677209</v>
      </c>
      <c r="M12">
        <v>38.272944287454166</v>
      </c>
      <c r="N12">
        <v>38.213100310529249</v>
      </c>
      <c r="O12">
        <v>40.231411648741265</v>
      </c>
      <c r="P12">
        <v>37.347767010671845</v>
      </c>
      <c r="Q12">
        <v>37.49725564891876</v>
      </c>
      <c r="R12">
        <v>38.4</v>
      </c>
      <c r="S12">
        <v>39</v>
      </c>
      <c r="T12" s="9"/>
      <c r="U12" s="63"/>
    </row>
    <row r="13" spans="1:21" x14ac:dyDescent="0.2">
      <c r="A13" t="s">
        <v>172</v>
      </c>
      <c r="B13" t="s">
        <v>173</v>
      </c>
      <c r="C13" t="s">
        <v>46</v>
      </c>
      <c r="D13">
        <v>20190418</v>
      </c>
      <c r="E13">
        <v>44.938488999999997</v>
      </c>
      <c r="F13">
        <v>45.416746000000003</v>
      </c>
      <c r="G13">
        <v>40.737647000000003</v>
      </c>
      <c r="H13">
        <v>42.505408000000003</v>
      </c>
      <c r="I13">
        <v>39.352367000000001</v>
      </c>
      <c r="J13">
        <v>42.590131400000004</v>
      </c>
      <c r="K13">
        <v>39.171350347552199</v>
      </c>
      <c r="L13">
        <v>39.359881865229163</v>
      </c>
      <c r="M13">
        <v>38.581794274350166</v>
      </c>
      <c r="N13">
        <v>38.76358770321491</v>
      </c>
      <c r="O13">
        <v>39.061311154864299</v>
      </c>
      <c r="P13">
        <v>38.995019383611421</v>
      </c>
      <c r="Q13">
        <v>38.988824121470351</v>
      </c>
      <c r="R13">
        <v>38.5</v>
      </c>
      <c r="S13">
        <v>36</v>
      </c>
      <c r="T13" s="9"/>
      <c r="U13" s="63"/>
    </row>
    <row r="14" spans="1:21" x14ac:dyDescent="0.2">
      <c r="A14" t="s">
        <v>172</v>
      </c>
      <c r="B14" t="s">
        <v>173</v>
      </c>
      <c r="C14" t="s">
        <v>47</v>
      </c>
      <c r="D14">
        <v>20190718</v>
      </c>
      <c r="E14">
        <v>38.009425999999998</v>
      </c>
      <c r="F14">
        <v>38.129055999999999</v>
      </c>
      <c r="G14">
        <v>37.105825000000003</v>
      </c>
      <c r="H14">
        <v>36.769728999999998</v>
      </c>
      <c r="I14">
        <v>33.757497999999998</v>
      </c>
      <c r="J14">
        <v>36.754306799999995</v>
      </c>
      <c r="K14">
        <v>30.449162097995774</v>
      </c>
      <c r="L14">
        <v>30.223345723623613</v>
      </c>
      <c r="M14">
        <v>32.790546297384338</v>
      </c>
      <c r="N14">
        <v>31.142160639888456</v>
      </c>
      <c r="O14">
        <v>30.88174919694157</v>
      </c>
      <c r="P14">
        <v>31.067174514516751</v>
      </c>
      <c r="Q14">
        <v>31.092356411725081</v>
      </c>
      <c r="R14">
        <v>41.5</v>
      </c>
      <c r="S14">
        <v>39</v>
      </c>
      <c r="T14" s="9"/>
      <c r="U14" s="63"/>
    </row>
    <row r="15" spans="1:21" x14ac:dyDescent="0.2">
      <c r="A15" t="s">
        <v>172</v>
      </c>
      <c r="B15" t="s">
        <v>173</v>
      </c>
      <c r="C15" t="s">
        <v>48</v>
      </c>
      <c r="D15">
        <v>20191017</v>
      </c>
      <c r="E15">
        <v>38.780645999999997</v>
      </c>
      <c r="F15">
        <v>39.171311000000003</v>
      </c>
      <c r="G15">
        <v>37.928156999999999</v>
      </c>
      <c r="H15">
        <v>36.086776</v>
      </c>
      <c r="I15">
        <v>32.166114</v>
      </c>
      <c r="J15">
        <v>36.826600799999994</v>
      </c>
      <c r="K15">
        <v>39.791318974403879</v>
      </c>
      <c r="L15">
        <v>40.066062191521347</v>
      </c>
      <c r="M15">
        <v>39.864310334024367</v>
      </c>
      <c r="N15">
        <v>38.275622428438353</v>
      </c>
      <c r="O15">
        <v>37.16147582975492</v>
      </c>
      <c r="P15">
        <v>39.076711173341998</v>
      </c>
      <c r="Q15">
        <v>39.03925015524748</v>
      </c>
      <c r="R15">
        <v>39.700000000000003</v>
      </c>
      <c r="S15">
        <v>38</v>
      </c>
      <c r="T15" s="9"/>
      <c r="U15" s="63"/>
    </row>
    <row r="16" spans="1:21" x14ac:dyDescent="0.2">
      <c r="A16" t="s">
        <v>172</v>
      </c>
      <c r="B16" t="s">
        <v>173</v>
      </c>
      <c r="C16" t="s">
        <v>49</v>
      </c>
      <c r="D16">
        <v>20200130</v>
      </c>
      <c r="E16">
        <v>39.545127999999998</v>
      </c>
      <c r="F16">
        <v>38.810471999999997</v>
      </c>
      <c r="G16">
        <v>39.157766000000002</v>
      </c>
      <c r="H16">
        <v>40.412163</v>
      </c>
      <c r="I16">
        <v>34.353895000000001</v>
      </c>
      <c r="J16">
        <v>38.455884799999993</v>
      </c>
      <c r="K16">
        <v>38.749093143007471</v>
      </c>
      <c r="L16">
        <v>37.649950904119592</v>
      </c>
      <c r="M16">
        <v>39.231938108672146</v>
      </c>
      <c r="N16">
        <v>42.554707408608628</v>
      </c>
      <c r="O16">
        <v>40.584573256191284</v>
      </c>
      <c r="P16">
        <v>39.68119757607387</v>
      </c>
      <c r="Q16">
        <v>39.741910066112162</v>
      </c>
      <c r="R16">
        <v>40.1</v>
      </c>
      <c r="S16">
        <v>36</v>
      </c>
      <c r="T16" s="9"/>
      <c r="U16" s="63"/>
    </row>
    <row r="17" spans="1:21" x14ac:dyDescent="0.2">
      <c r="A17" t="s">
        <v>172</v>
      </c>
      <c r="B17" t="s">
        <v>173</v>
      </c>
      <c r="C17" t="s">
        <v>50</v>
      </c>
      <c r="D17">
        <v>20200423</v>
      </c>
      <c r="E17">
        <v>33.811546</v>
      </c>
      <c r="F17">
        <v>38.009825999999997</v>
      </c>
      <c r="G17">
        <v>37.041060999999999</v>
      </c>
      <c r="H17">
        <v>32.159999999999997</v>
      </c>
      <c r="I17">
        <v>27.233378999999999</v>
      </c>
      <c r="J17">
        <v>33.651162399999997</v>
      </c>
      <c r="K17">
        <v>30.780420182228266</v>
      </c>
      <c r="L17">
        <v>35.257333020840349</v>
      </c>
      <c r="M17">
        <v>34.053990618361624</v>
      </c>
      <c r="N17">
        <v>28.648800609855996</v>
      </c>
      <c r="O17">
        <v>28.538296574522331</v>
      </c>
      <c r="P17">
        <v>31.502118666633827</v>
      </c>
      <c r="Q17">
        <v>31.463493278740401</v>
      </c>
      <c r="R17">
        <v>34.5</v>
      </c>
      <c r="S17">
        <v>32</v>
      </c>
      <c r="T17" s="9"/>
      <c r="U17" s="63"/>
    </row>
    <row r="18" spans="1:21" x14ac:dyDescent="0.2">
      <c r="A18" t="s">
        <v>172</v>
      </c>
      <c r="B18" t="s">
        <v>173</v>
      </c>
      <c r="C18" t="s">
        <v>51</v>
      </c>
      <c r="D18">
        <v>20200723</v>
      </c>
      <c r="E18">
        <v>22.693038000000001</v>
      </c>
      <c r="F18">
        <v>23.942537000000002</v>
      </c>
      <c r="G18">
        <v>22.654257999999999</v>
      </c>
      <c r="H18">
        <v>23.974048</v>
      </c>
      <c r="I18">
        <v>20.015874</v>
      </c>
      <c r="J18">
        <v>22.655950999999998</v>
      </c>
      <c r="K18">
        <v>21.477196458274936</v>
      </c>
      <c r="L18">
        <v>20.156924264794061</v>
      </c>
      <c r="M18">
        <v>19.571152564987273</v>
      </c>
      <c r="N18">
        <v>23.854774129353235</v>
      </c>
      <c r="O18">
        <v>23.519224992242059</v>
      </c>
      <c r="P18">
        <v>21.544290903900546</v>
      </c>
      <c r="Q18">
        <v>21.687260552258682</v>
      </c>
      <c r="R18">
        <v>18.399999999999999</v>
      </c>
      <c r="S18">
        <v>22</v>
      </c>
      <c r="T18" s="9"/>
      <c r="U18" s="63"/>
    </row>
    <row r="19" spans="1:21" x14ac:dyDescent="0.2">
      <c r="A19" t="s">
        <v>172</v>
      </c>
      <c r="B19" t="s">
        <v>173</v>
      </c>
      <c r="C19" t="s">
        <v>52</v>
      </c>
      <c r="D19">
        <v>20201022</v>
      </c>
      <c r="E19">
        <v>32.646307</v>
      </c>
      <c r="F19">
        <v>34.756816000000001</v>
      </c>
      <c r="G19">
        <v>37.015242000000001</v>
      </c>
      <c r="H19">
        <v>31.000477</v>
      </c>
      <c r="I19">
        <v>26.389907000000001</v>
      </c>
      <c r="J19">
        <v>32.361749799999998</v>
      </c>
      <c r="K19">
        <v>31.649299401869417</v>
      </c>
      <c r="L19">
        <v>31.936880874403574</v>
      </c>
      <c r="M19">
        <v>35.946236861962113</v>
      </c>
      <c r="N19">
        <v>28.447865541939354</v>
      </c>
      <c r="O19">
        <v>29.005875736427999</v>
      </c>
      <c r="P19">
        <v>31.424789698741847</v>
      </c>
      <c r="Q19">
        <v>31.401824685890716</v>
      </c>
      <c r="R19">
        <v>32.5</v>
      </c>
      <c r="S19">
        <v>33</v>
      </c>
      <c r="T19" s="9"/>
      <c r="U19" s="63"/>
    </row>
    <row r="20" spans="1:21" x14ac:dyDescent="0.2">
      <c r="A20" t="s">
        <v>172</v>
      </c>
      <c r="B20" t="s">
        <v>173</v>
      </c>
      <c r="C20" t="s">
        <v>53</v>
      </c>
      <c r="D20">
        <v>20210128</v>
      </c>
      <c r="E20">
        <v>31.074031999999999</v>
      </c>
      <c r="F20">
        <v>30.523251999999999</v>
      </c>
      <c r="G20">
        <v>31.025500999999998</v>
      </c>
      <c r="H20">
        <v>30.921092999999999</v>
      </c>
      <c r="I20">
        <v>25.94622</v>
      </c>
      <c r="J20">
        <f>AVERAGE(E20:I20)</f>
        <v>29.898019599999998</v>
      </c>
      <c r="K20">
        <f>(E20/E19)*$S19</f>
        <v>31.410690832503658</v>
      </c>
      <c r="L20">
        <f t="shared" ref="L20:P20" si="0">(F20/F19)*$S19</f>
        <v>28.980425479710224</v>
      </c>
      <c r="M20">
        <f t="shared" si="0"/>
        <v>27.659998359594674</v>
      </c>
      <c r="N20">
        <f t="shared" si="0"/>
        <v>32.915495751887946</v>
      </c>
      <c r="O20">
        <f t="shared" si="0"/>
        <v>32.445179136099263</v>
      </c>
      <c r="P20">
        <f t="shared" si="0"/>
        <v>30.487679216900688</v>
      </c>
      <c r="Q20">
        <f>AVERAGE(K20:P20)</f>
        <v>30.649911462782743</v>
      </c>
      <c r="R20">
        <v>35.700000000000003</v>
      </c>
      <c r="S20">
        <v>32</v>
      </c>
    </row>
    <row r="21" spans="1:21" x14ac:dyDescent="0.2">
      <c r="A21" t="s">
        <v>172</v>
      </c>
      <c r="B21" t="s">
        <v>173</v>
      </c>
      <c r="C21" t="s">
        <v>54</v>
      </c>
      <c r="D21">
        <v>20210422</v>
      </c>
      <c r="E21">
        <v>33.064092000000002</v>
      </c>
      <c r="F21">
        <v>31.798452000000001</v>
      </c>
      <c r="G21">
        <v>31.231883</v>
      </c>
      <c r="H21">
        <v>33.486901000000003</v>
      </c>
      <c r="I21">
        <v>29.851479000000001</v>
      </c>
      <c r="J21">
        <v>31.886561399999998</v>
      </c>
      <c r="K21">
        <v>35.887323030255629</v>
      </c>
      <c r="L21">
        <v>35.198395959791206</v>
      </c>
      <c r="M21">
        <v>33.33578013133711</v>
      </c>
      <c r="N21">
        <v>34.547623151293507</v>
      </c>
      <c r="O21">
        <v>36.797972575312116</v>
      </c>
      <c r="P21">
        <v>35.100753645408631</v>
      </c>
      <c r="Q21">
        <v>35.144641415566362</v>
      </c>
      <c r="R21">
        <v>31.5</v>
      </c>
      <c r="S21">
        <v>30.4</v>
      </c>
    </row>
    <row r="22" spans="1:21" x14ac:dyDescent="0.2">
      <c r="A22" t="s">
        <v>172</v>
      </c>
      <c r="B22" t="s">
        <v>173</v>
      </c>
      <c r="C22" t="s">
        <v>55</v>
      </c>
      <c r="D22">
        <v>20210722</v>
      </c>
      <c r="E22">
        <v>37.993823999999996</v>
      </c>
      <c r="F22">
        <v>36.451746</v>
      </c>
      <c r="G22">
        <v>33.876159000000001</v>
      </c>
      <c r="H22">
        <v>35.161355</v>
      </c>
      <c r="I22">
        <v>31.289406</v>
      </c>
      <c r="J22">
        <v>34.954498000000001</v>
      </c>
      <c r="K22">
        <v>34.932525883366154</v>
      </c>
      <c r="L22">
        <v>34.848648556854272</v>
      </c>
      <c r="M22">
        <v>32.973843863336711</v>
      </c>
      <c r="N22">
        <v>31.92009890673371</v>
      </c>
      <c r="O22">
        <v>31.864348912159425</v>
      </c>
      <c r="P22">
        <v>33.324908442463794</v>
      </c>
      <c r="Q22">
        <v>33.310729094152343</v>
      </c>
      <c r="R22">
        <v>36.799999999999997</v>
      </c>
      <c r="S22">
        <v>34</v>
      </c>
    </row>
    <row r="23" spans="1:21" x14ac:dyDescent="0.2">
      <c r="A23" t="s">
        <v>172</v>
      </c>
      <c r="B23" t="s">
        <v>173</v>
      </c>
      <c r="C23" t="s">
        <v>71</v>
      </c>
      <c r="D23" s="12">
        <v>20211021</v>
      </c>
      <c r="E23">
        <v>33.370469</v>
      </c>
      <c r="F23">
        <v>32.993532000000002</v>
      </c>
      <c r="G23">
        <v>28.165655000000001</v>
      </c>
      <c r="H23">
        <v>29.926615999999999</v>
      </c>
      <c r="I23">
        <v>25.111212999999999</v>
      </c>
      <c r="J23">
        <f>AVERAGE(E23:H23)</f>
        <v>31.114068</v>
      </c>
      <c r="K23" s="95">
        <f>(E23/E22)*$S21</f>
        <v>26.700714768800321</v>
      </c>
      <c r="L23" s="95">
        <f>(F23/F22)*$S21</f>
        <v>27.515921262043253</v>
      </c>
      <c r="M23" s="95">
        <f>(G23/G22)*$S21</f>
        <v>25.275472110046476</v>
      </c>
      <c r="N23" s="95">
        <f t="shared" ref="N23:O23" si="1">(H23/H22)*$S21</f>
        <v>25.874120220907297</v>
      </c>
      <c r="O23" s="95">
        <f t="shared" si="1"/>
        <v>24.397423051111932</v>
      </c>
      <c r="P23" s="95">
        <f>(J23/J22)*$S21</f>
        <v>27.059969998710894</v>
      </c>
      <c r="Q23" s="95">
        <f>(K23/K22)*$S21</f>
        <v>23.236273600187566</v>
      </c>
      <c r="R23" s="6">
        <f>'1. Data &amp; Confidence Interval'!AJ14</f>
        <v>35.9</v>
      </c>
      <c r="S23" s="10"/>
    </row>
    <row r="24" spans="1:21" x14ac:dyDescent="0.2">
      <c r="A24" s="168" t="s">
        <v>75</v>
      </c>
      <c r="B24" s="169"/>
      <c r="C24" s="169"/>
      <c r="D24" s="169"/>
      <c r="E24" s="104">
        <f t="shared" ref="E24:Q24" si="2">CORREL(E$8:E$22,$S$8:$S$22)</f>
        <v>0.86652464194725087</v>
      </c>
      <c r="F24" s="104">
        <f t="shared" si="2"/>
        <v>0.84181005796523145</v>
      </c>
      <c r="G24" s="105">
        <f t="shared" si="2"/>
        <v>0.88266896980642895</v>
      </c>
      <c r="H24" s="104">
        <f t="shared" si="2"/>
        <v>0.86131022653612244</v>
      </c>
      <c r="I24" s="104">
        <f t="shared" si="2"/>
        <v>0.84818184487187231</v>
      </c>
      <c r="J24" s="105">
        <f>CORREL(J$8:J$22,$S$8:$S$22)</f>
        <v>0.88580533966996766</v>
      </c>
      <c r="K24" s="104">
        <f t="shared" si="2"/>
        <v>0.72328479704663706</v>
      </c>
      <c r="L24" s="104">
        <f t="shared" si="2"/>
        <v>0.7280782658493038</v>
      </c>
      <c r="M24" s="104">
        <f t="shared" si="2"/>
        <v>0.84486840939893493</v>
      </c>
      <c r="N24" s="104">
        <f t="shared" si="2"/>
        <v>0.6611810012432815</v>
      </c>
      <c r="O24" s="104">
        <f t="shared" si="2"/>
        <v>0.67207044242106517</v>
      </c>
      <c r="P24" s="104">
        <f t="shared" si="2"/>
        <v>0.78763333636612032</v>
      </c>
      <c r="Q24" s="104">
        <f t="shared" si="2"/>
        <v>0.78379223761127881</v>
      </c>
      <c r="R24" s="105">
        <f>CORREL(R$8:R$22,$S$8:$S$22)</f>
        <v>0.91961853209942657</v>
      </c>
      <c r="S24" s="5"/>
    </row>
    <row r="26" spans="1:21" x14ac:dyDescent="0.2">
      <c r="A26" s="171" t="s">
        <v>77</v>
      </c>
      <c r="B26" s="172"/>
    </row>
    <row r="27" spans="1:21" x14ac:dyDescent="0.2">
      <c r="A27" s="17" t="s">
        <v>56</v>
      </c>
      <c r="B27" s="17" t="s">
        <v>57</v>
      </c>
      <c r="C27" s="17" t="s">
        <v>68</v>
      </c>
      <c r="D27" s="17" t="s">
        <v>58</v>
      </c>
      <c r="E27" s="17" t="s">
        <v>59</v>
      </c>
      <c r="F27" s="17" t="s">
        <v>69</v>
      </c>
      <c r="G27" s="17" t="s">
        <v>60</v>
      </c>
      <c r="H27" s="17" t="s">
        <v>61</v>
      </c>
      <c r="I27" s="17" t="s">
        <v>70</v>
      </c>
      <c r="J27" s="17" t="s">
        <v>62</v>
      </c>
      <c r="K27" s="17" t="s">
        <v>63</v>
      </c>
      <c r="L27" s="17" t="s">
        <v>73</v>
      </c>
      <c r="M27" s="17" t="s">
        <v>64</v>
      </c>
      <c r="N27" s="17" t="s">
        <v>65</v>
      </c>
      <c r="O27" s="17" t="s">
        <v>74</v>
      </c>
      <c r="P27" s="17" t="s">
        <v>66</v>
      </c>
      <c r="Q27" s="17" t="s">
        <v>67</v>
      </c>
      <c r="R27" s="17" t="s">
        <v>0</v>
      </c>
    </row>
    <row r="28" spans="1:21" x14ac:dyDescent="0.2">
      <c r="A28" s="9" t="str">
        <f t="shared" ref="A28:D28" si="3">A6</f>
        <v>BSX_RN</v>
      </c>
      <c r="B28" s="9" t="str">
        <f t="shared" si="3"/>
        <v>Electrophysiology</v>
      </c>
      <c r="C28" s="9" t="str">
        <f t="shared" si="3"/>
        <v>2017Q2</v>
      </c>
      <c r="D28" s="9">
        <f t="shared" si="3"/>
        <v>20170720</v>
      </c>
      <c r="E28" s="18">
        <f t="shared" ref="E28:R28" si="4">$S6/E6-1</f>
        <v>5.482378362064666E-2</v>
      </c>
      <c r="F28" s="18">
        <f t="shared" si="4"/>
        <v>5.5198422614913145E-2</v>
      </c>
      <c r="G28" s="18">
        <f t="shared" si="4"/>
        <v>7.8220864537785095E-2</v>
      </c>
      <c r="H28" s="18">
        <f t="shared" si="4"/>
        <v>5.4630610045492967E-2</v>
      </c>
      <c r="I28" s="18">
        <f t="shared" si="4"/>
        <v>0.19700165168624961</v>
      </c>
      <c r="J28" s="18">
        <f t="shared" si="4"/>
        <v>8.5354797599238585E-2</v>
      </c>
      <c r="K28" s="18"/>
      <c r="L28" s="18"/>
      <c r="M28" s="18"/>
      <c r="N28" s="18"/>
      <c r="O28" s="18"/>
      <c r="P28" s="18"/>
      <c r="Q28" s="18"/>
      <c r="R28" s="41">
        <f t="shared" si="4"/>
        <v>6.25E-2</v>
      </c>
    </row>
    <row r="29" spans="1:21" x14ac:dyDescent="0.2">
      <c r="A29" s="9" t="str">
        <f t="shared" ref="A29:D29" si="5">A7</f>
        <v>BSX_RN</v>
      </c>
      <c r="B29" s="9" t="str">
        <f t="shared" si="5"/>
        <v>Electrophysiology</v>
      </c>
      <c r="C29" s="9" t="str">
        <f t="shared" si="5"/>
        <v>2017Q3</v>
      </c>
      <c r="D29" s="9">
        <f t="shared" si="5"/>
        <v>20171019</v>
      </c>
      <c r="E29" s="18">
        <f t="shared" ref="E29:R29" si="6">$S7/E7-1</f>
        <v>-0.18455180400884885</v>
      </c>
      <c r="F29" s="18">
        <f t="shared" si="6"/>
        <v>-0.14381427216280829</v>
      </c>
      <c r="G29" s="18">
        <f t="shared" si="6"/>
        <v>-1.2700762581219549E-2</v>
      </c>
      <c r="H29" s="18">
        <f t="shared" si="6"/>
        <v>0.2560113998549971</v>
      </c>
      <c r="I29" s="18">
        <f t="shared" si="6"/>
        <v>0.48653576786502284</v>
      </c>
      <c r="J29" s="18">
        <f t="shared" si="6"/>
        <v>2.5424248171004971E-2</v>
      </c>
      <c r="K29" s="18">
        <f t="shared" si="6"/>
        <v>-0.22693419635253853</v>
      </c>
      <c r="L29" s="18">
        <f t="shared" si="6"/>
        <v>-0.18860215340783315</v>
      </c>
      <c r="M29" s="18">
        <f t="shared" si="6"/>
        <v>-8.4325605364705458E-2</v>
      </c>
      <c r="N29" s="18">
        <f t="shared" si="6"/>
        <v>0.19094912274622611</v>
      </c>
      <c r="O29" s="18">
        <f t="shared" si="6"/>
        <v>0.24188280423080322</v>
      </c>
      <c r="P29" s="18">
        <f t="shared" si="6"/>
        <v>-5.5217473180933618E-2</v>
      </c>
      <c r="Q29" s="18">
        <f t="shared" si="6"/>
        <v>-5.0846660686326595E-2</v>
      </c>
      <c r="R29" s="41">
        <f t="shared" si="6"/>
        <v>-2.8571428571428581E-2</v>
      </c>
    </row>
    <row r="30" spans="1:21" x14ac:dyDescent="0.2">
      <c r="A30" s="9" t="str">
        <f>A8</f>
        <v>BSX_RN</v>
      </c>
      <c r="B30" s="9" t="str">
        <f t="shared" ref="B30:D31" si="7">B8</f>
        <v>Electrophysiology</v>
      </c>
      <c r="C30" s="9" t="str">
        <f t="shared" si="7"/>
        <v>2017Q4</v>
      </c>
      <c r="D30" s="9">
        <f t="shared" si="7"/>
        <v>20180125</v>
      </c>
      <c r="E30" s="18">
        <f t="shared" ref="E30:R31" si="8">$S8/E8-1</f>
        <v>-0.14408544138550894</v>
      </c>
      <c r="F30" s="18">
        <f t="shared" si="8"/>
        <v>-0.13650825814718848</v>
      </c>
      <c r="G30" s="18">
        <f t="shared" si="8"/>
        <v>-2.2553571734508338E-2</v>
      </c>
      <c r="H30" s="18">
        <f t="shared" si="8"/>
        <v>-4.2033724085116297E-2</v>
      </c>
      <c r="I30" s="18">
        <f t="shared" si="8"/>
        <v>0.15228587751706857</v>
      </c>
      <c r="J30" s="18">
        <f t="shared" si="8"/>
        <v>-4.9650412320256132E-2</v>
      </c>
      <c r="K30" s="18">
        <f t="shared" si="8"/>
        <v>4.9624688388886007E-2</v>
      </c>
      <c r="L30" s="18">
        <f t="shared" si="8"/>
        <v>8.5332116363063815E-3</v>
      </c>
      <c r="M30" s="18">
        <f t="shared" si="8"/>
        <v>-9.9795571391790849E-3</v>
      </c>
      <c r="N30" s="18">
        <f t="shared" si="8"/>
        <v>-0.23729491943665637</v>
      </c>
      <c r="O30" s="18">
        <f t="shared" si="8"/>
        <v>-0.22485156265564155</v>
      </c>
      <c r="P30" s="18">
        <f t="shared" si="8"/>
        <v>-7.3213268191353653E-2</v>
      </c>
      <c r="Q30" s="18">
        <f t="shared" si="8"/>
        <v>-9.564132369106515E-2</v>
      </c>
      <c r="R30" s="41">
        <f t="shared" si="8"/>
        <v>4.0462427745664664E-2</v>
      </c>
    </row>
    <row r="31" spans="1:21" x14ac:dyDescent="0.2">
      <c r="A31" s="9" t="str">
        <f>A9</f>
        <v>BSX_RN</v>
      </c>
      <c r="B31" s="9" t="str">
        <f t="shared" si="7"/>
        <v>Electrophysiology</v>
      </c>
      <c r="C31" s="9" t="str">
        <f t="shared" si="7"/>
        <v>2018Q1</v>
      </c>
      <c r="D31" s="9">
        <f t="shared" si="7"/>
        <v>20180419</v>
      </c>
      <c r="E31" s="18">
        <f t="shared" ref="E31:E41" si="9">$S9/E9-1</f>
        <v>-4.2135606285331084E-2</v>
      </c>
      <c r="F31" s="18">
        <f t="shared" si="8"/>
        <v>-3.9461791230862464E-2</v>
      </c>
      <c r="G31" s="18">
        <f t="shared" si="8"/>
        <v>4.6253773276867305E-2</v>
      </c>
      <c r="H31" s="18">
        <f t="shared" si="8"/>
        <v>-1.371327427523561E-2</v>
      </c>
      <c r="I31" s="18">
        <f t="shared" si="8"/>
        <v>0.14478703886506206</v>
      </c>
      <c r="J31" s="18">
        <f t="shared" si="8"/>
        <v>1.4550268330863814E-2</v>
      </c>
      <c r="K31" s="18">
        <f t="shared" ref="K31:Q31" si="10">$S9/K9-1</f>
        <v>0.11911216379495726</v>
      </c>
      <c r="L31" s="18">
        <f t="shared" si="10"/>
        <v>0.11238841347583883</v>
      </c>
      <c r="M31" s="18">
        <f t="shared" si="10"/>
        <v>7.0395003778852772E-2</v>
      </c>
      <c r="N31" s="18">
        <f t="shared" si="10"/>
        <v>2.956309686667602E-2</v>
      </c>
      <c r="O31" s="18">
        <f t="shared" si="10"/>
        <v>-6.5077935938648857E-3</v>
      </c>
      <c r="P31" s="18">
        <f t="shared" si="10"/>
        <v>6.755480455130658E-2</v>
      </c>
      <c r="Q31" s="18">
        <f t="shared" si="10"/>
        <v>6.3580321803714535E-2</v>
      </c>
      <c r="R31" s="41">
        <f>$S9/R9-1</f>
        <v>1.744186046511631E-2</v>
      </c>
    </row>
    <row r="32" spans="1:21" x14ac:dyDescent="0.2">
      <c r="A32" s="9" t="str">
        <f t="shared" ref="A32:D32" si="11">A10</f>
        <v>BSX_RN</v>
      </c>
      <c r="B32" s="9" t="str">
        <f t="shared" si="11"/>
        <v>Electrophysiology</v>
      </c>
      <c r="C32" s="9" t="str">
        <f t="shared" si="11"/>
        <v>2018Q2</v>
      </c>
      <c r="D32" s="9">
        <f t="shared" si="11"/>
        <v>20180719</v>
      </c>
      <c r="E32" s="18">
        <f t="shared" si="9"/>
        <v>-7.3137176838582119E-2</v>
      </c>
      <c r="F32" s="18">
        <f t="shared" ref="F32:J32" si="12">$S10/F10-1</f>
        <v>-6.8909105975834439E-2</v>
      </c>
      <c r="G32" s="18">
        <f t="shared" si="12"/>
        <v>1.7732766965918412E-2</v>
      </c>
      <c r="H32" s="18">
        <f t="shared" si="12"/>
        <v>-3.4357773267650771E-2</v>
      </c>
      <c r="I32" s="18">
        <f t="shared" si="12"/>
        <v>9.0602745936372298E-2</v>
      </c>
      <c r="J32" s="18">
        <f t="shared" si="12"/>
        <v>-1.7295191391538123E-2</v>
      </c>
      <c r="K32" s="18">
        <f t="shared" ref="K32:Q32" si="13">$S10/K10-1</f>
        <v>-3.2365302183354649E-2</v>
      </c>
      <c r="L32" s="18">
        <f t="shared" si="13"/>
        <v>-3.0657098776639469E-2</v>
      </c>
      <c r="M32" s="18">
        <f t="shared" si="13"/>
        <v>-2.7260122772719941E-2</v>
      </c>
      <c r="N32" s="18">
        <f t="shared" si="13"/>
        <v>-2.0931538926719839E-2</v>
      </c>
      <c r="O32" s="18">
        <f t="shared" si="13"/>
        <v>-4.7331329836165836E-2</v>
      </c>
      <c r="P32" s="18">
        <f t="shared" si="13"/>
        <v>-3.1388745059221068E-2</v>
      </c>
      <c r="Q32" s="18">
        <f t="shared" si="13"/>
        <v>-3.1721832633790026E-2</v>
      </c>
      <c r="R32" s="41">
        <f t="shared" ref="R32:R39" si="14">$S10/R10-1</f>
        <v>5.6910569105691033E-2</v>
      </c>
    </row>
    <row r="33" spans="1:18" x14ac:dyDescent="0.2">
      <c r="A33" s="9" t="str">
        <f t="shared" ref="A33:D33" si="15">A11</f>
        <v>BSX_RN</v>
      </c>
      <c r="B33" s="9" t="str">
        <f t="shared" si="15"/>
        <v>Electrophysiology</v>
      </c>
      <c r="C33" s="9" t="str">
        <f t="shared" si="15"/>
        <v>2018Q3</v>
      </c>
      <c r="D33" s="9">
        <f t="shared" si="15"/>
        <v>20181018</v>
      </c>
      <c r="E33" s="18">
        <f t="shared" si="9"/>
        <v>-0.20706363147197882</v>
      </c>
      <c r="F33" s="18">
        <f t="shared" ref="F33:J33" si="16">$S11/F11-1</f>
        <v>-0.21245214476100172</v>
      </c>
      <c r="G33" s="18">
        <f t="shared" si="16"/>
        <v>-7.0576291682298398E-2</v>
      </c>
      <c r="H33" s="18">
        <f t="shared" si="16"/>
        <v>-0.1064323371607574</v>
      </c>
      <c r="I33" s="18">
        <f t="shared" si="16"/>
        <v>2.3944981056187586E-2</v>
      </c>
      <c r="J33" s="18">
        <f t="shared" si="16"/>
        <v>-0.12320070001381156</v>
      </c>
      <c r="K33" s="18">
        <f t="shared" ref="K33:Q33" si="17">$S11/K11-1</f>
        <v>-0.14449436452374864</v>
      </c>
      <c r="L33" s="18">
        <f t="shared" si="17"/>
        <v>-0.15416651554261873</v>
      </c>
      <c r="M33" s="18">
        <f t="shared" si="17"/>
        <v>-8.6770379725008784E-2</v>
      </c>
      <c r="N33" s="18">
        <f t="shared" si="17"/>
        <v>-7.4638993509015039E-2</v>
      </c>
      <c r="O33" s="18">
        <f t="shared" si="17"/>
        <v>-6.1120114660039304E-2</v>
      </c>
      <c r="P33" s="18">
        <f t="shared" si="17"/>
        <v>-0.10776940103940136</v>
      </c>
      <c r="Q33" s="18">
        <f t="shared" si="17"/>
        <v>-0.10617518662684211</v>
      </c>
      <c r="R33" s="41">
        <f t="shared" si="14"/>
        <v>-3.8961038961038974E-2</v>
      </c>
    </row>
    <row r="34" spans="1:18" x14ac:dyDescent="0.2">
      <c r="A34" s="9" t="str">
        <f t="shared" ref="A34:D34" si="18">A12</f>
        <v>BSX_RN</v>
      </c>
      <c r="B34" s="9" t="str">
        <f t="shared" si="18"/>
        <v>Electrophysiology</v>
      </c>
      <c r="C34" s="9" t="str">
        <f t="shared" si="18"/>
        <v>2018Q4</v>
      </c>
      <c r="D34" s="9">
        <f t="shared" si="18"/>
        <v>20190131</v>
      </c>
      <c r="E34" s="18">
        <f t="shared" si="9"/>
        <v>-0.12833405797083641</v>
      </c>
      <c r="F34" s="18">
        <f t="shared" ref="F34:J34" si="19">$S12/F12-1</f>
        <v>-0.13336191313157575</v>
      </c>
      <c r="G34" s="18">
        <f t="shared" si="19"/>
        <v>-5.2920403715262077E-2</v>
      </c>
      <c r="H34" s="18">
        <f t="shared" si="19"/>
        <v>-8.8031628746748969E-2</v>
      </c>
      <c r="I34" s="18">
        <f t="shared" si="19"/>
        <v>-7.3961458312203909E-3</v>
      </c>
      <c r="J34" s="18">
        <f t="shared" si="19"/>
        <v>-8.4411855474777475E-2</v>
      </c>
      <c r="K34" s="18">
        <f t="shared" ref="K34:Q34" si="20">$S12/K12-1</f>
        <v>9.9288639827799896E-2</v>
      </c>
      <c r="L34" s="18">
        <f t="shared" si="20"/>
        <v>0.10042593742500183</v>
      </c>
      <c r="M34" s="18">
        <f t="shared" si="20"/>
        <v>1.8996597363536649E-2</v>
      </c>
      <c r="N34" s="18">
        <f t="shared" si="20"/>
        <v>2.0592406349555725E-2</v>
      </c>
      <c r="O34" s="18">
        <f t="shared" si="20"/>
        <v>-3.0608213788088423E-2</v>
      </c>
      <c r="P34" s="18">
        <f t="shared" si="20"/>
        <v>4.4239137211497637E-2</v>
      </c>
      <c r="Q34" s="18">
        <f t="shared" si="20"/>
        <v>4.0076115573662641E-2</v>
      </c>
      <c r="R34" s="41">
        <f t="shared" si="14"/>
        <v>1.5625E-2</v>
      </c>
    </row>
    <row r="35" spans="1:18" x14ac:dyDescent="0.2">
      <c r="A35" s="9" t="str">
        <f t="shared" ref="A35:D35" si="21">A13</f>
        <v>BSX_RN</v>
      </c>
      <c r="B35" s="9" t="str">
        <f t="shared" si="21"/>
        <v>Electrophysiology</v>
      </c>
      <c r="C35" s="9" t="str">
        <f t="shared" si="21"/>
        <v>2019Q1</v>
      </c>
      <c r="D35" s="9">
        <f t="shared" si="21"/>
        <v>20190418</v>
      </c>
      <c r="E35" s="18">
        <f t="shared" si="9"/>
        <v>-0.19890497430832621</v>
      </c>
      <c r="F35" s="18">
        <f t="shared" ref="F35:J35" si="22">$S13/F13-1</f>
        <v>-0.20734083414958882</v>
      </c>
      <c r="G35" s="18">
        <f t="shared" si="22"/>
        <v>-0.11629653033225018</v>
      </c>
      <c r="H35" s="18">
        <f t="shared" si="22"/>
        <v>-0.15304894850085904</v>
      </c>
      <c r="I35" s="18">
        <f t="shared" si="22"/>
        <v>-8.5188446224848446E-2</v>
      </c>
      <c r="J35" s="18">
        <f t="shared" si="22"/>
        <v>-0.15473376539054307</v>
      </c>
      <c r="K35" s="18">
        <f t="shared" ref="K35:Q35" si="23">$S13/K13-1</f>
        <v>-8.0960965588728451E-2</v>
      </c>
      <c r="L35" s="18">
        <f t="shared" si="23"/>
        <v>-8.5363108475112304E-2</v>
      </c>
      <c r="M35" s="18">
        <f t="shared" si="23"/>
        <v>-6.6917423694485501E-2</v>
      </c>
      <c r="N35" s="18">
        <f t="shared" si="23"/>
        <v>-7.1293393283762274E-2</v>
      </c>
      <c r="O35" s="18">
        <f t="shared" si="23"/>
        <v>-7.837195077060477E-2</v>
      </c>
      <c r="P35" s="18">
        <f t="shared" si="23"/>
        <v>-7.6805177454794316E-2</v>
      </c>
      <c r="Q35" s="18">
        <f t="shared" si="23"/>
        <v>-7.6658483265835797E-2</v>
      </c>
      <c r="R35" s="41">
        <f t="shared" si="14"/>
        <v>-6.4935064935064957E-2</v>
      </c>
    </row>
    <row r="36" spans="1:18" x14ac:dyDescent="0.2">
      <c r="A36" s="9" t="str">
        <f t="shared" ref="A36:D36" si="24">A14</f>
        <v>BSX_RN</v>
      </c>
      <c r="B36" s="9" t="str">
        <f t="shared" si="24"/>
        <v>Electrophysiology</v>
      </c>
      <c r="C36" s="9" t="str">
        <f t="shared" si="24"/>
        <v>2019Q2</v>
      </c>
      <c r="D36" s="9">
        <f t="shared" si="24"/>
        <v>20190718</v>
      </c>
      <c r="E36" s="18">
        <f t="shared" si="9"/>
        <v>2.6061272274935154E-2</v>
      </c>
      <c r="F36" s="18">
        <f t="shared" ref="F36:J36" si="25">$S14/F14-1</f>
        <v>2.2842002697365471E-2</v>
      </c>
      <c r="G36" s="18">
        <f>$S14/G14-1</f>
        <v>5.104791498369865E-2</v>
      </c>
      <c r="H36" s="18">
        <f t="shared" si="25"/>
        <v>6.0655083968663481E-2</v>
      </c>
      <c r="I36" s="18">
        <f t="shared" si="25"/>
        <v>0.1552988909308386</v>
      </c>
      <c r="J36" s="18">
        <f t="shared" si="25"/>
        <v>6.1100137521842957E-2</v>
      </c>
      <c r="K36" s="18">
        <f t="shared" ref="K36:Q36" si="26">$S14/K14-1</f>
        <v>0.28082342215147715</v>
      </c>
      <c r="L36" s="18">
        <f t="shared" si="26"/>
        <v>0.29039320651771017</v>
      </c>
      <c r="M36" s="18">
        <f t="shared" si="26"/>
        <v>0.18936719279699776</v>
      </c>
      <c r="N36" s="18">
        <f t="shared" si="26"/>
        <v>0.25232158587117515</v>
      </c>
      <c r="O36" s="18">
        <f t="shared" si="26"/>
        <v>0.26288183196120363</v>
      </c>
      <c r="P36" s="18">
        <f t="shared" si="26"/>
        <v>0.25534428571148249</v>
      </c>
      <c r="Q36" s="18">
        <f t="shared" si="26"/>
        <v>0.25432757439037035</v>
      </c>
      <c r="R36" s="41">
        <f t="shared" si="14"/>
        <v>-6.0240963855421659E-2</v>
      </c>
    </row>
    <row r="37" spans="1:18" x14ac:dyDescent="0.2">
      <c r="A37" s="9" t="str">
        <f t="shared" ref="A37:D37" si="27">A15</f>
        <v>BSX_RN</v>
      </c>
      <c r="B37" s="9" t="str">
        <f t="shared" si="27"/>
        <v>Electrophysiology</v>
      </c>
      <c r="C37" s="9" t="str">
        <f t="shared" si="27"/>
        <v>2019Q3</v>
      </c>
      <c r="D37" s="9">
        <f t="shared" si="27"/>
        <v>20191017</v>
      </c>
      <c r="E37" s="18">
        <f t="shared" si="9"/>
        <v>-2.0129783294481451E-2</v>
      </c>
      <c r="F37" s="18">
        <f t="shared" ref="F37:J37" si="28">$S15/F15-1</f>
        <v>-2.9902266993310556E-2</v>
      </c>
      <c r="G37" s="18">
        <f>$S15/G15-1</f>
        <v>1.8941864219768068E-3</v>
      </c>
      <c r="H37" s="18">
        <f t="shared" si="28"/>
        <v>5.3017315816741295E-2</v>
      </c>
      <c r="I37" s="18">
        <f t="shared" si="28"/>
        <v>0.18136744774329894</v>
      </c>
      <c r="J37" s="18">
        <f t="shared" si="28"/>
        <v>3.1862815858910487E-2</v>
      </c>
      <c r="K37" s="18">
        <f t="shared" ref="K37:Q37" si="29">$S15/K15-1</f>
        <v>-4.5017833551990627E-2</v>
      </c>
      <c r="L37" s="18">
        <f t="shared" si="29"/>
        <v>-5.1566390069612611E-2</v>
      </c>
      <c r="M37" s="18">
        <f t="shared" si="29"/>
        <v>-4.6766401284839776E-2</v>
      </c>
      <c r="N37" s="18">
        <f t="shared" si="29"/>
        <v>-7.2009914131029307E-3</v>
      </c>
      <c r="O37" s="18">
        <f t="shared" si="29"/>
        <v>2.2564339857936488E-2</v>
      </c>
      <c r="P37" s="18">
        <f t="shared" si="29"/>
        <v>-2.7553781805376931E-2</v>
      </c>
      <c r="Q37" s="18">
        <f t="shared" si="29"/>
        <v>-2.6620648478510534E-2</v>
      </c>
      <c r="R37" s="41">
        <f t="shared" si="14"/>
        <v>-4.2821158690176442E-2</v>
      </c>
    </row>
    <row r="38" spans="1:18" x14ac:dyDescent="0.2">
      <c r="A38" s="9" t="str">
        <f t="shared" ref="A38:D38" si="30">A16</f>
        <v>BSX_RN</v>
      </c>
      <c r="B38" s="9" t="str">
        <f t="shared" si="30"/>
        <v>Electrophysiology</v>
      </c>
      <c r="C38" s="9" t="str">
        <f t="shared" si="30"/>
        <v>2019Q4</v>
      </c>
      <c r="D38" s="9">
        <f t="shared" si="30"/>
        <v>20200130</v>
      </c>
      <c r="E38" s="18">
        <f t="shared" si="9"/>
        <v>-8.9647655205465471E-2</v>
      </c>
      <c r="F38" s="18">
        <f t="shared" ref="F38:J38" si="31">$S16/F16-1</f>
        <v>-7.2415300695131912E-2</v>
      </c>
      <c r="G38" s="18">
        <f t="shared" si="31"/>
        <v>-8.0642138777784256E-2</v>
      </c>
      <c r="H38" s="18">
        <f t="shared" si="31"/>
        <v>-0.1091790855144279</v>
      </c>
      <c r="I38" s="18">
        <f t="shared" si="31"/>
        <v>4.7916109658016959E-2</v>
      </c>
      <c r="J38" s="18">
        <f t="shared" si="31"/>
        <v>-6.3862392265123358E-2</v>
      </c>
      <c r="K38" s="18">
        <f t="shared" ref="K38:Q38" si="32">$S16/K16-1</f>
        <v>-7.0945999506663582E-2</v>
      </c>
      <c r="L38" s="18">
        <f t="shared" si="32"/>
        <v>-4.3823454333882239E-2</v>
      </c>
      <c r="M38" s="18">
        <f t="shared" si="32"/>
        <v>-8.2380281588936621E-2</v>
      </c>
      <c r="N38" s="18">
        <f t="shared" si="32"/>
        <v>-0.15403013691694756</v>
      </c>
      <c r="O38" s="18">
        <f t="shared" si="32"/>
        <v>-0.1129634461658876</v>
      </c>
      <c r="P38" s="18">
        <f t="shared" si="32"/>
        <v>-9.2769316475808217E-2</v>
      </c>
      <c r="Q38" s="18">
        <f t="shared" si="32"/>
        <v>-9.4155264804518746E-2</v>
      </c>
      <c r="R38" s="41">
        <f t="shared" si="14"/>
        <v>-0.10224438902743149</v>
      </c>
    </row>
    <row r="39" spans="1:18" x14ac:dyDescent="0.2">
      <c r="A39" s="9" t="str">
        <f t="shared" ref="A39:D39" si="33">A17</f>
        <v>BSX_RN</v>
      </c>
      <c r="B39" s="9" t="str">
        <f t="shared" si="33"/>
        <v>Electrophysiology</v>
      </c>
      <c r="C39" s="9" t="str">
        <f t="shared" si="33"/>
        <v>2020Q1</v>
      </c>
      <c r="D39" s="9">
        <f t="shared" si="33"/>
        <v>20200423</v>
      </c>
      <c r="E39" s="18">
        <f t="shared" si="9"/>
        <v>-5.3577733476014355E-2</v>
      </c>
      <c r="F39" s="18">
        <f t="shared" ref="F39:J39" si="34">$S17/F17-1</f>
        <v>-0.15811243124343677</v>
      </c>
      <c r="G39" s="18">
        <f t="shared" ref="G39:G44" si="35">$S17/G17-1</f>
        <v>-0.1360938608103045</v>
      </c>
      <c r="H39" s="18">
        <f t="shared" si="34"/>
        <v>-4.9751243781093191E-3</v>
      </c>
      <c r="I39" s="18">
        <f t="shared" si="34"/>
        <v>0.17502862938895691</v>
      </c>
      <c r="J39" s="18">
        <f t="shared" si="34"/>
        <v>-4.9067024204786369E-2</v>
      </c>
      <c r="K39" s="18">
        <f t="shared" ref="K39:Q39" si="36">$S17/K17-1</f>
        <v>3.9621935326142221E-2</v>
      </c>
      <c r="L39" s="18">
        <f t="shared" si="36"/>
        <v>-9.2387391267370167E-2</v>
      </c>
      <c r="M39" s="18">
        <f t="shared" si="36"/>
        <v>-6.0315709879068646E-2</v>
      </c>
      <c r="N39" s="18">
        <f t="shared" si="36"/>
        <v>0.11697520729684907</v>
      </c>
      <c r="O39" s="18">
        <f t="shared" si="36"/>
        <v>0.12130028211172617</v>
      </c>
      <c r="P39" s="18">
        <f t="shared" si="36"/>
        <v>1.5804693602831099E-2</v>
      </c>
      <c r="Q39" s="18">
        <f t="shared" si="36"/>
        <v>1.7051721387278729E-2</v>
      </c>
      <c r="R39" s="41">
        <f t="shared" si="14"/>
        <v>-7.2463768115942018E-2</v>
      </c>
    </row>
    <row r="40" spans="1:18" x14ac:dyDescent="0.2">
      <c r="A40" s="9" t="str">
        <f t="shared" ref="A40:D40" si="37">A18</f>
        <v>BSX_RN</v>
      </c>
      <c r="B40" s="9" t="str">
        <f t="shared" si="37"/>
        <v>Electrophysiology</v>
      </c>
      <c r="C40" s="9" t="str">
        <f t="shared" si="37"/>
        <v>2020Q2</v>
      </c>
      <c r="D40" s="9">
        <f t="shared" si="37"/>
        <v>20200723</v>
      </c>
      <c r="E40" s="18">
        <f t="shared" si="9"/>
        <v>-3.0539674767212754E-2</v>
      </c>
      <c r="F40" s="18">
        <f t="shared" ref="F40:J40" si="38">$S18/F18-1</f>
        <v>-8.1133298447027657E-2</v>
      </c>
      <c r="G40" s="18">
        <f t="shared" si="35"/>
        <v>-2.8880133703783173E-2</v>
      </c>
      <c r="H40" s="18">
        <f t="shared" si="38"/>
        <v>-8.2341038109208786E-2</v>
      </c>
      <c r="I40" s="18">
        <f t="shared" si="38"/>
        <v>9.9127622406096183E-2</v>
      </c>
      <c r="J40" s="18">
        <f t="shared" si="38"/>
        <v>-2.8952702095798033E-2</v>
      </c>
      <c r="K40" s="18">
        <f t="shared" ref="K40:Q40" si="39">$S18/K18-1</f>
        <v>2.4342261930729414E-2</v>
      </c>
      <c r="L40" s="18">
        <f t="shared" si="39"/>
        <v>9.1436357600700235E-2</v>
      </c>
      <c r="M40" s="18">
        <f t="shared" si="39"/>
        <v>0.12410344393093786</v>
      </c>
      <c r="N40" s="18">
        <f t="shared" si="39"/>
        <v>-7.775274329975479E-2</v>
      </c>
      <c r="O40" s="18">
        <f t="shared" si="39"/>
        <v>-6.4595027801434113E-2</v>
      </c>
      <c r="P40" s="18">
        <f t="shared" si="39"/>
        <v>2.1152197495483582E-2</v>
      </c>
      <c r="Q40" s="18">
        <f t="shared" si="39"/>
        <v>1.4420421933315497E-2</v>
      </c>
      <c r="R40" s="41">
        <f t="shared" ref="R40" si="40">$S18/R18-1</f>
        <v>0.19565217391304368</v>
      </c>
    </row>
    <row r="41" spans="1:18" x14ac:dyDescent="0.2">
      <c r="A41" s="9" t="str">
        <f t="shared" ref="A41:D41" si="41">A19</f>
        <v>BSX_RN</v>
      </c>
      <c r="B41" s="9" t="str">
        <f t="shared" si="41"/>
        <v>Electrophysiology</v>
      </c>
      <c r="C41" s="9" t="str">
        <f t="shared" si="41"/>
        <v>2020Q3</v>
      </c>
      <c r="D41" s="9">
        <f t="shared" si="41"/>
        <v>20201022</v>
      </c>
      <c r="E41" s="18">
        <f t="shared" si="9"/>
        <v>1.0834089136023906E-2</v>
      </c>
      <c r="F41" s="18">
        <f t="shared" ref="F41:I41" si="42">$S19/F19-1</f>
        <v>-5.0545941837710329E-2</v>
      </c>
      <c r="G41" s="18">
        <f t="shared" si="35"/>
        <v>-0.10847536806594427</v>
      </c>
      <c r="H41" s="18">
        <f t="shared" si="42"/>
        <v>6.4499749471596868E-2</v>
      </c>
      <c r="I41" s="18">
        <f t="shared" si="42"/>
        <v>0.25047807102920072</v>
      </c>
      <c r="J41" s="18">
        <f>$S19/J19-1</f>
        <v>1.9722363714708813E-2</v>
      </c>
      <c r="K41" s="18">
        <f t="shared" ref="K41:Q41" si="43">$S19/K19-1</f>
        <v>4.2677108929962682E-2</v>
      </c>
      <c r="L41" s="18">
        <f t="shared" si="43"/>
        <v>3.3288132606853482E-2</v>
      </c>
      <c r="M41" s="18">
        <f t="shared" si="43"/>
        <v>-8.1962317036857524E-2</v>
      </c>
      <c r="N41" s="18">
        <f t="shared" si="43"/>
        <v>0.16001673135545613</v>
      </c>
      <c r="O41" s="18">
        <f t="shared" si="43"/>
        <v>0.13770052315834214</v>
      </c>
      <c r="P41" s="18">
        <f t="shared" si="43"/>
        <v>5.0126359360209705E-2</v>
      </c>
      <c r="Q41" s="18">
        <f t="shared" si="43"/>
        <v>5.0894345475005709E-2</v>
      </c>
      <c r="R41" s="41">
        <f>$S19/R19-1</f>
        <v>1.538461538461533E-2</v>
      </c>
    </row>
    <row r="42" spans="1:18" x14ac:dyDescent="0.2">
      <c r="A42" s="9" t="str">
        <f t="shared" ref="A42:C42" si="44">A20</f>
        <v>BSX_RN</v>
      </c>
      <c r="B42" s="9" t="str">
        <f t="shared" si="44"/>
        <v>Electrophysiology</v>
      </c>
      <c r="C42" s="9" t="str">
        <f t="shared" si="44"/>
        <v>2020Q4</v>
      </c>
      <c r="D42" s="9" t="e">
        <f>#REF!</f>
        <v>#REF!</v>
      </c>
      <c r="E42" s="18">
        <f t="shared" ref="E42:I42" si="45">$S20/E20-1</f>
        <v>2.9798772170924082E-2</v>
      </c>
      <c r="F42" s="18">
        <f t="shared" si="45"/>
        <v>4.8381083378664869E-2</v>
      </c>
      <c r="G42" s="18">
        <f t="shared" si="35"/>
        <v>3.1409613659421742E-2</v>
      </c>
      <c r="H42" s="18">
        <f t="shared" si="45"/>
        <v>3.489226593639505E-2</v>
      </c>
      <c r="I42" s="18">
        <f t="shared" si="45"/>
        <v>0.23332030638759704</v>
      </c>
      <c r="J42" s="18">
        <f>$S20/J20-1</f>
        <v>7.0305004415744055E-2</v>
      </c>
      <c r="K42" s="18">
        <f t="shared" ref="K42:Q42" si="46">$S20/K20-1</f>
        <v>1.8761420136819362E-2</v>
      </c>
      <c r="L42" s="18">
        <f t="shared" si="46"/>
        <v>0.10419358826887626</v>
      </c>
      <c r="M42" s="18">
        <f t="shared" si="46"/>
        <v>0.15690534699181824</v>
      </c>
      <c r="N42" s="18">
        <f t="shared" si="46"/>
        <v>-2.7813518556391026E-2</v>
      </c>
      <c r="O42" s="18">
        <f t="shared" si="46"/>
        <v>-1.3720964036963657E-2</v>
      </c>
      <c r="P42" s="18">
        <f t="shared" si="46"/>
        <v>4.9604326139097044E-2</v>
      </c>
      <c r="Q42" s="18">
        <f t="shared" si="46"/>
        <v>4.4048692892853181E-2</v>
      </c>
      <c r="R42" s="41">
        <f>$S20/R20-1</f>
        <v>-0.10364145658263313</v>
      </c>
    </row>
    <row r="43" spans="1:18" x14ac:dyDescent="0.2">
      <c r="A43" s="9" t="str">
        <f t="shared" ref="A43:D43" si="47">A21</f>
        <v>BSX_RN</v>
      </c>
      <c r="B43" s="9" t="str">
        <f t="shared" si="47"/>
        <v>Electrophysiology</v>
      </c>
      <c r="C43" s="9" t="str">
        <f t="shared" si="47"/>
        <v>2021Q1</v>
      </c>
      <c r="D43" s="9">
        <f t="shared" si="47"/>
        <v>20210422</v>
      </c>
      <c r="E43" s="18">
        <f t="shared" ref="E43:J43" si="48">$S21/E21-1</f>
        <v>-8.0573572079342237E-2</v>
      </c>
      <c r="F43" s="18">
        <f t="shared" si="48"/>
        <v>-4.3978618833394822E-2</v>
      </c>
      <c r="G43" s="18">
        <f t="shared" si="35"/>
        <v>-2.6635697886035259E-2</v>
      </c>
      <c r="H43" s="18">
        <f t="shared" si="48"/>
        <v>-9.2182343179501913E-2</v>
      </c>
      <c r="I43" s="18">
        <f t="shared" si="48"/>
        <v>1.8375002458002054E-2</v>
      </c>
      <c r="J43" s="18">
        <f t="shared" si="48"/>
        <v>-4.6620310711834811E-2</v>
      </c>
      <c r="K43" s="18">
        <f t="shared" ref="K43:Q43" si="49">$S21/K21-1</f>
        <v>-0.15290421705819124</v>
      </c>
      <c r="L43" s="18">
        <f t="shared" si="49"/>
        <v>-0.1363242792447884</v>
      </c>
      <c r="M43" s="18">
        <f t="shared" si="49"/>
        <v>-8.8066939479761852E-2</v>
      </c>
      <c r="N43" s="18">
        <f t="shared" si="49"/>
        <v>-0.12005523891267222</v>
      </c>
      <c r="O43" s="18">
        <f t="shared" si="49"/>
        <v>-0.17386752931069194</v>
      </c>
      <c r="P43" s="18">
        <f t="shared" si="49"/>
        <v>-0.1339217297980585</v>
      </c>
      <c r="Q43" s="18">
        <f t="shared" si="49"/>
        <v>-0.13500326719694045</v>
      </c>
      <c r="R43" s="41">
        <f>$S21/R21-1</f>
        <v>-3.4920634920635019E-2</v>
      </c>
    </row>
    <row r="44" spans="1:18" x14ac:dyDescent="0.2">
      <c r="A44" s="9" t="str">
        <f t="shared" ref="A44:D44" si="50">A22</f>
        <v>BSX_RN</v>
      </c>
      <c r="B44" s="9" t="str">
        <f t="shared" si="50"/>
        <v>Electrophysiology</v>
      </c>
      <c r="C44" s="9" t="str">
        <f t="shared" si="50"/>
        <v>2021Q2</v>
      </c>
      <c r="D44" s="9">
        <f t="shared" si="50"/>
        <v>20210722</v>
      </c>
      <c r="E44" s="18">
        <f>$S22/E22-1</f>
        <v>-0.10511771597404873</v>
      </c>
      <c r="F44" s="18">
        <f t="shared" ref="F44:J44" si="51">$S22/F22-1</f>
        <v>-6.7260042907135387E-2</v>
      </c>
      <c r="G44" s="18">
        <f t="shared" si="35"/>
        <v>3.655697802103175E-3</v>
      </c>
      <c r="H44" s="18">
        <f t="shared" si="51"/>
        <v>-3.3029301629587393E-2</v>
      </c>
      <c r="I44" s="18">
        <f t="shared" si="51"/>
        <v>8.6629768554890463E-2</v>
      </c>
      <c r="J44" s="18">
        <f t="shared" si="51"/>
        <v>-2.7306871922463394E-2</v>
      </c>
      <c r="K44" s="18">
        <f t="shared" ref="K44:Q44" si="52">$S22/K22-1</f>
        <v>-2.6695060256441305E-2</v>
      </c>
      <c r="L44" s="18">
        <f t="shared" si="52"/>
        <v>-2.4352409404621023E-2</v>
      </c>
      <c r="M44" s="18">
        <f t="shared" si="52"/>
        <v>3.1120306777586926E-2</v>
      </c>
      <c r="N44" s="18">
        <f t="shared" si="52"/>
        <v>6.5159606783910196E-2</v>
      </c>
      <c r="O44" s="18">
        <f t="shared" si="52"/>
        <v>6.7023214368130857E-2</v>
      </c>
      <c r="P44" s="18">
        <f t="shared" si="52"/>
        <v>2.0257866835606375E-2</v>
      </c>
      <c r="Q44" s="18">
        <f t="shared" si="52"/>
        <v>2.0692159090827555E-2</v>
      </c>
      <c r="R44" s="41">
        <f>$S22/R22-1</f>
        <v>-7.6086956521739024E-2</v>
      </c>
    </row>
    <row r="45" spans="1:18" x14ac:dyDescent="0.2">
      <c r="A45" s="177" t="s">
        <v>78</v>
      </c>
      <c r="B45" s="177"/>
      <c r="C45" s="173"/>
      <c r="D45" s="174"/>
      <c r="E45" s="74" cm="1">
        <f t="array" ref="E45">SUM(ABS(E28:E44))/COUNT(E28:E44)</f>
        <v>8.7018632015794531E-2</v>
      </c>
      <c r="F45" s="107" cm="1">
        <f t="array" ref="F45">SUM(ABS(F28:F44))/COUNT(F28:F44)</f>
        <v>9.2448101718055925E-2</v>
      </c>
      <c r="G45" s="109" cm="1">
        <f t="array" ref="G45">SUM(ABS(G28:G44))/COUNT(G28:G44)</f>
        <v>5.2117033937480073E-2</v>
      </c>
      <c r="H45" s="107" cm="1">
        <f t="array" ref="H45">SUM(ABS(H28:H44))/COUNT(H28:H44)</f>
        <v>7.5472411996534705E-2</v>
      </c>
      <c r="I45" s="107" cm="1">
        <f t="array" ref="I45">SUM(ABS(I28:I44))/COUNT(I28:I44)</f>
        <v>0.14325202961993705</v>
      </c>
      <c r="J45" s="109" cm="1">
        <f t="array" ref="J45">SUM(ABS(J28:J44))/COUNT(J28:J44)</f>
        <v>5.6083580082543882E-2</v>
      </c>
      <c r="K45" s="107" cm="1">
        <f t="array" ref="K45">SUM(ABS(K28:K44))/COUNT(K28:K44)</f>
        <v>9.0910598719276925E-2</v>
      </c>
      <c r="L45" s="107" cm="1">
        <f t="array" ref="L45">SUM(ABS(L28:L44))/COUNT(L28:L44)</f>
        <v>9.6743853003360317E-2</v>
      </c>
      <c r="M45" s="107" cm="1">
        <f t="array" ref="M45">SUM(ABS(M28:M44))/COUNT(M28:M44)</f>
        <v>7.6602039350330831E-2</v>
      </c>
      <c r="N45" s="107" cm="1">
        <f t="array" ref="N45">SUM(ABS(N28:N44))/COUNT(N28:N44)</f>
        <v>0.1016618269703044</v>
      </c>
      <c r="O45" s="107" cm="1">
        <f t="array" ref="O45">SUM(ABS(O28:O44))/COUNT(O28:O44)</f>
        <v>0.10420568301922029</v>
      </c>
      <c r="P45" s="107" cm="1">
        <f t="array" ref="P45">SUM(ABS(P28:P44))/COUNT(P28:P44)</f>
        <v>7.0170160244528879E-2</v>
      </c>
      <c r="Q45" s="107" cm="1">
        <f t="array" ref="Q45">SUM(ABS(Q28:Q44))/COUNT(Q28:Q44)</f>
        <v>7.0119626245678607E-2</v>
      </c>
      <c r="R45" s="113" cm="1">
        <f t="array" ref="R45">SUM(ABS(R28:R44))/COUNT(R28:R44)</f>
        <v>6.0521382752684837E-2</v>
      </c>
    </row>
    <row r="46" spans="1:18" x14ac:dyDescent="0.2">
      <c r="A46" s="178" t="s">
        <v>79</v>
      </c>
      <c r="B46" s="178"/>
      <c r="C46" s="175"/>
      <c r="D46" s="176"/>
      <c r="E46" s="75" cm="1">
        <f t="array" ref="E46">SQRT(SUM(POWER(E28:E44,2))/COUNT(E28:E44))</f>
        <v>0.10719135642682465</v>
      </c>
      <c r="F46" s="108" cm="1">
        <f t="array" ref="F46">SQRT(SUM(POWER(F28:F44,2))/COUNT(F28:F44))</f>
        <v>0.10959197951057165</v>
      </c>
      <c r="G46" s="110" cm="1">
        <f t="array" ref="G46">SQRT(SUM(POWER(G28:G44,2))/COUNT(G28:G44))</f>
        <v>6.5301712097962608E-2</v>
      </c>
      <c r="H46" s="108" cm="1">
        <f t="array" ref="H46">SQRT(SUM(POWER(H28:H44,2))/COUNT(H28:H44))</f>
        <v>9.5284104198995884E-2</v>
      </c>
      <c r="I46" s="108" cm="1">
        <f t="array" ref="I46">SQRT(SUM(POWER(I28:I44,2))/COUNT(I28:I44))</f>
        <v>0.18158843528545404</v>
      </c>
      <c r="J46" s="110" cm="1">
        <f t="array" ref="J46">SQRT(SUM(POWER(J28:J44,2))/COUNT(J28:J44))</f>
        <v>6.7509358809164324E-2</v>
      </c>
      <c r="K46" s="108" cm="1">
        <f t="array" ref="K46">SQRT(SUM(POWER(K28:K44,2))/COUNT(K28:K44))</f>
        <v>0.11748359547298423</v>
      </c>
      <c r="L46" s="108" cm="1">
        <f t="array" ref="L46">SQRT(SUM(POWER(L28:L44,2))/COUNT(L28:L44))</f>
        <v>0.11918990548636768</v>
      </c>
      <c r="M46" s="108" cm="1">
        <f t="array" ref="M46">SQRT(SUM(POWER(M28:M44,2))/COUNT(M28:M44))</f>
        <v>8.9864982171742921E-2</v>
      </c>
      <c r="N46" s="108" cm="1">
        <f t="array" ref="N46">SQRT(SUM(POWER(N28:N44,2))/COUNT(N28:N44))</f>
        <v>0.12682919515619742</v>
      </c>
      <c r="O46" s="108" cm="1">
        <f t="array" ref="O46">SQRT(SUM(POWER(O28:O44,2))/COUNT(O28:O44))</f>
        <v>0.13164762801413268</v>
      </c>
      <c r="P46" s="108" cm="1">
        <f t="array" ref="P46">SQRT(SUM(POWER(P28:P44,2))/COUNT(P28:P44))</f>
        <v>9.0833072939552603E-2</v>
      </c>
      <c r="Q46" s="108" cm="1">
        <f t="array" ref="Q46">SQRT(SUM(POWER(Q28:Q44,2))/COUNT(Q28:Q44))</f>
        <v>9.1336203483572909E-2</v>
      </c>
      <c r="R46" s="114" cm="1">
        <f t="array" ref="R46">SQRT(SUM(POWER(R28:R44,2))/COUNT(R28:R44))</f>
        <v>7.4088860281622038E-2</v>
      </c>
    </row>
    <row r="47" spans="1:18" x14ac:dyDescent="0.2">
      <c r="I47" s="3"/>
      <c r="J47" s="3"/>
      <c r="R47" s="3"/>
    </row>
    <row r="48" spans="1:18" x14ac:dyDescent="0.2">
      <c r="B48" t="s">
        <v>158</v>
      </c>
      <c r="J48" s="3"/>
    </row>
  </sheetData>
  <mergeCells count="7">
    <mergeCell ref="A24:D24"/>
    <mergeCell ref="A4:B4"/>
    <mergeCell ref="A26:B26"/>
    <mergeCell ref="C45:D45"/>
    <mergeCell ref="C46:D46"/>
    <mergeCell ref="A45:B45"/>
    <mergeCell ref="A46:B4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46E01-FCEE-49F0-80B2-AA1066C7B862}">
  <dimension ref="A1:Q45"/>
  <sheetViews>
    <sheetView zoomScale="85" zoomScaleNormal="85" workbookViewId="0">
      <selection activeCell="M17" sqref="M17"/>
    </sheetView>
  </sheetViews>
  <sheetFormatPr defaultRowHeight="12.75" x14ac:dyDescent="0.2"/>
  <cols>
    <col min="1" max="1" width="9.140625" style="68"/>
    <col min="3" max="3" width="13" bestFit="1" customWidth="1"/>
    <col min="4" max="4" width="8.85546875" customWidth="1"/>
    <col min="5" max="5" width="6.42578125" customWidth="1"/>
    <col min="6" max="6" width="8.5703125" bestFit="1" customWidth="1"/>
    <col min="7" max="7" width="14.5703125" bestFit="1" customWidth="1"/>
    <col min="8" max="8" width="8.28515625" bestFit="1" customWidth="1"/>
    <col min="9" max="9" width="7.5703125" bestFit="1" customWidth="1"/>
    <col min="10" max="10" width="12" bestFit="1" customWidth="1"/>
    <col min="11" max="11" width="12.5703125" bestFit="1" customWidth="1"/>
    <col min="12" max="12" width="7.42578125" bestFit="1" customWidth="1"/>
    <col min="13" max="13" width="7.5703125" bestFit="1" customWidth="1"/>
  </cols>
  <sheetData>
    <row r="1" spans="1:17" x14ac:dyDescent="0.2">
      <c r="A1" s="68" t="s">
        <v>104</v>
      </c>
      <c r="B1" t="s">
        <v>84</v>
      </c>
    </row>
    <row r="2" spans="1:17" x14ac:dyDescent="0.2">
      <c r="A2" s="68" t="s">
        <v>99</v>
      </c>
      <c r="B2" t="s">
        <v>82</v>
      </c>
    </row>
    <row r="3" spans="1:17" x14ac:dyDescent="0.2">
      <c r="A3" s="68" t="s">
        <v>100</v>
      </c>
      <c r="B3" t="s">
        <v>147</v>
      </c>
    </row>
    <row r="4" spans="1:17" x14ac:dyDescent="0.2">
      <c r="A4" s="68" t="s">
        <v>101</v>
      </c>
      <c r="B4" t="s">
        <v>166</v>
      </c>
      <c r="O4" s="6"/>
      <c r="P4" s="6"/>
      <c r="Q4" s="6"/>
    </row>
    <row r="5" spans="1:17" x14ac:dyDescent="0.2">
      <c r="O5" s="6"/>
      <c r="P5" s="6"/>
      <c r="Q5" s="6"/>
    </row>
    <row r="6" spans="1:17" x14ac:dyDescent="0.2">
      <c r="O6" s="6"/>
      <c r="P6" s="6"/>
      <c r="Q6" s="6"/>
    </row>
    <row r="7" spans="1:17" x14ac:dyDescent="0.2">
      <c r="A7" s="68" t="s">
        <v>102</v>
      </c>
      <c r="B7" s="179" t="s">
        <v>83</v>
      </c>
      <c r="C7" s="179"/>
      <c r="D7" s="179" t="s">
        <v>112</v>
      </c>
      <c r="E7" s="179"/>
      <c r="F7" s="179"/>
      <c r="G7" s="179"/>
      <c r="H7" s="179"/>
      <c r="I7" s="179"/>
      <c r="J7" s="179"/>
      <c r="K7" s="179"/>
      <c r="L7" s="179"/>
      <c r="M7" s="179"/>
      <c r="N7" s="179"/>
      <c r="O7" s="6"/>
      <c r="P7" s="6"/>
      <c r="Q7" s="6"/>
    </row>
    <row r="8" spans="1:17" ht="15" x14ac:dyDescent="0.2">
      <c r="A8" s="68" t="s">
        <v>60</v>
      </c>
      <c r="C8" s="72" t="s">
        <v>85</v>
      </c>
      <c r="D8" s="72" t="s">
        <v>86</v>
      </c>
      <c r="E8" s="72" t="s">
        <v>87</v>
      </c>
      <c r="F8" s="72" t="s">
        <v>88</v>
      </c>
      <c r="G8" s="72" t="s">
        <v>89</v>
      </c>
      <c r="H8" s="72" t="s">
        <v>90</v>
      </c>
      <c r="I8" s="72" t="s">
        <v>91</v>
      </c>
      <c r="J8" s="72" t="s">
        <v>92</v>
      </c>
      <c r="K8" s="72" t="s">
        <v>93</v>
      </c>
      <c r="L8" s="72" t="s">
        <v>94</v>
      </c>
      <c r="M8" s="72" t="s">
        <v>95</v>
      </c>
      <c r="O8" s="6"/>
      <c r="P8" s="6"/>
      <c r="Q8" s="6"/>
    </row>
    <row r="9" spans="1:17" ht="15" x14ac:dyDescent="0.2">
      <c r="B9" s="72" t="s">
        <v>96</v>
      </c>
      <c r="C9" s="2">
        <v>7.8324777003182605E-2</v>
      </c>
      <c r="D9" s="2">
        <v>6.728416150058876E-2</v>
      </c>
      <c r="E9" s="2">
        <v>9.1896544455505214E-2</v>
      </c>
      <c r="F9" s="2">
        <v>6.4086385102358298E-2</v>
      </c>
      <c r="G9" s="2">
        <v>7.009947200716983E-2</v>
      </c>
      <c r="H9" s="2">
        <v>9.3468295607933641E-2</v>
      </c>
      <c r="I9" s="2">
        <v>9.3714676803847957E-2</v>
      </c>
      <c r="J9" s="2">
        <v>6.9731430486132839E-2</v>
      </c>
      <c r="K9" s="2">
        <v>9.4845270322564429E-2</v>
      </c>
      <c r="L9" s="2">
        <v>9.0111672452493768E-2</v>
      </c>
      <c r="M9" s="2">
        <v>0.2065272299898758</v>
      </c>
      <c r="O9" s="6"/>
      <c r="P9" s="6"/>
      <c r="Q9" s="6"/>
    </row>
    <row r="10" spans="1:17" ht="15" x14ac:dyDescent="0.2">
      <c r="B10" s="72" t="s">
        <v>97</v>
      </c>
      <c r="C10" s="2">
        <v>8.8585620627709458E-2</v>
      </c>
      <c r="D10" s="2">
        <v>8.5221092680516933E-2</v>
      </c>
      <c r="E10" s="2">
        <v>0.13381173962839779</v>
      </c>
      <c r="F10" s="2">
        <v>8.1886170506820288E-2</v>
      </c>
      <c r="G10" s="2">
        <v>8.7102004713704592E-2</v>
      </c>
      <c r="H10" s="2">
        <v>0.139094910418603</v>
      </c>
      <c r="I10" s="2">
        <v>0.1400075319182614</v>
      </c>
      <c r="J10" s="2">
        <v>9.0912065993920432E-2</v>
      </c>
      <c r="K10" s="2">
        <v>0.15781781789338781</v>
      </c>
      <c r="L10" s="2">
        <v>0.1288574504250109</v>
      </c>
      <c r="M10" s="2">
        <v>0.47810424229146792</v>
      </c>
      <c r="O10" s="6"/>
      <c r="P10" s="6"/>
      <c r="Q10" s="6"/>
    </row>
    <row r="11" spans="1:17" ht="15" x14ac:dyDescent="0.2">
      <c r="B11" s="72" t="s">
        <v>98</v>
      </c>
      <c r="C11" s="2">
        <v>6.6773504273504258E-2</v>
      </c>
      <c r="D11" s="2">
        <v>2.85517861842105E-2</v>
      </c>
      <c r="E11" s="2">
        <v>3.7736401767685002E-2</v>
      </c>
      <c r="F11" s="2">
        <v>5.9227432865789131E-2</v>
      </c>
      <c r="G11" s="2">
        <v>5.2295439201898719E-2</v>
      </c>
      <c r="H11" s="2">
        <v>3.696197479164931E-2</v>
      </c>
      <c r="I11" s="2">
        <v>3.309679745495131E-2</v>
      </c>
      <c r="J11" s="2">
        <v>5.014508324914968E-2</v>
      </c>
      <c r="K11" s="2">
        <v>5.2213920322081053E-2</v>
      </c>
      <c r="L11" s="2">
        <v>5.925670293959473E-2</v>
      </c>
      <c r="M11" s="2">
        <v>6.6685444378105974E-2</v>
      </c>
      <c r="O11" s="6"/>
      <c r="P11" s="6"/>
      <c r="Q11" s="6"/>
    </row>
    <row r="12" spans="1:17" x14ac:dyDescent="0.2">
      <c r="O12" s="6"/>
      <c r="P12" s="6"/>
      <c r="Q12" s="6"/>
    </row>
    <row r="13" spans="1:17" x14ac:dyDescent="0.2">
      <c r="O13" s="6"/>
      <c r="P13" s="6"/>
      <c r="Q13" s="6"/>
    </row>
    <row r="14" spans="1:17" ht="15" x14ac:dyDescent="0.2">
      <c r="A14" s="68" t="s">
        <v>174</v>
      </c>
      <c r="C14" s="72" t="s">
        <v>85</v>
      </c>
      <c r="D14" s="72" t="s">
        <v>86</v>
      </c>
      <c r="E14" s="72" t="s">
        <v>87</v>
      </c>
      <c r="F14" s="72" t="s">
        <v>88</v>
      </c>
      <c r="G14" s="72" t="s">
        <v>89</v>
      </c>
      <c r="H14" s="72" t="s">
        <v>90</v>
      </c>
      <c r="I14" s="72" t="s">
        <v>91</v>
      </c>
      <c r="J14" s="72" t="s">
        <v>92</v>
      </c>
      <c r="K14" s="72" t="s">
        <v>93</v>
      </c>
      <c r="L14" s="72" t="s">
        <v>94</v>
      </c>
      <c r="M14" s="72" t="s">
        <v>95</v>
      </c>
      <c r="O14" s="6"/>
      <c r="P14" s="6"/>
      <c r="Q14" s="6"/>
    </row>
    <row r="15" spans="1:17" ht="15" x14ac:dyDescent="0.2">
      <c r="B15" s="72" t="s">
        <v>96</v>
      </c>
      <c r="C15" s="2">
        <v>6.8845711821718031E-2</v>
      </c>
      <c r="D15" s="2">
        <v>6.7827047500654186E-2</v>
      </c>
      <c r="E15" s="2">
        <v>6.4227507328551051E-2</v>
      </c>
      <c r="F15" s="2">
        <v>5.6610850969214213E-2</v>
      </c>
      <c r="G15" s="2">
        <v>6.4502241292958479E-2</v>
      </c>
      <c r="H15" s="2">
        <v>6.4900065374751501E-2</v>
      </c>
      <c r="I15" s="2">
        <v>6.5642439640737349E-2</v>
      </c>
      <c r="J15" s="2">
        <v>6.0936333025730732E-2</v>
      </c>
      <c r="K15" s="2">
        <v>7.7931922264943471E-2</v>
      </c>
      <c r="L15" s="2">
        <v>6.6512090476690558E-2</v>
      </c>
      <c r="M15" s="2">
        <v>6.912041997939479E-2</v>
      </c>
      <c r="O15" s="6"/>
      <c r="P15" s="6"/>
      <c r="Q15" s="6"/>
    </row>
    <row r="16" spans="1:17" ht="15" x14ac:dyDescent="0.2">
      <c r="B16" s="72" t="s">
        <v>97</v>
      </c>
      <c r="C16" s="2">
        <v>7.5790106592580467E-2</v>
      </c>
      <c r="D16" s="2">
        <v>8.7360154361114481E-2</v>
      </c>
      <c r="E16" s="2">
        <v>7.4881439505257497E-2</v>
      </c>
      <c r="F16" s="2">
        <v>6.6577731663344408E-2</v>
      </c>
      <c r="G16" s="2">
        <v>7.51459128313232E-2</v>
      </c>
      <c r="H16" s="2">
        <v>7.5477315076791993E-2</v>
      </c>
      <c r="I16" s="2">
        <v>7.6790889258927311E-2</v>
      </c>
      <c r="J16" s="2">
        <v>6.9089135332120161E-2</v>
      </c>
      <c r="K16" s="2">
        <v>9.0304522604401999E-2</v>
      </c>
      <c r="L16" s="2">
        <v>7.9173854492332149E-2</v>
      </c>
      <c r="M16" s="2">
        <v>8.142993135446136E-2</v>
      </c>
      <c r="O16" s="6"/>
      <c r="P16" s="6"/>
      <c r="Q16" s="6"/>
    </row>
    <row r="17" spans="1:17" ht="15" x14ac:dyDescent="0.2">
      <c r="B17" s="72" t="s">
        <v>98</v>
      </c>
      <c r="C17" s="2">
        <v>6.944444444444442E-2</v>
      </c>
      <c r="D17" s="2">
        <v>2.7364572368421051E-2</v>
      </c>
      <c r="E17" s="2">
        <v>4.4301875530341712E-2</v>
      </c>
      <c r="F17" s="2">
        <v>6.5155246101158859E-2</v>
      </c>
      <c r="G17" s="2">
        <v>5.5530197166084212E-2</v>
      </c>
      <c r="H17" s="2">
        <v>4.8765112509088882E-2</v>
      </c>
      <c r="I17" s="2">
        <v>4.4207025720800042E-2</v>
      </c>
      <c r="J17" s="2">
        <v>6.0556282836423669E-2</v>
      </c>
      <c r="K17" s="2">
        <v>6.6551360688257288E-2</v>
      </c>
      <c r="L17" s="2">
        <v>5.7033762386947913E-2</v>
      </c>
      <c r="M17" s="2">
        <v>7.1427939283950082E-2</v>
      </c>
      <c r="O17" s="6"/>
      <c r="P17" s="6"/>
      <c r="Q17" s="6"/>
    </row>
    <row r="18" spans="1:17" x14ac:dyDescent="0.2">
      <c r="O18" s="6"/>
      <c r="P18" s="6"/>
      <c r="Q18" s="6"/>
    </row>
    <row r="19" spans="1:17" x14ac:dyDescent="0.2">
      <c r="O19" s="6"/>
      <c r="P19" s="6"/>
      <c r="Q19" s="6"/>
    </row>
    <row r="20" spans="1:17" x14ac:dyDescent="0.2">
      <c r="A20" s="68" t="s">
        <v>103</v>
      </c>
      <c r="B20" t="s">
        <v>139</v>
      </c>
      <c r="O20" s="6"/>
      <c r="P20" s="6"/>
      <c r="Q20" s="6"/>
    </row>
    <row r="21" spans="1:17" x14ac:dyDescent="0.2">
      <c r="B21" t="s">
        <v>140</v>
      </c>
      <c r="H21" s="69" t="s">
        <v>106</v>
      </c>
      <c r="O21" s="6"/>
      <c r="P21" s="6"/>
      <c r="Q21" s="6"/>
    </row>
    <row r="22" spans="1:17" x14ac:dyDescent="0.2">
      <c r="H22" s="69"/>
      <c r="O22" s="6"/>
      <c r="P22" s="6"/>
      <c r="Q22" s="6"/>
    </row>
    <row r="23" spans="1:17" x14ac:dyDescent="0.2">
      <c r="O23" s="6"/>
      <c r="P23" s="6"/>
      <c r="Q23" s="6"/>
    </row>
    <row r="24" spans="1:17" x14ac:dyDescent="0.2">
      <c r="O24" s="6"/>
      <c r="P24" s="6"/>
      <c r="Q24" s="6"/>
    </row>
    <row r="25" spans="1:17" x14ac:dyDescent="0.2">
      <c r="A25" s="68" t="s">
        <v>105</v>
      </c>
      <c r="B25" s="180" t="s">
        <v>108</v>
      </c>
      <c r="C25" s="180"/>
      <c r="D25" s="180"/>
      <c r="E25" s="180"/>
      <c r="F25" s="67" t="e">
        <f>#REF!+#REF!*'2. Past Proj &amp; Candidate Model'!R22</f>
        <v>#REF!</v>
      </c>
      <c r="G25" s="70" t="s">
        <v>109</v>
      </c>
      <c r="H25" s="2" t="e">
        <f>'2. Past Proj &amp; Candidate Model'!S22/'3. Improved Alpha Model'!F25-1</f>
        <v>#REF!</v>
      </c>
      <c r="O25" s="6"/>
      <c r="P25" s="6"/>
      <c r="Q25" s="6"/>
    </row>
    <row r="26" spans="1:17" x14ac:dyDescent="0.2">
      <c r="O26" s="6"/>
      <c r="P26" s="6"/>
      <c r="Q26" s="6"/>
    </row>
    <row r="27" spans="1:17" x14ac:dyDescent="0.2">
      <c r="O27" s="6"/>
      <c r="P27" s="6"/>
      <c r="Q27" s="6"/>
    </row>
    <row r="28" spans="1:17" x14ac:dyDescent="0.2">
      <c r="O28" s="6"/>
      <c r="P28" s="6"/>
      <c r="Q28" s="6"/>
    </row>
    <row r="29" spans="1:17" x14ac:dyDescent="0.2">
      <c r="B29" s="181" t="s">
        <v>159</v>
      </c>
      <c r="C29" s="181"/>
      <c r="D29" s="181"/>
      <c r="E29" s="3">
        <f>C9</f>
        <v>7.8324777003182605E-2</v>
      </c>
      <c r="F29" t="s">
        <v>110</v>
      </c>
      <c r="G29" s="181" t="s">
        <v>111</v>
      </c>
      <c r="H29" s="181"/>
      <c r="I29" s="3" t="e">
        <f>#REF!</f>
        <v>#REF!</v>
      </c>
      <c r="O29" s="6"/>
      <c r="P29" s="6"/>
      <c r="Q29" s="6"/>
    </row>
    <row r="30" spans="1:17" x14ac:dyDescent="0.2">
      <c r="O30" s="6"/>
      <c r="P30" s="6"/>
      <c r="Q30" s="6"/>
    </row>
    <row r="31" spans="1:17" x14ac:dyDescent="0.2">
      <c r="O31" s="6"/>
      <c r="P31" s="6"/>
      <c r="Q31" s="6"/>
    </row>
    <row r="32" spans="1:17" x14ac:dyDescent="0.2">
      <c r="A32" s="68" t="s">
        <v>107</v>
      </c>
      <c r="B32" t="s">
        <v>113</v>
      </c>
      <c r="O32" s="6"/>
      <c r="P32" s="6"/>
      <c r="Q32" s="6"/>
    </row>
    <row r="33" spans="2:17" x14ac:dyDescent="0.2">
      <c r="B33" t="s">
        <v>114</v>
      </c>
      <c r="O33" s="6"/>
      <c r="P33" s="6"/>
      <c r="Q33" s="6"/>
    </row>
    <row r="34" spans="2:17" x14ac:dyDescent="0.2">
      <c r="B34" t="s">
        <v>115</v>
      </c>
      <c r="O34" s="6"/>
      <c r="P34" s="6"/>
      <c r="Q34" s="6"/>
    </row>
    <row r="35" spans="2:17" x14ac:dyDescent="0.2">
      <c r="B35" t="s">
        <v>116</v>
      </c>
      <c r="O35" s="6"/>
      <c r="P35" s="6"/>
      <c r="Q35" s="6"/>
    </row>
    <row r="36" spans="2:17" x14ac:dyDescent="0.2">
      <c r="B36" t="s">
        <v>117</v>
      </c>
      <c r="O36" s="6"/>
      <c r="P36" s="6"/>
      <c r="Q36" s="6"/>
    </row>
    <row r="37" spans="2:17" x14ac:dyDescent="0.2">
      <c r="B37" t="s">
        <v>118</v>
      </c>
      <c r="O37" s="6"/>
      <c r="P37" s="6"/>
      <c r="Q37" s="6"/>
    </row>
    <row r="38" spans="2:17" x14ac:dyDescent="0.2">
      <c r="B38" t="s">
        <v>119</v>
      </c>
      <c r="O38" s="6"/>
      <c r="P38" s="6"/>
      <c r="Q38" s="6"/>
    </row>
    <row r="39" spans="2:17" x14ac:dyDescent="0.2">
      <c r="B39" t="s">
        <v>120</v>
      </c>
      <c r="O39" s="6"/>
      <c r="P39" s="6"/>
      <c r="Q39" s="6"/>
    </row>
    <row r="40" spans="2:17" x14ac:dyDescent="0.2">
      <c r="B40" t="s">
        <v>121</v>
      </c>
      <c r="O40" s="6"/>
      <c r="P40" s="6"/>
      <c r="Q40" s="6"/>
    </row>
    <row r="41" spans="2:17" x14ac:dyDescent="0.2">
      <c r="B41" t="s">
        <v>122</v>
      </c>
      <c r="O41" s="6"/>
      <c r="P41" s="6"/>
      <c r="Q41" s="6"/>
    </row>
    <row r="42" spans="2:17" x14ac:dyDescent="0.2">
      <c r="O42" s="6"/>
      <c r="P42" s="6"/>
      <c r="Q42" s="6"/>
    </row>
    <row r="43" spans="2:17" x14ac:dyDescent="0.2">
      <c r="O43" s="6"/>
      <c r="P43" s="6"/>
      <c r="Q43" s="6"/>
    </row>
    <row r="44" spans="2:17" x14ac:dyDescent="0.2">
      <c r="O44" s="6"/>
      <c r="P44" s="6"/>
    </row>
    <row r="45" spans="2:17" x14ac:dyDescent="0.2">
      <c r="O45" s="6"/>
      <c r="P45" s="6"/>
    </row>
  </sheetData>
  <mergeCells count="5">
    <mergeCell ref="D7:N7"/>
    <mergeCell ref="B7:C7"/>
    <mergeCell ref="B25:E25"/>
    <mergeCell ref="B29:D29"/>
    <mergeCell ref="G29:H29"/>
  </mergeCells>
  <conditionalFormatting sqref="C9:K9">
    <cfRule type="colorScale" priority="8">
      <colorScale>
        <cfvo type="min"/>
        <cfvo type="max"/>
        <color rgb="FF63BE7B"/>
        <color rgb="FFFCFCFF"/>
      </colorScale>
    </cfRule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0:K10">
    <cfRule type="colorScale" priority="7">
      <colorScale>
        <cfvo type="min"/>
        <cfvo type="max"/>
        <color rgb="FF63BE7B"/>
        <color rgb="FFFCFCFF"/>
      </colorScale>
    </cfRule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5:K15">
    <cfRule type="colorScale" priority="6">
      <colorScale>
        <cfvo type="min"/>
        <cfvo type="max"/>
        <color rgb="FF63BE7B"/>
        <color rgb="FFFCFCFF"/>
      </colorScale>
    </cfRule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6:K16">
    <cfRule type="colorScale" priority="5">
      <colorScale>
        <cfvo type="min"/>
        <cfvo type="max"/>
        <color rgb="FF63BE7B"/>
        <color rgb="FFFCFCFF"/>
      </colorScale>
    </cfRule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7F763-2C58-4893-AC1B-19A7BE0B0DA5}">
  <dimension ref="A1:Y48"/>
  <sheetViews>
    <sheetView zoomScale="85" zoomScaleNormal="85" workbookViewId="0">
      <selection activeCell="C45" sqref="C45"/>
    </sheetView>
  </sheetViews>
  <sheetFormatPr defaultRowHeight="12.75" x14ac:dyDescent="0.2"/>
  <cols>
    <col min="1" max="1" width="9.140625" style="68"/>
    <col min="3" max="3" width="18.5703125" customWidth="1"/>
    <col min="4" max="13" width="14.7109375" customWidth="1"/>
    <col min="18" max="18" width="15.42578125" customWidth="1"/>
    <col min="23" max="23" width="22.5703125" customWidth="1"/>
  </cols>
  <sheetData>
    <row r="1" spans="1:25" x14ac:dyDescent="0.2">
      <c r="A1" s="68" t="s">
        <v>124</v>
      </c>
      <c r="B1" t="s">
        <v>84</v>
      </c>
    </row>
    <row r="2" spans="1:25" x14ac:dyDescent="0.2">
      <c r="A2" s="68" t="s">
        <v>99</v>
      </c>
      <c r="B2" s="76" t="s">
        <v>160</v>
      </c>
      <c r="C2" s="77" t="str">
        <f>F5</f>
        <v>LR_CON</v>
      </c>
      <c r="D2" t="s">
        <v>161</v>
      </c>
    </row>
    <row r="4" spans="1:25" x14ac:dyDescent="0.2">
      <c r="A4" s="68" t="s">
        <v>100</v>
      </c>
      <c r="B4" t="s">
        <v>123</v>
      </c>
    </row>
    <row r="5" spans="1:25" ht="15" x14ac:dyDescent="0.2">
      <c r="A5" s="68" t="s">
        <v>171</v>
      </c>
      <c r="C5" s="72" t="s">
        <v>85</v>
      </c>
      <c r="D5" s="72" t="s">
        <v>86</v>
      </c>
      <c r="E5" s="72" t="s">
        <v>87</v>
      </c>
      <c r="F5" s="72" t="s">
        <v>88</v>
      </c>
      <c r="G5" s="72" t="s">
        <v>89</v>
      </c>
      <c r="H5" s="72" t="s">
        <v>90</v>
      </c>
      <c r="I5" s="72" t="s">
        <v>91</v>
      </c>
      <c r="J5" s="72" t="s">
        <v>92</v>
      </c>
      <c r="K5" s="72" t="s">
        <v>93</v>
      </c>
      <c r="L5" s="72" t="s">
        <v>94</v>
      </c>
      <c r="M5" s="72" t="s">
        <v>95</v>
      </c>
    </row>
    <row r="6" spans="1:25" ht="15" x14ac:dyDescent="0.2">
      <c r="B6" s="72" t="s">
        <v>96</v>
      </c>
      <c r="C6" s="2">
        <v>6.1961140639546233E-2</v>
      </c>
      <c r="D6" s="2">
        <v>8.2588479240839452E-2</v>
      </c>
      <c r="E6" s="2">
        <v>7.2487479159302134E-2</v>
      </c>
      <c r="F6" s="2">
        <v>5.3427856387895538E-2</v>
      </c>
      <c r="G6" s="2">
        <v>6.6909944622007306E-2</v>
      </c>
      <c r="H6" s="2">
        <v>7.2666292327732862E-2</v>
      </c>
      <c r="I6" s="2">
        <v>7.3739149133358023E-2</v>
      </c>
      <c r="J6" s="2">
        <v>6.3721847327270514E-2</v>
      </c>
      <c r="K6" s="2">
        <v>7.8895932971364158E-2</v>
      </c>
      <c r="L6" s="2">
        <v>7.6968443292882854E-2</v>
      </c>
      <c r="M6" s="2">
        <v>8.3756039608835875E-2</v>
      </c>
    </row>
    <row r="7" spans="1:25" ht="15" x14ac:dyDescent="0.2">
      <c r="B7" s="72" t="s">
        <v>97</v>
      </c>
      <c r="C7" s="2">
        <v>7.1900808281849221E-2</v>
      </c>
      <c r="D7" s="2">
        <v>0.1072852044044447</v>
      </c>
      <c r="E7" s="2">
        <v>8.4866544662428003E-2</v>
      </c>
      <c r="F7" s="2">
        <v>6.3645457372289077E-2</v>
      </c>
      <c r="G7" s="2">
        <v>7.6595340473820661E-2</v>
      </c>
      <c r="H7" s="2">
        <v>8.461409170714615E-2</v>
      </c>
      <c r="I7" s="2">
        <v>8.6351561470842872E-2</v>
      </c>
      <c r="J7" s="2">
        <v>7.1304771092839531E-2</v>
      </c>
      <c r="K7" s="2">
        <v>9.0035005162495615E-2</v>
      </c>
      <c r="L7" s="2">
        <v>9.2565306896882887E-2</v>
      </c>
      <c r="M7" s="2">
        <v>0.103008580052508</v>
      </c>
    </row>
    <row r="8" spans="1:25" ht="15" x14ac:dyDescent="0.2">
      <c r="B8" s="72" t="s">
        <v>98</v>
      </c>
      <c r="C8" s="2">
        <v>6.6773504273504258E-2</v>
      </c>
      <c r="D8" s="2">
        <v>1.273698355263159E-2</v>
      </c>
      <c r="E8" s="2">
        <v>4.2512343324672242E-2</v>
      </c>
      <c r="F8" s="2">
        <v>5.8120641378081823E-2</v>
      </c>
      <c r="G8" s="2">
        <v>4.1735028796473173E-2</v>
      </c>
      <c r="H8" s="2">
        <v>4.5757344210928919E-2</v>
      </c>
      <c r="I8" s="2">
        <v>3.9580559511934947E-2</v>
      </c>
      <c r="J8" s="2">
        <v>4.9564351877782409E-2</v>
      </c>
      <c r="K8" s="2">
        <v>6.5343870879474575E-2</v>
      </c>
      <c r="L8" s="2">
        <v>5.2703417440532203E-2</v>
      </c>
      <c r="M8" s="2">
        <v>6.6685444378105974E-2</v>
      </c>
    </row>
    <row r="10" spans="1:25" ht="15" x14ac:dyDescent="0.2">
      <c r="A10" s="68" t="s">
        <v>101</v>
      </c>
      <c r="B10" s="73" t="s">
        <v>162</v>
      </c>
    </row>
    <row r="12" spans="1:25" x14ac:dyDescent="0.2">
      <c r="A12" s="68" t="s">
        <v>102</v>
      </c>
      <c r="B12" t="s">
        <v>138</v>
      </c>
    </row>
    <row r="13" spans="1:25" ht="15" x14ac:dyDescent="0.2">
      <c r="B13" s="72" t="s">
        <v>125</v>
      </c>
      <c r="C13" s="72" t="s">
        <v>126</v>
      </c>
      <c r="D13" s="72" t="s">
        <v>85</v>
      </c>
      <c r="E13" s="72" t="s">
        <v>86</v>
      </c>
      <c r="F13" s="72" t="s">
        <v>87</v>
      </c>
      <c r="G13" s="72" t="s">
        <v>88</v>
      </c>
      <c r="H13" s="72" t="s">
        <v>89</v>
      </c>
      <c r="I13" s="72" t="s">
        <v>90</v>
      </c>
      <c r="J13" s="72" t="s">
        <v>91</v>
      </c>
      <c r="K13" s="72" t="s">
        <v>92</v>
      </c>
      <c r="L13" s="72" t="s">
        <v>93</v>
      </c>
      <c r="M13" s="72" t="s">
        <v>94</v>
      </c>
      <c r="N13" s="72" t="s">
        <v>95</v>
      </c>
      <c r="O13" s="72" t="s">
        <v>127</v>
      </c>
      <c r="P13" s="72" t="s">
        <v>128</v>
      </c>
      <c r="Q13" s="72" t="s">
        <v>129</v>
      </c>
      <c r="R13" s="72" t="s">
        <v>130</v>
      </c>
      <c r="S13" s="72" t="s">
        <v>131</v>
      </c>
      <c r="T13" s="72" t="s">
        <v>132</v>
      </c>
      <c r="U13" s="72" t="s">
        <v>133</v>
      </c>
      <c r="V13" s="72" t="s">
        <v>134</v>
      </c>
      <c r="W13" s="72" t="s">
        <v>135</v>
      </c>
      <c r="X13" s="72" t="s">
        <v>136</v>
      </c>
      <c r="Y13" s="72" t="s">
        <v>137</v>
      </c>
    </row>
    <row r="14" spans="1:25" x14ac:dyDescent="0.2">
      <c r="B14" t="s">
        <v>169</v>
      </c>
      <c r="C14">
        <v>34</v>
      </c>
      <c r="D14">
        <v>32</v>
      </c>
      <c r="E14">
        <v>31.533428000000001</v>
      </c>
    </row>
    <row r="15" spans="1:25" x14ac:dyDescent="0.2">
      <c r="B15" t="s">
        <v>170</v>
      </c>
      <c r="C15">
        <v>34</v>
      </c>
      <c r="D15">
        <v>35</v>
      </c>
      <c r="E15">
        <v>34.437381000000002</v>
      </c>
    </row>
    <row r="16" spans="1:25" x14ac:dyDescent="0.2">
      <c r="B16" t="s">
        <v>167</v>
      </c>
      <c r="C16">
        <v>36</v>
      </c>
      <c r="D16">
        <v>34.6</v>
      </c>
      <c r="E16">
        <v>36.830663000000001</v>
      </c>
    </row>
    <row r="17" spans="2:25" x14ac:dyDescent="0.2">
      <c r="B17" t="s">
        <v>42</v>
      </c>
      <c r="C17">
        <v>35</v>
      </c>
      <c r="D17">
        <v>34.4</v>
      </c>
      <c r="E17">
        <v>33.452686999999997</v>
      </c>
    </row>
    <row r="18" spans="2:25" x14ac:dyDescent="0.2">
      <c r="B18" t="s">
        <v>43</v>
      </c>
      <c r="C18">
        <v>39</v>
      </c>
      <c r="D18">
        <v>36.9</v>
      </c>
      <c r="E18">
        <v>38.320472000000002</v>
      </c>
    </row>
    <row r="19" spans="2:25" x14ac:dyDescent="0.2">
      <c r="B19" t="s">
        <v>44</v>
      </c>
      <c r="C19">
        <v>37</v>
      </c>
      <c r="D19">
        <v>38.5</v>
      </c>
      <c r="E19">
        <v>39.809615000000001</v>
      </c>
    </row>
    <row r="20" spans="2:25" x14ac:dyDescent="0.2">
      <c r="B20" t="s">
        <v>45</v>
      </c>
      <c r="C20">
        <v>39</v>
      </c>
      <c r="D20">
        <v>38.4</v>
      </c>
      <c r="E20">
        <v>41.179220999999998</v>
      </c>
    </row>
    <row r="21" spans="2:25" x14ac:dyDescent="0.2">
      <c r="B21" t="s">
        <v>46</v>
      </c>
      <c r="C21">
        <v>36</v>
      </c>
      <c r="D21">
        <v>38.5</v>
      </c>
      <c r="E21">
        <v>40.737647000000003</v>
      </c>
      <c r="F21">
        <v>38.550846243442948</v>
      </c>
      <c r="G21">
        <v>38.345588859641722</v>
      </c>
      <c r="H21">
        <v>38.522217511316853</v>
      </c>
      <c r="I21">
        <v>38.425307046504969</v>
      </c>
      <c r="J21">
        <v>38.538923377391797</v>
      </c>
      <c r="K21">
        <v>38.383778635751163</v>
      </c>
      <c r="L21">
        <v>38.39584898477726</v>
      </c>
      <c r="M21">
        <v>38.651345801135903</v>
      </c>
      <c r="N21">
        <v>38.571405814222203</v>
      </c>
      <c r="O21" s="2">
        <v>6.944444444444442E-2</v>
      </c>
      <c r="P21" s="2">
        <v>0.1316013055555556</v>
      </c>
      <c r="Q21" s="2">
        <v>7.085684009563753E-2</v>
      </c>
      <c r="R21" s="2">
        <v>6.5155246101158859E-2</v>
      </c>
      <c r="S21" s="2">
        <v>7.0061597536579256E-2</v>
      </c>
      <c r="T21" s="2">
        <v>6.736964018069358E-2</v>
      </c>
      <c r="U21" s="2">
        <v>7.0525649371994348E-2</v>
      </c>
      <c r="V21" s="2">
        <v>6.6216073215309867E-2</v>
      </c>
      <c r="W21" s="2">
        <v>6.6551360688257288E-2</v>
      </c>
      <c r="X21" s="2">
        <v>7.3648494475997417E-2</v>
      </c>
      <c r="Y21" s="2">
        <v>7.1427939283950082E-2</v>
      </c>
    </row>
    <row r="22" spans="2:25" x14ac:dyDescent="0.2">
      <c r="B22" t="s">
        <v>47</v>
      </c>
      <c r="C22">
        <v>39</v>
      </c>
      <c r="D22">
        <v>41.5</v>
      </c>
      <c r="E22">
        <v>37.105825000000003</v>
      </c>
      <c r="F22">
        <v>36.279384560383818</v>
      </c>
      <c r="G22">
        <v>39.470658903983043</v>
      </c>
      <c r="H22">
        <v>34.611024130288172</v>
      </c>
      <c r="I22">
        <v>36.276986118295298</v>
      </c>
      <c r="J22">
        <v>36.276660903327333</v>
      </c>
      <c r="K22">
        <v>36.202726176721633</v>
      </c>
      <c r="L22">
        <v>36.276176697628387</v>
      </c>
      <c r="M22">
        <v>36.447542830199097</v>
      </c>
      <c r="N22">
        <v>36.636059066601213</v>
      </c>
      <c r="O22" s="2">
        <v>6.4102564102564097E-2</v>
      </c>
      <c r="P22" s="2">
        <v>-4.8568589743589692E-2</v>
      </c>
      <c r="Q22" s="2">
        <v>-6.9759370246568753E-2</v>
      </c>
      <c r="R22" s="2">
        <v>1.2068177025206021E-2</v>
      </c>
      <c r="S22" s="2">
        <v>-0.1125378428131238</v>
      </c>
      <c r="T22" s="2">
        <v>-6.982086876165905E-2</v>
      </c>
      <c r="U22" s="2">
        <v>-6.9829207606991628E-2</v>
      </c>
      <c r="V22" s="2">
        <v>-7.1724969827650642E-2</v>
      </c>
      <c r="W22" s="2">
        <v>-6.9841623137733677E-2</v>
      </c>
      <c r="X22" s="2">
        <v>-6.5447619738484675E-2</v>
      </c>
      <c r="Y22" s="2">
        <v>-6.061387008714858E-2</v>
      </c>
    </row>
    <row r="23" spans="2:25" x14ac:dyDescent="0.2">
      <c r="B23" t="s">
        <v>48</v>
      </c>
      <c r="C23">
        <v>38</v>
      </c>
      <c r="D23">
        <v>39.700000000000003</v>
      </c>
      <c r="E23">
        <v>37.928156999999999</v>
      </c>
      <c r="F23">
        <v>36.93767345897863</v>
      </c>
      <c r="G23">
        <v>38.253030202675887</v>
      </c>
      <c r="H23">
        <v>37.955782301717363</v>
      </c>
      <c r="I23">
        <v>36.910829483349907</v>
      </c>
      <c r="J23">
        <v>36.786906226229682</v>
      </c>
      <c r="K23">
        <v>37.757616107893909</v>
      </c>
      <c r="L23">
        <v>37.916465599563367</v>
      </c>
      <c r="M23">
        <v>37.373101610712688</v>
      </c>
      <c r="N23">
        <v>37.799355120954488</v>
      </c>
      <c r="O23" s="2">
        <v>4.4736842105263193E-2</v>
      </c>
      <c r="P23" s="2">
        <v>-1.890605263157874E-3</v>
      </c>
      <c r="Q23" s="2">
        <v>-2.7955961605825589E-2</v>
      </c>
      <c r="R23" s="2">
        <v>6.6586895441023142E-3</v>
      </c>
      <c r="S23" s="2">
        <v>-1.163623639016786E-3</v>
      </c>
      <c r="T23" s="2">
        <v>-2.8662382017107468E-2</v>
      </c>
      <c r="U23" s="2">
        <v>-3.1923520362377E-2</v>
      </c>
      <c r="V23" s="2">
        <v>-6.3785234764760501E-3</v>
      </c>
      <c r="W23" s="2">
        <v>-2.1982736957009141E-3</v>
      </c>
      <c r="X23" s="2">
        <v>-1.649732603387644E-2</v>
      </c>
      <c r="Y23" s="2">
        <v>-5.2801283959345016E-3</v>
      </c>
    </row>
    <row r="24" spans="2:25" x14ac:dyDescent="0.2">
      <c r="B24" t="s">
        <v>49</v>
      </c>
      <c r="C24">
        <v>36</v>
      </c>
      <c r="D24">
        <v>40.1</v>
      </c>
      <c r="E24">
        <v>39.157766000000002</v>
      </c>
      <c r="F24">
        <v>37.594867519092297</v>
      </c>
      <c r="G24">
        <v>38.420912522349518</v>
      </c>
      <c r="H24">
        <v>38.336478697823388</v>
      </c>
      <c r="I24">
        <v>37.538984732859682</v>
      </c>
      <c r="J24">
        <v>37.258347358910513</v>
      </c>
      <c r="K24">
        <v>38.180026182111263</v>
      </c>
      <c r="L24">
        <v>38.308909718544911</v>
      </c>
      <c r="M24">
        <v>37.741430609788203</v>
      </c>
      <c r="N24">
        <v>38.229946181001417</v>
      </c>
      <c r="O24" s="2">
        <v>0.1138888888888889</v>
      </c>
      <c r="P24" s="2">
        <v>8.7715722222222237E-2</v>
      </c>
      <c r="Q24" s="2">
        <v>4.4301875530341712E-2</v>
      </c>
      <c r="R24" s="2">
        <v>6.7247570065264606E-2</v>
      </c>
      <c r="S24" s="2">
        <v>6.4902186050649568E-2</v>
      </c>
      <c r="T24" s="2">
        <v>4.2749575912768963E-2</v>
      </c>
      <c r="U24" s="2">
        <v>3.4954093303069873E-2</v>
      </c>
      <c r="V24" s="2">
        <v>6.0556282836423669E-2</v>
      </c>
      <c r="W24" s="2">
        <v>6.4136381070691861E-2</v>
      </c>
      <c r="X24" s="2">
        <v>4.8373072494116487E-2</v>
      </c>
      <c r="Y24" s="2">
        <v>6.1942949472261873E-2</v>
      </c>
    </row>
    <row r="25" spans="2:25" x14ac:dyDescent="0.2">
      <c r="B25" t="s">
        <v>50</v>
      </c>
      <c r="C25">
        <v>32</v>
      </c>
      <c r="D25">
        <v>34.5</v>
      </c>
      <c r="E25">
        <v>37.041060999999999</v>
      </c>
      <c r="F25">
        <v>36.522724552224467</v>
      </c>
      <c r="G25">
        <v>35.365860741250692</v>
      </c>
      <c r="H25">
        <v>35.720813144427318</v>
      </c>
      <c r="I25">
        <v>36.526162667762662</v>
      </c>
      <c r="J25">
        <v>36.557782237178387</v>
      </c>
      <c r="K25">
        <v>35.821342096542928</v>
      </c>
      <c r="L25">
        <v>35.995416045153618</v>
      </c>
      <c r="M25">
        <v>36.999623897835221</v>
      </c>
      <c r="N25">
        <v>37.020454309333559</v>
      </c>
      <c r="O25" s="2">
        <v>7.8125E-2</v>
      </c>
      <c r="P25" s="2">
        <v>0.15753315625</v>
      </c>
      <c r="Q25" s="2">
        <v>0.1413351422570146</v>
      </c>
      <c r="R25" s="2">
        <v>0.1051831481640839</v>
      </c>
      <c r="S25" s="2">
        <v>0.1162754107633539</v>
      </c>
      <c r="T25" s="2">
        <v>0.141442583367583</v>
      </c>
      <c r="U25" s="2">
        <v>0.14243069491182461</v>
      </c>
      <c r="V25" s="2">
        <v>0.1194169405169667</v>
      </c>
      <c r="W25" s="2">
        <v>0.1248567514110506</v>
      </c>
      <c r="X25" s="2">
        <v>0.15623824680735071</v>
      </c>
      <c r="Y25" s="2">
        <v>0.15688919716667371</v>
      </c>
    </row>
    <row r="26" spans="2:25" x14ac:dyDescent="0.2">
      <c r="B26" t="s">
        <v>52</v>
      </c>
      <c r="C26">
        <v>33</v>
      </c>
      <c r="D26">
        <v>32.5</v>
      </c>
      <c r="E26">
        <v>37.015242000000001</v>
      </c>
      <c r="F26">
        <v>36.131835786299121</v>
      </c>
      <c r="G26">
        <v>33.740277385175133</v>
      </c>
      <c r="H26">
        <v>33.917913187207759</v>
      </c>
      <c r="I26">
        <v>36.140180290205912</v>
      </c>
      <c r="J26">
        <v>36.141397417632326</v>
      </c>
      <c r="K26">
        <v>34.272889890331648</v>
      </c>
      <c r="L26">
        <v>35.237971313157097</v>
      </c>
      <c r="M26">
        <v>36.161672777296992</v>
      </c>
      <c r="N26">
        <v>36.172481205828937</v>
      </c>
      <c r="O26" s="2">
        <v>-1.515151515151514E-2</v>
      </c>
      <c r="P26" s="2">
        <v>0.1216740000000001</v>
      </c>
      <c r="Q26" s="2">
        <v>9.4904114736336975E-2</v>
      </c>
      <c r="R26" s="2">
        <v>2.243264803561007E-2</v>
      </c>
      <c r="S26" s="2">
        <v>2.7815551127507779E-2</v>
      </c>
      <c r="T26" s="2">
        <v>9.5156978491088173E-2</v>
      </c>
      <c r="U26" s="2">
        <v>9.5193861140373759E-2</v>
      </c>
      <c r="V26" s="2">
        <v>3.8572420919141148E-2</v>
      </c>
      <c r="W26" s="2">
        <v>6.7817312519912187E-2</v>
      </c>
      <c r="X26" s="2">
        <v>9.5808265978696516E-2</v>
      </c>
      <c r="Y26" s="2">
        <v>9.6135794116028572E-2</v>
      </c>
    </row>
    <row r="27" spans="2:25" x14ac:dyDescent="0.2">
      <c r="B27" t="s">
        <v>53</v>
      </c>
      <c r="C27">
        <v>32</v>
      </c>
      <c r="D27">
        <v>35.700000000000003</v>
      </c>
      <c r="E27">
        <v>31.025500999999998</v>
      </c>
      <c r="F27">
        <v>33.303129955808089</v>
      </c>
      <c r="G27">
        <v>35.437833459035183</v>
      </c>
      <c r="H27">
        <v>35.337404867630362</v>
      </c>
      <c r="I27">
        <v>33.560483600290837</v>
      </c>
      <c r="J27">
        <v>33.414624823065601</v>
      </c>
      <c r="K27">
        <v>35.11639523106615</v>
      </c>
      <c r="L27">
        <v>36</v>
      </c>
      <c r="M27">
        <v>33.825080396382333</v>
      </c>
      <c r="N27">
        <v>34.474337587710522</v>
      </c>
      <c r="O27" s="2">
        <v>0.1156250000000001</v>
      </c>
      <c r="P27" s="2">
        <v>-3.0453093750000049E-2</v>
      </c>
      <c r="Q27" s="2">
        <v>4.0722811119002778E-2</v>
      </c>
      <c r="R27" s="2">
        <v>0.10743229559484919</v>
      </c>
      <c r="S27" s="2">
        <v>0.1042939021134488</v>
      </c>
      <c r="T27" s="2">
        <v>4.8765112509088882E-2</v>
      </c>
      <c r="U27" s="2">
        <v>4.4207025720800042E-2</v>
      </c>
      <c r="V27" s="2">
        <v>9.7387350970817188E-2</v>
      </c>
      <c r="W27" s="2">
        <v>0.125</v>
      </c>
      <c r="X27" s="2">
        <v>5.7033762386947913E-2</v>
      </c>
      <c r="Y27" s="2">
        <v>7.7323049615953821E-2</v>
      </c>
    </row>
    <row r="28" spans="2:25" x14ac:dyDescent="0.2">
      <c r="B28" t="s">
        <v>54</v>
      </c>
      <c r="C28">
        <v>30.4</v>
      </c>
      <c r="D28">
        <v>31.5</v>
      </c>
      <c r="E28">
        <v>31.231883</v>
      </c>
      <c r="F28">
        <v>32.976121624786067</v>
      </c>
      <c r="G28">
        <v>32.595908965144503</v>
      </c>
      <c r="H28">
        <v>32.088117993848961</v>
      </c>
      <c r="I28">
        <v>33.078965523946252</v>
      </c>
      <c r="J28">
        <v>33.388876354218773</v>
      </c>
      <c r="K28">
        <v>32.268148966124151</v>
      </c>
      <c r="L28">
        <v>35.046735902748523</v>
      </c>
      <c r="M28">
        <v>32.989228833685623</v>
      </c>
      <c r="N28">
        <v>32.968353702078851</v>
      </c>
      <c r="O28" s="2">
        <v>3.618421052631593E-2</v>
      </c>
      <c r="P28" s="2">
        <v>2.7364572368421051E-2</v>
      </c>
      <c r="Q28" s="2">
        <v>8.4740842920594694E-2</v>
      </c>
      <c r="R28" s="2">
        <v>7.2233847537648055E-2</v>
      </c>
      <c r="S28" s="2">
        <v>5.5530197166084212E-2</v>
      </c>
      <c r="T28" s="2">
        <v>8.8123865919284672E-2</v>
      </c>
      <c r="U28" s="2">
        <v>9.8318301125617458E-2</v>
      </c>
      <c r="V28" s="2">
        <v>6.1452268622504969E-2</v>
      </c>
      <c r="W28" s="2">
        <v>0.15285315469567479</v>
      </c>
      <c r="X28" s="2">
        <v>8.5172001108079654E-2</v>
      </c>
      <c r="Y28" s="2">
        <v>8.4485319147330706E-2</v>
      </c>
    </row>
    <row r="29" spans="2:25" x14ac:dyDescent="0.2">
      <c r="B29" t="s">
        <v>55</v>
      </c>
      <c r="C29">
        <v>34</v>
      </c>
      <c r="D29">
        <v>36.799999999999997</v>
      </c>
      <c r="E29">
        <v>33.876159000000001</v>
      </c>
      <c r="F29">
        <v>33.881999346848353</v>
      </c>
      <c r="G29">
        <v>35.736925246270161</v>
      </c>
      <c r="H29">
        <v>34.949955254513313</v>
      </c>
      <c r="I29">
        <v>33.931674238741351</v>
      </c>
      <c r="J29">
        <v>33.884413490398018</v>
      </c>
      <c r="K29">
        <v>34.908553672773728</v>
      </c>
      <c r="L29">
        <v>34.956503067625967</v>
      </c>
      <c r="M29">
        <v>34.013260859066619</v>
      </c>
      <c r="N29">
        <v>34.271508105995217</v>
      </c>
      <c r="O29" s="2">
        <v>8.2352941176470518E-2</v>
      </c>
      <c r="P29" s="2">
        <v>-3.6423823529411199E-3</v>
      </c>
      <c r="Q29" s="2">
        <v>-3.4706074456368752E-3</v>
      </c>
      <c r="R29" s="2">
        <v>5.1086036655004767E-2</v>
      </c>
      <c r="S29" s="2">
        <v>2.793986042686214E-2</v>
      </c>
      <c r="T29" s="2">
        <v>-2.009581213489708E-3</v>
      </c>
      <c r="U29" s="2">
        <v>-3.3996032235874551E-3</v>
      </c>
      <c r="V29" s="2">
        <v>2.6722166846286251E-2</v>
      </c>
      <c r="W29" s="2">
        <v>2.8132443165469919E-2</v>
      </c>
      <c r="X29" s="2">
        <v>3.9002526666531701E-4</v>
      </c>
      <c r="Y29" s="2">
        <v>7.9855325292712553E-3</v>
      </c>
    </row>
    <row r="30" spans="2:25" x14ac:dyDescent="0.2">
      <c r="B30" t="s">
        <v>71</v>
      </c>
      <c r="C30">
        <v>35.9</v>
      </c>
      <c r="D30">
        <v>35.9</v>
      </c>
      <c r="E30">
        <v>28.165655000000001</v>
      </c>
      <c r="F30">
        <v>30.628902599665381</v>
      </c>
      <c r="G30">
        <v>35.010365504898608</v>
      </c>
      <c r="H30">
        <v>32.720004042454264</v>
      </c>
      <c r="I30">
        <v>30.782012176926109</v>
      </c>
      <c r="J30">
        <v>30.6367177090467</v>
      </c>
      <c r="K30">
        <v>32.712386010123481</v>
      </c>
      <c r="L30">
        <v>32.756164147083503</v>
      </c>
      <c r="M30">
        <v>29.758385290873779</v>
      </c>
      <c r="N30">
        <v>28.164389475770381</v>
      </c>
      <c r="O30" s="2">
        <v>0</v>
      </c>
      <c r="P30" s="2">
        <v>-0.2154413649025069</v>
      </c>
      <c r="Q30" s="2">
        <v>-0.1468272256360619</v>
      </c>
      <c r="R30" s="2">
        <v>-2.4780905156027599E-2</v>
      </c>
      <c r="S30" s="2">
        <v>-8.8579274583446832E-2</v>
      </c>
      <c r="T30" s="2">
        <v>-0.14256233490456521</v>
      </c>
      <c r="U30" s="2">
        <v>-0.14660953456694409</v>
      </c>
      <c r="V30" s="2">
        <v>-8.8791476041128581E-2</v>
      </c>
      <c r="W30" s="2">
        <v>-8.7572029329150314E-2</v>
      </c>
      <c r="X30" s="2">
        <v>-0.1710756186386134</v>
      </c>
      <c r="Y30" s="2">
        <v>-0.21547661627380571</v>
      </c>
    </row>
    <row r="31" spans="2:25" x14ac:dyDescent="0.2">
      <c r="D31" s="112" t="s">
        <v>148</v>
      </c>
      <c r="E31" s="112"/>
      <c r="F31" s="112"/>
      <c r="G31">
        <f t="shared" ref="G31:G36" si="0">G$30/(1+R31)</f>
        <v>33.134588266611203</v>
      </c>
      <c r="N31" s="111" t="s">
        <v>141</v>
      </c>
      <c r="O31" s="111"/>
      <c r="P31" s="111"/>
      <c r="Q31" s="111"/>
      <c r="R31" s="3">
        <f>AVERAGE(R21:R29)</f>
        <v>5.6610850969214192E-2</v>
      </c>
    </row>
    <row r="32" spans="2:25" x14ac:dyDescent="0.2">
      <c r="D32" s="96" t="s">
        <v>149</v>
      </c>
      <c r="E32" s="96"/>
      <c r="F32" s="96"/>
      <c r="G32">
        <f t="shared" si="0"/>
        <v>32.86879131755564</v>
      </c>
      <c r="I32" s="3"/>
      <c r="N32" s="96" t="s">
        <v>143</v>
      </c>
      <c r="O32" s="96"/>
      <c r="P32" s="96"/>
      <c r="Q32" s="96"/>
      <c r="R32" s="1">
        <f>MEDIAN(R21:R29)</f>
        <v>6.5155246101158859E-2</v>
      </c>
    </row>
    <row r="33" spans="1:18" x14ac:dyDescent="0.2">
      <c r="D33" s="97" t="s">
        <v>150</v>
      </c>
      <c r="E33" s="97"/>
      <c r="F33" s="97"/>
      <c r="G33">
        <f t="shared" si="0"/>
        <v>35.9</v>
      </c>
      <c r="N33" s="97" t="s">
        <v>142</v>
      </c>
      <c r="O33" s="97"/>
      <c r="P33" s="97"/>
      <c r="Q33" s="97"/>
      <c r="R33" s="1">
        <f>R30</f>
        <v>-2.4780905156027599E-2</v>
      </c>
    </row>
    <row r="34" spans="1:18" x14ac:dyDescent="0.2">
      <c r="D34" s="98" t="s">
        <v>151</v>
      </c>
      <c r="E34" s="98"/>
      <c r="F34" s="98"/>
      <c r="G34">
        <f t="shared" si="0"/>
        <v>35.9</v>
      </c>
      <c r="H34" s="3">
        <f>AVERAGE(R28:R29,R26,R21:R24)</f>
        <v>4.2411744994856386E-2</v>
      </c>
      <c r="N34" s="98" t="s">
        <v>144</v>
      </c>
      <c r="O34" s="98"/>
      <c r="P34" s="98"/>
      <c r="Q34" s="98"/>
      <c r="R34" s="1">
        <f>R30</f>
        <v>-2.4780905156027599E-2</v>
      </c>
    </row>
    <row r="35" spans="1:18" x14ac:dyDescent="0.2">
      <c r="D35" s="99" t="s">
        <v>152</v>
      </c>
      <c r="E35" s="99"/>
      <c r="F35" s="99"/>
      <c r="G35">
        <f t="shared" si="0"/>
        <v>33.134588266611203</v>
      </c>
      <c r="I35" s="103"/>
      <c r="N35" s="99" t="s">
        <v>145</v>
      </c>
      <c r="O35" s="99"/>
      <c r="P35" s="99"/>
      <c r="Q35" s="99"/>
      <c r="R35" s="1">
        <f>AVERAGE(R21:R29)</f>
        <v>5.6610850969214192E-2</v>
      </c>
    </row>
    <row r="36" spans="1:18" x14ac:dyDescent="0.2">
      <c r="D36" s="100" t="s">
        <v>153</v>
      </c>
      <c r="E36" s="100"/>
      <c r="F36" s="100"/>
      <c r="G36">
        <f t="shared" si="0"/>
        <v>32.86879131755564</v>
      </c>
      <c r="H36">
        <f>G30/(1+H34)</f>
        <v>33.585927703713047</v>
      </c>
      <c r="N36" s="100" t="s">
        <v>146</v>
      </c>
      <c r="O36" s="100"/>
      <c r="P36" s="100"/>
      <c r="Q36" s="100"/>
      <c r="R36" s="1">
        <f>MEDIAN(R21:R29)</f>
        <v>6.5155246101158859E-2</v>
      </c>
    </row>
    <row r="38" spans="1:18" x14ac:dyDescent="0.2">
      <c r="A38" s="68" t="s">
        <v>103</v>
      </c>
      <c r="B38" t="s">
        <v>154</v>
      </c>
    </row>
    <row r="39" spans="1:18" x14ac:dyDescent="0.2">
      <c r="B39" t="s">
        <v>155</v>
      </c>
    </row>
    <row r="45" spans="1:18" x14ac:dyDescent="0.2">
      <c r="A45" s="68" t="s">
        <v>105</v>
      </c>
      <c r="B45" s="78" t="s">
        <v>156</v>
      </c>
      <c r="C45" s="79">
        <f>H36</f>
        <v>33.585927703713047</v>
      </c>
      <c r="D45" t="s">
        <v>168</v>
      </c>
    </row>
    <row r="47" spans="1:18" x14ac:dyDescent="0.2">
      <c r="B47" s="182" t="s">
        <v>164</v>
      </c>
      <c r="C47" s="182"/>
      <c r="D47" s="2">
        <f>C45/D30-1</f>
        <v>-6.4458838336683866E-2</v>
      </c>
    </row>
    <row r="48" spans="1:18" x14ac:dyDescent="0.2">
      <c r="B48" s="170" t="s">
        <v>163</v>
      </c>
      <c r="C48" s="170"/>
      <c r="D48" s="2">
        <f>'1. Data &amp; Confidence Interval'!N25</f>
        <v>-6.0240963855421659E-2</v>
      </c>
    </row>
  </sheetData>
  <mergeCells count="2">
    <mergeCell ref="B48:C48"/>
    <mergeCell ref="B47:C47"/>
  </mergeCells>
  <conditionalFormatting sqref="P20:W29"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6:K6">
    <cfRule type="colorScale" priority="2">
      <colorScale>
        <cfvo type="min"/>
        <cfvo type="max"/>
        <color rgb="FF92D050"/>
        <color rgb="FFFF0000"/>
      </colorScale>
    </cfRule>
    <cfRule type="colorScale" priority="5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C7:K7">
    <cfRule type="colorScale" priority="3">
      <colorScale>
        <cfvo type="min"/>
        <cfvo type="max"/>
        <color rgb="FF92D050"/>
        <color rgb="FFC00000"/>
      </colorScale>
    </cfRule>
    <cfRule type="colorScale" priority="4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R32:R36 S30">
    <cfRule type="colorScale" priority="1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R31:R36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1. Data &amp; Confidence Interval</vt:lpstr>
      <vt:lpstr>2. Past Proj &amp; Candidate Model</vt:lpstr>
      <vt:lpstr>3. Improved Alpha Model</vt:lpstr>
      <vt:lpstr>4.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Redmond Xia</dc:creator>
  <cp:lastModifiedBy>Redmond Xia</cp:lastModifiedBy>
  <dcterms:created xsi:type="dcterms:W3CDTF">2021-10-08T16:56:03Z</dcterms:created>
  <dcterms:modified xsi:type="dcterms:W3CDTF">2021-11-03T14:06:30Z</dcterms:modified>
</cp:coreProperties>
</file>