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da.research\personal\rxia\Improved Alpha Models\CNMD\"/>
    </mc:Choice>
  </mc:AlternateContent>
  <xr:revisionPtr revIDLastSave="0" documentId="13_ncr:1_{A3CCB41D-2EDB-44CA-A066-3C6A1E74FF39}" xr6:coauthVersionLast="46" xr6:coauthVersionMax="46" xr10:uidLastSave="{00000000-0000-0000-0000-000000000000}"/>
  <bookViews>
    <workbookView xWindow="-28920" yWindow="-120" windowWidth="29040" windowHeight="15840" activeTab="3" xr2:uid="{07F493FA-2681-4851-A3A3-ECE0336C6524}"/>
  </bookViews>
  <sheets>
    <sheet name="1. Data &amp; Confidence Interval" sheetId="1" r:id="rId1"/>
    <sheet name="2. Past Proj &amp; Candidate Model" sheetId="2" r:id="rId2"/>
    <sheet name="3. Improved Alpha Model" sheetId="3" r:id="rId3"/>
    <sheet name="4. Result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R30" i="4" l="1"/>
  <c r="G30" i="4" s="1"/>
  <c r="R29" i="4"/>
  <c r="G29" i="4" s="1"/>
  <c r="G34" i="4"/>
  <c r="G33" i="4"/>
  <c r="G32" i="4"/>
  <c r="G31" i="4"/>
  <c r="R34" i="4"/>
  <c r="R33" i="4"/>
  <c r="R32" i="4"/>
  <c r="R31" i="4"/>
  <c r="J22" i="2"/>
  <c r="AJ17" i="1"/>
  <c r="AI17" i="1"/>
  <c r="AH17" i="1"/>
  <c r="AG17" i="1"/>
  <c r="AF17" i="1"/>
  <c r="AE17" i="1"/>
  <c r="AD17" i="1"/>
  <c r="AC17" i="1"/>
  <c r="AB17" i="1"/>
  <c r="AA17" i="1"/>
  <c r="Z17" i="1"/>
  <c r="Y17" i="1"/>
  <c r="X17" i="1"/>
  <c r="W17" i="1"/>
  <c r="V17" i="1"/>
  <c r="U17" i="1"/>
  <c r="T17" i="1"/>
  <c r="S17" i="1"/>
  <c r="R17" i="1"/>
  <c r="Q17" i="1"/>
  <c r="O17" i="1"/>
  <c r="N17" i="1"/>
  <c r="AJ10" i="1"/>
  <c r="C43" i="4" l="1"/>
  <c r="D45" i="4" s="1"/>
  <c r="R22" i="2"/>
  <c r="P22" i="2"/>
  <c r="J37" i="2"/>
  <c r="J38" i="2"/>
  <c r="G37" i="2"/>
  <c r="G38" i="2"/>
  <c r="F37" i="2"/>
  <c r="E44" i="2" a="1"/>
  <c r="E44" i="2" s="1"/>
  <c r="E43" i="2" a="1"/>
  <c r="E43" i="2" s="1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6" i="2"/>
  <c r="AK26" i="1"/>
  <c r="AK25" i="1"/>
  <c r="AK24" i="1"/>
  <c r="AK23" i="1"/>
  <c r="AK22" i="1"/>
  <c r="AK21" i="1"/>
  <c r="AK20" i="1"/>
  <c r="W25" i="1"/>
  <c r="T25" i="1"/>
  <c r="W24" i="1"/>
  <c r="T24" i="1"/>
  <c r="C2" i="4"/>
  <c r="K22" i="2"/>
  <c r="Q22" i="2" s="1"/>
  <c r="L22" i="2"/>
  <c r="M22" i="2"/>
  <c r="N22" i="2"/>
  <c r="O22" i="2"/>
  <c r="AJ18" i="1"/>
  <c r="R27" i="2" l="1"/>
  <c r="K28" i="2"/>
  <c r="L28" i="2"/>
  <c r="M28" i="2"/>
  <c r="N28" i="2"/>
  <c r="O28" i="2"/>
  <c r="P28" i="2"/>
  <c r="Q28" i="2"/>
  <c r="R28" i="2"/>
  <c r="A27" i="2"/>
  <c r="B27" i="2"/>
  <c r="C27" i="2"/>
  <c r="D27" i="2"/>
  <c r="E27" i="2"/>
  <c r="F27" i="2"/>
  <c r="G27" i="2"/>
  <c r="H27" i="2"/>
  <c r="I27" i="2"/>
  <c r="J27" i="2"/>
  <c r="J40" i="2" l="1"/>
  <c r="J39" i="2"/>
  <c r="R23" i="2"/>
  <c r="H37" i="2"/>
  <c r="H38" i="2"/>
  <c r="G42" i="2"/>
  <c r="G41" i="2"/>
  <c r="G40" i="2"/>
  <c r="G39" i="2"/>
  <c r="G35" i="2"/>
  <c r="G34" i="2"/>
  <c r="E39" i="2"/>
  <c r="E38" i="2"/>
  <c r="E37" i="2"/>
  <c r="E36" i="2"/>
  <c r="E35" i="2"/>
  <c r="E34" i="2"/>
  <c r="E33" i="2"/>
  <c r="E32" i="2"/>
  <c r="E31" i="2"/>
  <c r="E30" i="2"/>
  <c r="E29" i="2"/>
  <c r="AK18" i="1"/>
  <c r="J17" i="1"/>
  <c r="P17" i="1"/>
  <c r="M18" i="1"/>
  <c r="L18" i="1"/>
  <c r="J18" i="1"/>
  <c r="J23" i="2" l="1"/>
  <c r="AJ13" i="1"/>
  <c r="N13" i="1"/>
  <c r="O13" i="1"/>
  <c r="P13" i="1"/>
  <c r="Q13" i="1"/>
  <c r="R13" i="1"/>
  <c r="S13" i="1"/>
  <c r="T13" i="1"/>
  <c r="U13" i="1"/>
  <c r="V13" i="1"/>
  <c r="W13" i="1"/>
  <c r="X13" i="1"/>
  <c r="Y13" i="1"/>
  <c r="Z13" i="1"/>
  <c r="AA13" i="1"/>
  <c r="AB13" i="1"/>
  <c r="AC13" i="1"/>
  <c r="AD13" i="1"/>
  <c r="AE13" i="1"/>
  <c r="AF13" i="1"/>
  <c r="AG13" i="1"/>
  <c r="AH13" i="1"/>
  <c r="AI13" i="1"/>
  <c r="Q29" i="2"/>
  <c r="P29" i="2"/>
  <c r="O29" i="2"/>
  <c r="N29" i="2"/>
  <c r="M29" i="2"/>
  <c r="L29" i="2"/>
  <c r="K29" i="2"/>
  <c r="R29" i="2"/>
  <c r="A28" i="2"/>
  <c r="B28" i="2"/>
  <c r="C28" i="2"/>
  <c r="D28" i="2"/>
  <c r="E28" i="2"/>
  <c r="F28" i="2"/>
  <c r="G28" i="2"/>
  <c r="H28" i="2"/>
  <c r="I28" i="2"/>
  <c r="J28" i="2"/>
  <c r="Q23" i="2"/>
  <c r="P23" i="2"/>
  <c r="O23" i="2"/>
  <c r="N23" i="2"/>
  <c r="M23" i="2"/>
  <c r="L23" i="2"/>
  <c r="K23" i="2"/>
  <c r="I23" i="2"/>
  <c r="H23" i="2"/>
  <c r="G23" i="2"/>
  <c r="F23" i="2"/>
  <c r="E23" i="2"/>
  <c r="AI20" i="1"/>
  <c r="AH20" i="1"/>
  <c r="AG20" i="1"/>
  <c r="AF20" i="1"/>
  <c r="AE20" i="1"/>
  <c r="AD20" i="1"/>
  <c r="AC20" i="1"/>
  <c r="AB20" i="1"/>
  <c r="AA20" i="1"/>
  <c r="Z20" i="1"/>
  <c r="Y20" i="1"/>
  <c r="X20" i="1"/>
  <c r="W20" i="1"/>
  <c r="V20" i="1"/>
  <c r="U20" i="1"/>
  <c r="T20" i="1"/>
  <c r="AI18" i="1"/>
  <c r="AH18" i="1"/>
  <c r="S18" i="1"/>
  <c r="R18" i="1"/>
  <c r="Q18" i="1"/>
  <c r="P18" i="1"/>
  <c r="O18" i="1"/>
  <c r="N18" i="1"/>
  <c r="K18" i="1"/>
  <c r="L17" i="1"/>
  <c r="K17" i="1"/>
  <c r="J29" i="2"/>
  <c r="I29" i="2"/>
  <c r="H29" i="2"/>
  <c r="G29" i="2"/>
  <c r="F29" i="2"/>
  <c r="A30" i="2"/>
  <c r="B30" i="2"/>
  <c r="C30" i="2"/>
  <c r="D30" i="2"/>
  <c r="A31" i="2"/>
  <c r="B31" i="2"/>
  <c r="C31" i="2"/>
  <c r="D31" i="2"/>
  <c r="A32" i="2"/>
  <c r="B32" i="2"/>
  <c r="C32" i="2"/>
  <c r="D32" i="2"/>
  <c r="A33" i="2"/>
  <c r="B33" i="2"/>
  <c r="C33" i="2"/>
  <c r="D33" i="2"/>
  <c r="A34" i="2"/>
  <c r="B34" i="2"/>
  <c r="C34" i="2"/>
  <c r="D34" i="2"/>
  <c r="A35" i="2"/>
  <c r="B35" i="2"/>
  <c r="C35" i="2"/>
  <c r="D35" i="2"/>
  <c r="A36" i="2"/>
  <c r="B36" i="2"/>
  <c r="C36" i="2"/>
  <c r="D36" i="2"/>
  <c r="A37" i="2"/>
  <c r="B37" i="2"/>
  <c r="C37" i="2"/>
  <c r="D37" i="2"/>
  <c r="A38" i="2"/>
  <c r="B38" i="2"/>
  <c r="C38" i="2"/>
  <c r="D38" i="2"/>
  <c r="A39" i="2"/>
  <c r="B39" i="2"/>
  <c r="C39" i="2"/>
  <c r="D39" i="2"/>
  <c r="A40" i="2"/>
  <c r="B40" i="2"/>
  <c r="C40" i="2"/>
  <c r="D40" i="2"/>
  <c r="A41" i="2"/>
  <c r="B41" i="2"/>
  <c r="C41" i="2"/>
  <c r="D41" i="2"/>
  <c r="A42" i="2"/>
  <c r="B42" i="2"/>
  <c r="C42" i="2"/>
  <c r="D42" i="2"/>
  <c r="B29" i="2"/>
  <c r="C29" i="2"/>
  <c r="D29" i="2"/>
  <c r="A29" i="2"/>
  <c r="I29" i="3"/>
  <c r="E29" i="3"/>
  <c r="J10" i="1" l="1"/>
  <c r="C7" i="1"/>
  <c r="AI22" i="1"/>
  <c r="AH22" i="1"/>
  <c r="AG22" i="1"/>
  <c r="AF22" i="1"/>
  <c r="AE22" i="1"/>
  <c r="AD22" i="1"/>
  <c r="AC22" i="1"/>
  <c r="AB22" i="1"/>
  <c r="AA22" i="1"/>
  <c r="Z22" i="1"/>
  <c r="Y22" i="1"/>
  <c r="X22" i="1"/>
  <c r="W22" i="1"/>
  <c r="V22" i="1"/>
  <c r="U22" i="1"/>
  <c r="T22" i="1"/>
  <c r="AC18" i="1"/>
  <c r="AB18" i="1"/>
  <c r="AA18" i="1"/>
  <c r="Z18" i="1"/>
  <c r="Y18" i="1"/>
  <c r="X18" i="1"/>
  <c r="W18" i="1"/>
  <c r="V18" i="1"/>
  <c r="U18" i="1"/>
  <c r="T18" i="1"/>
  <c r="M17" i="1"/>
  <c r="F25" i="3"/>
  <c r="D46" i="4" l="1"/>
  <c r="B7" i="1"/>
  <c r="R42" i="2"/>
  <c r="R41" i="2"/>
  <c r="R40" i="2"/>
  <c r="R39" i="2"/>
  <c r="R37" i="2"/>
  <c r="R36" i="2"/>
  <c r="R35" i="2"/>
  <c r="R34" i="2"/>
  <c r="R33" i="2"/>
  <c r="R32" i="2"/>
  <c r="R31" i="2"/>
  <c r="R30" i="2"/>
  <c r="M2" i="1" l="1"/>
  <c r="N2" i="1"/>
  <c r="N3" i="1"/>
  <c r="M3" i="1"/>
  <c r="H25" i="3"/>
  <c r="O2" i="1" l="1"/>
  <c r="P2" i="1" s="1"/>
  <c r="O3" i="1"/>
  <c r="P3" i="1" s="1"/>
  <c r="R38" i="2"/>
  <c r="R43" i="2" s="1" a="1"/>
  <c r="R43" i="2" s="1"/>
  <c r="K30" i="2"/>
  <c r="L30" i="2"/>
  <c r="M30" i="2"/>
  <c r="N30" i="2"/>
  <c r="O30" i="2"/>
  <c r="P30" i="2"/>
  <c r="Q30" i="2"/>
  <c r="K31" i="2"/>
  <c r="L31" i="2"/>
  <c r="M31" i="2"/>
  <c r="N31" i="2"/>
  <c r="O31" i="2"/>
  <c r="P31" i="2"/>
  <c r="Q31" i="2"/>
  <c r="K32" i="2"/>
  <c r="L32" i="2"/>
  <c r="M32" i="2"/>
  <c r="N32" i="2"/>
  <c r="O32" i="2"/>
  <c r="P32" i="2"/>
  <c r="Q32" i="2"/>
  <c r="K33" i="2"/>
  <c r="L33" i="2"/>
  <c r="M33" i="2"/>
  <c r="N33" i="2"/>
  <c r="O33" i="2"/>
  <c r="P33" i="2"/>
  <c r="Q33" i="2"/>
  <c r="K34" i="2"/>
  <c r="L34" i="2"/>
  <c r="M34" i="2"/>
  <c r="N34" i="2"/>
  <c r="O34" i="2"/>
  <c r="P34" i="2"/>
  <c r="Q34" i="2"/>
  <c r="K35" i="2"/>
  <c r="L35" i="2"/>
  <c r="M35" i="2"/>
  <c r="N35" i="2"/>
  <c r="O35" i="2"/>
  <c r="P35" i="2"/>
  <c r="Q35" i="2"/>
  <c r="K36" i="2"/>
  <c r="L36" i="2"/>
  <c r="M36" i="2"/>
  <c r="N36" i="2"/>
  <c r="O36" i="2"/>
  <c r="P36" i="2"/>
  <c r="Q36" i="2"/>
  <c r="K37" i="2"/>
  <c r="L37" i="2"/>
  <c r="M37" i="2"/>
  <c r="N37" i="2"/>
  <c r="O37" i="2"/>
  <c r="P37" i="2"/>
  <c r="Q37" i="2"/>
  <c r="K38" i="2"/>
  <c r="L38" i="2"/>
  <c r="M38" i="2"/>
  <c r="N38" i="2"/>
  <c r="O38" i="2"/>
  <c r="P38" i="2"/>
  <c r="Q38" i="2"/>
  <c r="K39" i="2"/>
  <c r="L39" i="2"/>
  <c r="M39" i="2"/>
  <c r="N39" i="2"/>
  <c r="O39" i="2"/>
  <c r="P39" i="2"/>
  <c r="Q39" i="2"/>
  <c r="K40" i="2"/>
  <c r="L40" i="2"/>
  <c r="M40" i="2"/>
  <c r="N40" i="2"/>
  <c r="O40" i="2"/>
  <c r="P40" i="2"/>
  <c r="Q40" i="2"/>
  <c r="K41" i="2"/>
  <c r="L41" i="2"/>
  <c r="M41" i="2"/>
  <c r="N41" i="2"/>
  <c r="O41" i="2"/>
  <c r="P41" i="2"/>
  <c r="Q41" i="2"/>
  <c r="K42" i="2"/>
  <c r="L42" i="2"/>
  <c r="M42" i="2"/>
  <c r="N42" i="2"/>
  <c r="O42" i="2"/>
  <c r="P42" i="2"/>
  <c r="Q42" i="2"/>
  <c r="E42" i="2"/>
  <c r="F30" i="2"/>
  <c r="G30" i="2"/>
  <c r="H30" i="2"/>
  <c r="I30" i="2"/>
  <c r="J30" i="2"/>
  <c r="F31" i="2"/>
  <c r="G31" i="2"/>
  <c r="H31" i="2"/>
  <c r="I31" i="2"/>
  <c r="J31" i="2"/>
  <c r="F32" i="2"/>
  <c r="G32" i="2"/>
  <c r="H32" i="2"/>
  <c r="I32" i="2"/>
  <c r="J32" i="2"/>
  <c r="F33" i="2"/>
  <c r="G33" i="2"/>
  <c r="H33" i="2"/>
  <c r="I33" i="2"/>
  <c r="J33" i="2"/>
  <c r="F34" i="2"/>
  <c r="H34" i="2"/>
  <c r="I34" i="2"/>
  <c r="J34" i="2"/>
  <c r="F35" i="2"/>
  <c r="H35" i="2"/>
  <c r="I35" i="2"/>
  <c r="J35" i="2"/>
  <c r="F36" i="2"/>
  <c r="G36" i="2"/>
  <c r="H36" i="2"/>
  <c r="I36" i="2"/>
  <c r="J36" i="2"/>
  <c r="I37" i="2"/>
  <c r="F38" i="2"/>
  <c r="I38" i="2"/>
  <c r="F39" i="2"/>
  <c r="H39" i="2"/>
  <c r="I39" i="2"/>
  <c r="E40" i="2"/>
  <c r="F40" i="2"/>
  <c r="H40" i="2"/>
  <c r="I40" i="2"/>
  <c r="E41" i="2"/>
  <c r="F41" i="2"/>
  <c r="H41" i="2"/>
  <c r="I41" i="2"/>
  <c r="J41" i="2"/>
  <c r="F42" i="2"/>
  <c r="H42" i="2"/>
  <c r="I42" i="2"/>
  <c r="J42" i="2"/>
  <c r="H44" i="2" l="1" a="1"/>
  <c r="H44" i="2" s="1"/>
  <c r="H43" i="2" a="1"/>
  <c r="H43" i="2" s="1"/>
  <c r="Q44" i="2" a="1"/>
  <c r="Q44" i="2" s="1"/>
  <c r="Q43" i="2" a="1"/>
  <c r="Q43" i="2" s="1"/>
  <c r="P43" i="2" a="1"/>
  <c r="P43" i="2" s="1"/>
  <c r="P44" i="2" a="1"/>
  <c r="P44" i="2" s="1"/>
  <c r="F43" i="2" a="1"/>
  <c r="F43" i="2" s="1"/>
  <c r="F44" i="2" a="1"/>
  <c r="F44" i="2" s="1"/>
  <c r="N44" i="2" a="1"/>
  <c r="N44" i="2" s="1"/>
  <c r="N43" i="2" a="1"/>
  <c r="N43" i="2" s="1"/>
  <c r="M44" i="2" a="1"/>
  <c r="M44" i="2" s="1"/>
  <c r="M43" i="2" a="1"/>
  <c r="M43" i="2" s="1"/>
  <c r="O44" i="2" a="1"/>
  <c r="O44" i="2" s="1"/>
  <c r="O43" i="2" a="1"/>
  <c r="O43" i="2" s="1"/>
  <c r="L43" i="2" a="1"/>
  <c r="L43" i="2" s="1"/>
  <c r="L44" i="2" a="1"/>
  <c r="L44" i="2" s="1"/>
  <c r="J43" i="2" a="1"/>
  <c r="J43" i="2" s="1"/>
  <c r="J44" i="2" a="1"/>
  <c r="J44" i="2" s="1"/>
  <c r="K44" i="2" a="1"/>
  <c r="K44" i="2" s="1"/>
  <c r="K43" i="2" a="1"/>
  <c r="K43" i="2" s="1"/>
  <c r="G44" i="2" a="1"/>
  <c r="G44" i="2" s="1"/>
  <c r="G43" i="2" a="1"/>
  <c r="G43" i="2" s="1"/>
  <c r="I43" i="2" a="1"/>
  <c r="I43" i="2" s="1"/>
  <c r="I44" i="2" a="1"/>
  <c r="I44" i="2" s="1"/>
  <c r="R44" i="2" a="1"/>
  <c r="R44" i="2" s="1"/>
  <c r="AH21" i="1"/>
  <c r="W21" i="1"/>
  <c r="AI21" i="1"/>
  <c r="AE21" i="1"/>
  <c r="AI23" i="1"/>
  <c r="X21" i="1"/>
  <c r="Y21" i="1"/>
  <c r="Z21" i="1"/>
  <c r="Y23" i="1"/>
  <c r="X23" i="1"/>
  <c r="AD23" i="1"/>
  <c r="W23" i="1"/>
  <c r="AE23" i="1"/>
  <c r="AA23" i="1"/>
  <c r="AC23" i="1"/>
  <c r="Z23" i="1"/>
  <c r="AB23" i="1"/>
  <c r="AH23" i="1"/>
  <c r="AG23" i="1"/>
  <c r="AF23" i="1"/>
  <c r="AG21" i="1"/>
  <c r="AA21" i="1"/>
  <c r="AB21" i="1"/>
  <c r="AC21" i="1"/>
  <c r="AD21" i="1"/>
  <c r="AF21" i="1"/>
  <c r="O4" i="1" l="1"/>
  <c r="P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<sst xmlns="http://schemas.openxmlformats.org/spreadsheetml/2006/main" count="322" uniqueCount="175">
  <si>
    <t>Consensus</t>
  </si>
  <si>
    <t>VA Actual</t>
  </si>
  <si>
    <t>YoY Growth</t>
  </si>
  <si>
    <t>Q2</t>
  </si>
  <si>
    <t>Q3</t>
  </si>
  <si>
    <t>Q4</t>
  </si>
  <si>
    <t>DATA</t>
  </si>
  <si>
    <t>Beat (1 Yes, 0 No)</t>
  </si>
  <si>
    <t>Avg Beat</t>
  </si>
  <si>
    <t>Beat Moving Avg (4)</t>
  </si>
  <si>
    <t>Avg Beat MA</t>
  </si>
  <si>
    <t>Beat Pct</t>
  </si>
  <si>
    <t>Beat Pct MA (4)</t>
  </si>
  <si>
    <t>Median Beat Pct</t>
  </si>
  <si>
    <t>Median Beat Pct MA</t>
  </si>
  <si>
    <t>Avg YoY Growth</t>
  </si>
  <si>
    <t>Avg Last 4 Qtr YoY GR</t>
  </si>
  <si>
    <t>US Pre-Q Revenue</t>
  </si>
  <si>
    <t>US to Total Proportion Revenue</t>
  </si>
  <si>
    <t>QTR</t>
  </si>
  <si>
    <t>Q1</t>
  </si>
  <si>
    <t>Q3E</t>
  </si>
  <si>
    <t>Q4E</t>
  </si>
  <si>
    <t>Avg Last 4 Qtr US to Total Proportion Revenue</t>
  </si>
  <si>
    <t>QTR Distributions</t>
  </si>
  <si>
    <t>Avg Positive Beat</t>
  </si>
  <si>
    <t>Avg Negative Beat</t>
  </si>
  <si>
    <t>Q3 Quarter Distribution Avg</t>
  </si>
  <si>
    <t>Q3 Quarter Distribution Standard Deviation</t>
  </si>
  <si>
    <t>Median Positive Beat</t>
  </si>
  <si>
    <t>Median Negative Beat</t>
  </si>
  <si>
    <t>Lower</t>
  </si>
  <si>
    <t>Upper</t>
  </si>
  <si>
    <t>GUIDANCE</t>
  </si>
  <si>
    <t>PARAMETERS</t>
  </si>
  <si>
    <t>Confidance Interval</t>
  </si>
  <si>
    <t>USA Guidance</t>
  </si>
  <si>
    <t>Lower Confidence Interval</t>
  </si>
  <si>
    <t>Upper Confidence Interval</t>
  </si>
  <si>
    <t>Avg</t>
  </si>
  <si>
    <t>Total</t>
  </si>
  <si>
    <t>Expected YoY Growth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</si>
  <si>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</si>
  <si>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</si>
  <si>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</si>
  <si>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</si>
  <si>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</si>
  <si>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</si>
  <si>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</si>
  <si>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</si>
  <si>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</si>
  <si>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</si>
  <si>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</si>
  <si>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</si>
  <si>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2021Q1</t>
  </si>
  <si>
    <t>2021Q2</t>
  </si>
  <si>
    <t>TICKER</t>
  </si>
  <si>
    <t>REVENUE_TYPE</t>
  </si>
  <si>
    <t>CutDate</t>
  </si>
  <si>
    <t>SS_12_12 Estimate</t>
  </si>
  <si>
    <t>SS_NO_LR</t>
  </si>
  <si>
    <t>NSS_12_12_Estimate</t>
  </si>
  <si>
    <t>Average</t>
  </si>
  <si>
    <t>SS_12_12 Estimate_GR</t>
  </si>
  <si>
    <t>SS_NO_LR_GR</t>
  </si>
  <si>
    <t>NSS_12_12_Estimate_GR</t>
  </si>
  <si>
    <t>Average_GR</t>
  </si>
  <si>
    <t>AVG_AVG_GR</t>
  </si>
  <si>
    <t>Calendar Year</t>
  </si>
  <si>
    <t>SS 12_03 LR</t>
  </si>
  <si>
    <t>NSS 12_03 LR</t>
  </si>
  <si>
    <t>2021Q3</t>
  </si>
  <si>
    <t>Reported Revenue</t>
  </si>
  <si>
    <t>SS 12_03_LR_GR</t>
  </si>
  <si>
    <t>NSS 12_03_LR_GR</t>
  </si>
  <si>
    <t>CORRELATION W/O 2021Q3</t>
  </si>
  <si>
    <t>Historical Projections</t>
  </si>
  <si>
    <t>Projection Accuracy</t>
  </si>
  <si>
    <t>Absolute Average</t>
  </si>
  <si>
    <t>Standard Deviation from 0</t>
  </si>
  <si>
    <t>NOTE:</t>
  </si>
  <si>
    <t>The Best Linear Regression Models (Linear Models) comes either from best correlations or Best (lowest) Accuracy or Best (Standard Deviation) Accuracy</t>
  </si>
  <si>
    <t>From Step 2. We input the historical values for the projection methodology and add a layered forward chaining linear models regression</t>
  </si>
  <si>
    <t>2021Q2 Results</t>
  </si>
  <si>
    <t>Notes</t>
  </si>
  <si>
    <t>CONSENSUS</t>
  </si>
  <si>
    <t>PROJ</t>
  </si>
  <si>
    <t>LR</t>
  </si>
  <si>
    <t>LR_CON</t>
  </si>
  <si>
    <t>LR_CON_PROJ</t>
  </si>
  <si>
    <t>RIDGE</t>
  </si>
  <si>
    <t>LASSO</t>
  </si>
  <si>
    <t>RIDGE_CON</t>
  </si>
  <si>
    <t>LASSO_CON</t>
  </si>
  <si>
    <t>QUAD</t>
  </si>
  <si>
    <t>CUBIC</t>
  </si>
  <si>
    <t>AVG</t>
  </si>
  <si>
    <t>STD</t>
  </si>
  <si>
    <t>MEDIAN</t>
  </si>
  <si>
    <t>1.</t>
  </si>
  <si>
    <t>2.</t>
  </si>
  <si>
    <t>3.</t>
  </si>
  <si>
    <t>4.</t>
  </si>
  <si>
    <t>5.</t>
  </si>
  <si>
    <t>STEP</t>
  </si>
  <si>
    <t>6.</t>
  </si>
  <si>
    <t>2. Past Proj &amp; Candidate Model'!A45:B45</t>
  </si>
  <si>
    <t>7.</t>
  </si>
  <si>
    <t>The predicted 2021Q2 Revenue is then:</t>
  </si>
  <si>
    <t>Acuuracy:</t>
  </si>
  <si>
    <t>off</t>
  </si>
  <si>
    <t xml:space="preserve">This methodology scored: </t>
  </si>
  <si>
    <t>Finding the best methodology in the previous quarter. (Do not put 2021Q3 data point into the pandas data frame in LR_adj.py)</t>
  </si>
  <si>
    <t xml:space="preserve">To explain each methodology result. </t>
  </si>
  <si>
    <t>1. Consensus is the benchmark. It is how well consensus performs in the same out of sample</t>
  </si>
  <si>
    <t>2. Projection is the inputted data series from past projection</t>
  </si>
  <si>
    <t>3. LR is the linear regression with the projection as X values and Reported Revenue as Y</t>
  </si>
  <si>
    <t>4. LR_CON is the linear regression that doesn't uses the projection and takes consensus values and run the regression with it. Example on the right</t>
  </si>
  <si>
    <t>5. LR_CON_PROJ is the multi-linear regression that takes both consensus and projection as X and outputs predicted reported revenue</t>
  </si>
  <si>
    <t>6. Ridge is a modified linear regression method. This takes projection as X and outputs predicted reported revenue as Y</t>
  </si>
  <si>
    <t>6. Lasso is an another modified linear regression method. This takes projection as X and outputs predicted reported revenue as Y</t>
  </si>
  <si>
    <t>7. Ridge_CON is the multi-linear regression with the projection and consensus as X and outputs predicted reported revenue as Y</t>
  </si>
  <si>
    <t>8. LASSO_CON is the multi-linear regression with the projection and consensus as X and outputs predicted reported revenue as Y</t>
  </si>
  <si>
    <t>Overall Result</t>
  </si>
  <si>
    <t>Step</t>
  </si>
  <si>
    <t>DATE</t>
  </si>
  <si>
    <t>REVENUE</t>
  </si>
  <si>
    <t>acc_CON</t>
  </si>
  <si>
    <t>acc_PROJ</t>
  </si>
  <si>
    <t>acc_LR</t>
  </si>
  <si>
    <t>acc_LR_CON</t>
  </si>
  <si>
    <t>acc_LR_CON_PROJ</t>
  </si>
  <si>
    <t>acc_RIDGE</t>
  </si>
  <si>
    <t>acc_LASSO</t>
  </si>
  <si>
    <t>acc_RIDGE_CON</t>
  </si>
  <si>
    <t>acc_LASSO_CON</t>
  </si>
  <si>
    <t>acc_QUAD</t>
  </si>
  <si>
    <t>acc_CUBIC</t>
  </si>
  <si>
    <t>Improved Alpha Model</t>
  </si>
  <si>
    <t>This is the same average and standard deviation calculation found in Cell</t>
  </si>
  <si>
    <t>Median value is there to show how often the back-test overshoots or undershoots the results. Negative means it overshoots.</t>
  </si>
  <si>
    <t>Average Undershoot or Overshoot:</t>
  </si>
  <si>
    <t>Average Undershoot</t>
  </si>
  <si>
    <t>Median Undershoot or Overshoot:</t>
  </si>
  <si>
    <t>Median Undershoot</t>
  </si>
  <si>
    <t>Average Overshoot</t>
  </si>
  <si>
    <t>Median Overshoot</t>
  </si>
  <si>
    <r>
      <t xml:space="preserve">You can find the script in this directory </t>
    </r>
    <r>
      <rPr>
        <b/>
        <sz val="10"/>
        <color theme="1"/>
        <rFont val="Arial"/>
        <family val="2"/>
      </rPr>
      <t>C:\dev\da.research\personal\rxia\LR_Adj.py</t>
    </r>
  </si>
  <si>
    <t>Scaling Average Undershoot or Overshoot:</t>
  </si>
  <si>
    <t>Scaling Median Undershoot or Overshoot:</t>
  </si>
  <si>
    <t>Scaling Average Undershoot</t>
  </si>
  <si>
    <t>Scaling Median Undershoot</t>
  </si>
  <si>
    <t>Scaling Average Overshoot</t>
  </si>
  <si>
    <t>Scaling Median Overshoot</t>
  </si>
  <si>
    <t>Depending on the belief, if you think the results currently is larger than what it is currently is then we can use the miss value at average overshoot</t>
  </si>
  <si>
    <t xml:space="preserve">However the average or median undershoot or overshoot is unbiased. </t>
  </si>
  <si>
    <t>Use:</t>
  </si>
  <si>
    <t>Total Revenue</t>
  </si>
  <si>
    <t>Input those as projection into python script in step 3.</t>
  </si>
  <si>
    <t>Consensus average scored:</t>
  </si>
  <si>
    <t>Since:</t>
  </si>
  <si>
    <t>Methodology performed the best at in 2021Q2, we use it to predict Q3</t>
  </si>
  <si>
    <t>These average are biased because it compares it to the relative the inputted reported revenue. Since we do not have 2021Q3, I input consensus in there. See Step 4 for the regression summary.</t>
  </si>
  <si>
    <t>Historical Average Beat\Miss:</t>
  </si>
  <si>
    <t>Improved Alpha Implied Beat/Miss:</t>
  </si>
  <si>
    <t>For Sheet 3 Regression Removed 2020Q2</t>
  </si>
  <si>
    <t>2017Q4</t>
  </si>
  <si>
    <t>which is not inline with the confidence interval in step1. If this value is unsatisfactory, use confidence interval.</t>
  </si>
  <si>
    <t>2017Q3</t>
  </si>
  <si>
    <t>BSX_NEUROMOD</t>
  </si>
  <si>
    <t>CNMD</t>
  </si>
  <si>
    <t>US Revenue</t>
  </si>
  <si>
    <t>AVG RM Q12</t>
  </si>
  <si>
    <r>
      <t xml:space="preserve">I store the output for each ticker in </t>
    </r>
    <r>
      <rPr>
        <b/>
        <sz val="10"/>
        <color theme="1"/>
        <rFont val="Arial"/>
        <family val="2"/>
      </rPr>
      <t>C:\dev\da.research\personal\rxia\Alphas</t>
    </r>
    <r>
      <rPr>
        <sz val="10"/>
        <color theme="1"/>
        <rFont val="Arial"/>
        <family val="2"/>
      </rPr>
      <t>\{TICKER}</t>
    </r>
  </si>
  <si>
    <t>SS NO LR RM Q12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</si>
</sst>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%"/>
    <numFmt numFmtId="165" formatCode="0.0000"/>
    <numFmt numFmtId="166" formatCode="0.0"/>
    <numFmt numFmtId="167" formatCode="0.00000"/>
    <numFmt numFmtId="168" formatCode="#,##0.0"/>
  </numFmts>
  <fonts count="10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FF0000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12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1"/>
      <name val="Calibri"/>
      <family val="2"/>
    </font>
    <font>
      <sz val="11"/>
      <name val="Calibri"/>
      <family val="2"/>
    </font>
  </fonts>
  <fills count="18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33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79">
    <xf numFmtId="0" fontId="0" fillId="0" borderId="0" xfId="0"/>
    <xf numFmtId="10" fontId="0" fillId="0" borderId="0" xfId="0" applyNumberFormat="1"/>
    <xf numFmtId="164" fontId="0" fillId="0" borderId="0" xfId="1" applyNumberFormat="1" applyFont="1"/>
    <xf numFmtId="164" fontId="0" fillId="0" borderId="0" xfId="0" applyNumberFormat="1"/>
    <xf numFmtId="0" fontId="0" fillId="0" borderId="1" xfId="0" applyBorder="1"/>
    <xf numFmtId="0" fontId="0" fillId="0" borderId="4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8" borderId="1" xfId="0" applyFill="1" applyBorder="1"/>
    <xf numFmtId="164" fontId="0" fillId="0" borderId="0" xfId="1" applyNumberFormat="1" applyFont="1" applyBorder="1"/>
    <xf numFmtId="0" fontId="0" fillId="8" borderId="11" xfId="0" applyFill="1" applyBorder="1"/>
    <xf numFmtId="0" fontId="0" fillId="3" borderId="6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6" borderId="5" xfId="0" applyFill="1" applyBorder="1" applyAlignment="1">
      <alignment horizontal="center"/>
    </xf>
    <xf numFmtId="0" fontId="0" fillId="6" borderId="6" xfId="0" applyFill="1" applyBorder="1" applyAlignment="1">
      <alignment horizontal="center"/>
    </xf>
    <xf numFmtId="0" fontId="0" fillId="7" borderId="5" xfId="0" applyFill="1" applyBorder="1" applyAlignment="1">
      <alignment horizontal="center"/>
    </xf>
    <xf numFmtId="0" fontId="0" fillId="7" borderId="6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0" fillId="0" borderId="7" xfId="0" applyFill="1" applyBorder="1" applyAlignment="1">
      <alignment horizontal="center"/>
    </xf>
    <xf numFmtId="164" fontId="0" fillId="0" borderId="11" xfId="0" applyNumberFormat="1" applyBorder="1"/>
    <xf numFmtId="164" fontId="0" fillId="0" borderId="12" xfId="0" applyNumberFormat="1" applyBorder="1"/>
    <xf numFmtId="0" fontId="0" fillId="11" borderId="1" xfId="0" applyFill="1" applyBorder="1"/>
    <xf numFmtId="9" fontId="0" fillId="0" borderId="1" xfId="0" applyNumberFormat="1" applyBorder="1"/>
    <xf numFmtId="0" fontId="0" fillId="8" borderId="14" xfId="0" applyFill="1" applyBorder="1"/>
    <xf numFmtId="0" fontId="0" fillId="4" borderId="2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164" fontId="0" fillId="0" borderId="9" xfId="1" applyNumberFormat="1" applyFont="1" applyBorder="1"/>
    <xf numFmtId="0" fontId="0" fillId="8" borderId="2" xfId="0" applyFill="1" applyBorder="1"/>
    <xf numFmtId="164" fontId="4" fillId="0" borderId="4" xfId="1" applyNumberFormat="1" applyFont="1" applyFill="1" applyBorder="1"/>
    <xf numFmtId="164" fontId="0" fillId="0" borderId="4" xfId="0" applyNumberFormat="1" applyBorder="1"/>
    <xf numFmtId="10" fontId="0" fillId="0" borderId="4" xfId="0" applyNumberFormat="1" applyFill="1" applyBorder="1"/>
    <xf numFmtId="0" fontId="0" fillId="8" borderId="10" xfId="0" applyFill="1" applyBorder="1"/>
    <xf numFmtId="164" fontId="0" fillId="0" borderId="7" xfId="0" applyNumberFormat="1" applyBorder="1"/>
    <xf numFmtId="10" fontId="0" fillId="0" borderId="12" xfId="1" applyNumberFormat="1" applyFont="1" applyBorder="1"/>
    <xf numFmtId="0" fontId="0" fillId="2" borderId="6" xfId="0" applyFill="1" applyBorder="1"/>
    <xf numFmtId="0" fontId="0" fillId="2" borderId="7" xfId="0" applyFill="1" applyBorder="1"/>
    <xf numFmtId="0" fontId="0" fillId="0" borderId="0" xfId="0" applyFill="1" applyAlignment="1">
      <alignment horizontal="center" vertical="center"/>
    </xf>
    <xf numFmtId="0" fontId="0" fillId="14" borderId="4" xfId="0" applyFill="1" applyBorder="1"/>
    <xf numFmtId="0" fontId="5" fillId="3" borderId="8" xfId="0" applyFont="1" applyFill="1" applyBorder="1"/>
    <xf numFmtId="0" fontId="6" fillId="5" borderId="10" xfId="0" applyFont="1" applyFill="1" applyBorder="1" applyAlignment="1">
      <alignment horizontal="left" vertical="center"/>
    </xf>
    <xf numFmtId="166" fontId="6" fillId="0" borderId="11" xfId="0" applyNumberFormat="1" applyFont="1" applyFill="1" applyBorder="1" applyAlignment="1">
      <alignment horizontal="center" vertical="center"/>
    </xf>
    <xf numFmtId="166" fontId="6" fillId="0" borderId="12" xfId="0" applyNumberFormat="1" applyFont="1" applyFill="1" applyBorder="1" applyAlignment="1">
      <alignment horizontal="center" vertical="center"/>
    </xf>
    <xf numFmtId="0" fontId="7" fillId="13" borderId="0" xfId="0" applyFont="1" applyFill="1" applyBorder="1"/>
    <xf numFmtId="0" fontId="7" fillId="13" borderId="9" xfId="0" applyFont="1" applyFill="1" applyBorder="1"/>
    <xf numFmtId="0" fontId="3" fillId="12" borderId="5" xfId="0" applyFont="1" applyFill="1" applyBorder="1"/>
    <xf numFmtId="0" fontId="0" fillId="10" borderId="8" xfId="0" applyFill="1" applyBorder="1"/>
    <xf numFmtId="0" fontId="0" fillId="10" borderId="0" xfId="0" applyFill="1" applyBorder="1"/>
    <xf numFmtId="0" fontId="0" fillId="0" borderId="3" xfId="0" applyBorder="1"/>
    <xf numFmtId="166" fontId="0" fillId="0" borderId="0" xfId="0" applyNumberFormat="1" applyBorder="1"/>
    <xf numFmtId="166" fontId="0" fillId="0" borderId="11" xfId="0" applyNumberFormat="1" applyBorder="1"/>
    <xf numFmtId="166" fontId="0" fillId="0" borderId="14" xfId="0" applyNumberFormat="1" applyBorder="1"/>
    <xf numFmtId="166" fontId="0" fillId="0" borderId="15" xfId="0" applyNumberFormat="1" applyBorder="1"/>
    <xf numFmtId="2" fontId="0" fillId="0" borderId="0" xfId="0" applyNumberFormat="1"/>
    <xf numFmtId="49" fontId="0" fillId="0" borderId="0" xfId="0" applyNumberFormat="1"/>
    <xf numFmtId="0" fontId="0" fillId="0" borderId="0" xfId="0" quotePrefix="1"/>
    <xf numFmtId="0" fontId="0" fillId="9" borderId="0" xfId="0" applyFill="1"/>
    <xf numFmtId="0" fontId="0" fillId="0" borderId="14" xfId="0" applyFill="1" applyBorder="1"/>
    <xf numFmtId="0" fontId="8" fillId="0" borderId="1" xfId="0" applyFont="1" applyBorder="1" applyAlignment="1">
      <alignment horizontal="center" vertical="top"/>
    </xf>
    <xf numFmtId="0" fontId="9" fillId="0" borderId="0" xfId="0" applyFont="1" applyFill="1" applyBorder="1" applyAlignment="1">
      <alignment horizontal="left" vertical="top"/>
    </xf>
    <xf numFmtId="10" fontId="4" fillId="0" borderId="5" xfId="1" applyNumberFormat="1" applyFont="1" applyBorder="1"/>
    <xf numFmtId="10" fontId="4" fillId="0" borderId="10" xfId="1" applyNumberFormat="1" applyFont="1" applyBorder="1"/>
    <xf numFmtId="0" fontId="0" fillId="0" borderId="0" xfId="0" applyAlignment="1">
      <alignment horizontal="right"/>
    </xf>
    <xf numFmtId="0" fontId="0" fillId="17" borderId="0" xfId="0" applyFill="1"/>
    <xf numFmtId="0" fontId="0" fillId="3" borderId="0" xfId="0" applyFill="1"/>
    <xf numFmtId="166" fontId="0" fillId="2" borderId="0" xfId="0" applyNumberFormat="1" applyFill="1"/>
    <xf numFmtId="164" fontId="0" fillId="0" borderId="1" xfId="0" applyNumberFormat="1" applyBorder="1"/>
    <xf numFmtId="0" fontId="0" fillId="7" borderId="2" xfId="0" applyFill="1" applyBorder="1" applyAlignment="1">
      <alignment horizontal="center"/>
    </xf>
    <xf numFmtId="0" fontId="0" fillId="7" borderId="3" xfId="0" applyFill="1" applyBorder="1" applyAlignment="1">
      <alignment horizontal="center"/>
    </xf>
    <xf numFmtId="0" fontId="0" fillId="7" borderId="4" xfId="0" applyFill="1" applyBorder="1" applyAlignment="1">
      <alignment horizontal="center"/>
    </xf>
    <xf numFmtId="166" fontId="0" fillId="0" borderId="10" xfId="0" applyNumberFormat="1" applyBorder="1"/>
    <xf numFmtId="166" fontId="0" fillId="0" borderId="5" xfId="0" applyNumberFormat="1" applyBorder="1"/>
    <xf numFmtId="164" fontId="0" fillId="0" borderId="13" xfId="1" applyNumberFormat="1" applyFont="1" applyFill="1" applyBorder="1" applyAlignment="1">
      <alignment horizontal="center"/>
    </xf>
    <xf numFmtId="9" fontId="0" fillId="0" borderId="0" xfId="0" applyNumberFormat="1"/>
    <xf numFmtId="0" fontId="0" fillId="3" borderId="14" xfId="0" applyFill="1" applyBorder="1"/>
    <xf numFmtId="164" fontId="0" fillId="3" borderId="0" xfId="1" applyNumberFormat="1" applyFont="1" applyFill="1" applyBorder="1"/>
    <xf numFmtId="164" fontId="0" fillId="3" borderId="8" xfId="1" applyNumberFormat="1" applyFont="1" applyFill="1" applyBorder="1"/>
    <xf numFmtId="0" fontId="0" fillId="3" borderId="9" xfId="0" applyFill="1" applyBorder="1"/>
    <xf numFmtId="164" fontId="0" fillId="3" borderId="9" xfId="1" applyNumberFormat="1" applyFont="1" applyFill="1" applyBorder="1"/>
    <xf numFmtId="0" fontId="0" fillId="8" borderId="0" xfId="0" applyFill="1" applyBorder="1"/>
    <xf numFmtId="0" fontId="0" fillId="8" borderId="8" xfId="0" applyFill="1" applyBorder="1"/>
    <xf numFmtId="165" fontId="0" fillId="0" borderId="0" xfId="0" applyNumberFormat="1" applyBorder="1"/>
    <xf numFmtId="0" fontId="0" fillId="9" borderId="0" xfId="0" applyFill="1" applyAlignment="1"/>
    <xf numFmtId="0" fontId="0" fillId="8" borderId="0" xfId="0" applyFill="1" applyAlignment="1"/>
    <xf numFmtId="0" fontId="0" fillId="16" borderId="0" xfId="0" applyFill="1" applyAlignment="1"/>
    <xf numFmtId="0" fontId="0" fillId="2" borderId="0" xfId="0" applyFill="1" applyAlignment="1"/>
    <xf numFmtId="0" fontId="0" fillId="12" borderId="0" xfId="0" applyFill="1" applyAlignment="1"/>
    <xf numFmtId="164" fontId="0" fillId="0" borderId="15" xfId="0" applyNumberFormat="1" applyBorder="1"/>
    <xf numFmtId="164" fontId="0" fillId="0" borderId="13" xfId="0" applyNumberFormat="1" applyBorder="1"/>
    <xf numFmtId="166" fontId="0" fillId="0" borderId="0" xfId="0" applyNumberFormat="1"/>
    <xf numFmtId="167" fontId="4" fillId="0" borderId="3" xfId="0" applyNumberFormat="1" applyFont="1" applyBorder="1"/>
    <xf numFmtId="167" fontId="2" fillId="0" borderId="3" xfId="0" applyNumberFormat="1" applyFont="1" applyBorder="1"/>
    <xf numFmtId="0" fontId="0" fillId="10" borderId="0" xfId="0" applyFill="1" applyAlignment="1"/>
    <xf numFmtId="0" fontId="0" fillId="10" borderId="0" xfId="0" applyFill="1"/>
    <xf numFmtId="10" fontId="2" fillId="0" borderId="5" xfId="1" applyNumberFormat="1" applyFont="1" applyBorder="1"/>
    <xf numFmtId="10" fontId="2" fillId="0" borderId="10" xfId="1" applyNumberFormat="1" applyFont="1" applyBorder="1"/>
    <xf numFmtId="168" fontId="0" fillId="0" borderId="0" xfId="0" applyNumberFormat="1"/>
    <xf numFmtId="0" fontId="0" fillId="7" borderId="2" xfId="0" applyFill="1" applyBorder="1" applyAlignment="1">
      <alignment horizontal="center"/>
    </xf>
    <xf numFmtId="0" fontId="0" fillId="7" borderId="3" xfId="0" applyFill="1" applyBorder="1" applyAlignment="1">
      <alignment horizontal="center"/>
    </xf>
    <xf numFmtId="0" fontId="0" fillId="7" borderId="4" xfId="0" applyFill="1" applyBorder="1" applyAlignment="1">
      <alignment horizontal="center"/>
    </xf>
    <xf numFmtId="0" fontId="0" fillId="8" borderId="8" xfId="0" applyFill="1" applyBorder="1" applyAlignment="1">
      <alignment horizontal="center"/>
    </xf>
    <xf numFmtId="0" fontId="0" fillId="8" borderId="9" xfId="0" applyFill="1" applyBorder="1" applyAlignment="1">
      <alignment horizontal="center"/>
    </xf>
    <xf numFmtId="0" fontId="0" fillId="11" borderId="2" xfId="0" applyFill="1" applyBorder="1" applyAlignment="1">
      <alignment horizontal="center"/>
    </xf>
    <xf numFmtId="0" fontId="0" fillId="11" borderId="3" xfId="0" applyFill="1" applyBorder="1" applyAlignment="1">
      <alignment horizontal="center"/>
    </xf>
    <xf numFmtId="0" fontId="0" fillId="11" borderId="12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12" borderId="10" xfId="0" applyFill="1" applyBorder="1" applyAlignment="1">
      <alignment horizontal="center"/>
    </xf>
    <xf numFmtId="0" fontId="0" fillId="12" borderId="11" xfId="0" applyFill="1" applyBorder="1" applyAlignment="1">
      <alignment horizontal="center"/>
    </xf>
    <xf numFmtId="0" fontId="0" fillId="10" borderId="5" xfId="0" applyFill="1" applyBorder="1" applyAlignment="1">
      <alignment horizontal="center"/>
    </xf>
    <xf numFmtId="0" fontId="0" fillId="10" borderId="6" xfId="0" applyFill="1" applyBorder="1" applyAlignment="1">
      <alignment horizontal="center"/>
    </xf>
    <xf numFmtId="0" fontId="0" fillId="8" borderId="10" xfId="0" applyFill="1" applyBorder="1" applyAlignment="1">
      <alignment horizontal="center"/>
    </xf>
    <xf numFmtId="0" fontId="0" fillId="8" borderId="11" xfId="0" applyFill="1" applyBorder="1" applyAlignment="1">
      <alignment horizontal="center"/>
    </xf>
    <xf numFmtId="0" fontId="0" fillId="10" borderId="8" xfId="0" applyFill="1" applyBorder="1" applyAlignment="1">
      <alignment horizontal="center"/>
    </xf>
    <xf numFmtId="0" fontId="0" fillId="10" borderId="9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5" borderId="7" xfId="0" applyFill="1" applyBorder="1" applyAlignment="1">
      <alignment horizontal="center"/>
    </xf>
    <xf numFmtId="0" fontId="0" fillId="7" borderId="5" xfId="0" applyFill="1" applyBorder="1" applyAlignment="1">
      <alignment horizontal="center"/>
    </xf>
    <xf numFmtId="0" fontId="0" fillId="7" borderId="6" xfId="0" applyFill="1" applyBorder="1" applyAlignment="1">
      <alignment horizontal="center"/>
    </xf>
    <xf numFmtId="0" fontId="0" fillId="7" borderId="7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10" borderId="7" xfId="0" applyFill="1" applyBorder="1" applyAlignment="1">
      <alignment horizontal="center"/>
    </xf>
    <xf numFmtId="0" fontId="0" fillId="11" borderId="1" xfId="0" applyFill="1" applyBorder="1" applyAlignment="1">
      <alignment horizont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0" fillId="12" borderId="2" xfId="0" applyFill="1" applyBorder="1" applyAlignment="1">
      <alignment horizontal="center"/>
    </xf>
    <xf numFmtId="0" fontId="0" fillId="12" borderId="4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164" fontId="0" fillId="0" borderId="5" xfId="1" applyNumberFormat="1" applyFont="1" applyBorder="1" applyAlignment="1">
      <alignment horizontal="center"/>
    </xf>
    <xf numFmtId="164" fontId="0" fillId="0" borderId="7" xfId="1" applyNumberFormat="1" applyFont="1" applyBorder="1" applyAlignment="1">
      <alignment horizontal="center"/>
    </xf>
    <xf numFmtId="164" fontId="0" fillId="0" borderId="10" xfId="1" applyNumberFormat="1" applyFont="1" applyBorder="1" applyAlignment="1">
      <alignment horizontal="center"/>
    </xf>
    <xf numFmtId="164" fontId="0" fillId="0" borderId="12" xfId="1" applyNumberFormat="1" applyFont="1" applyBorder="1" applyAlignment="1">
      <alignment horizontal="center"/>
    </xf>
    <xf numFmtId="0" fontId="0" fillId="6" borderId="5" xfId="0" applyFill="1" applyBorder="1" applyAlignment="1">
      <alignment horizontal="center"/>
    </xf>
    <xf numFmtId="0" fontId="0" fillId="6" borderId="6" xfId="0" applyFill="1" applyBorder="1" applyAlignment="1">
      <alignment horizontal="center"/>
    </xf>
    <xf numFmtId="0" fontId="0" fillId="6" borderId="7" xfId="0" applyFill="1" applyBorder="1" applyAlignment="1">
      <alignment horizontal="center"/>
    </xf>
    <xf numFmtId="0" fontId="0" fillId="8" borderId="12" xfId="0" applyFill="1" applyBorder="1" applyAlignment="1">
      <alignment horizontal="center"/>
    </xf>
    <xf numFmtId="0" fontId="0" fillId="8" borderId="2" xfId="0" applyFill="1" applyBorder="1" applyAlignment="1">
      <alignment horizontal="center"/>
    </xf>
    <xf numFmtId="0" fontId="0" fillId="8" borderId="3" xfId="0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15" borderId="6" xfId="0" applyFill="1" applyBorder="1" applyAlignment="1">
      <alignment horizontal="center"/>
    </xf>
    <xf numFmtId="0" fontId="0" fillId="15" borderId="7" xfId="0" applyFill="1" applyBorder="1" applyAlignment="1">
      <alignment horizontal="center"/>
    </xf>
    <xf numFmtId="0" fontId="0" fillId="15" borderId="11" xfId="0" applyFill="1" applyBorder="1" applyAlignment="1">
      <alignment horizontal="center"/>
    </xf>
    <xf numFmtId="0" fontId="0" fillId="15" borderId="12" xfId="0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9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4" borderId="0" xfId="0" applyFill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986475-E142-46B6-ADBD-612F8B77D2A2}">
  <dimension ref="A1:AL29"/>
  <sheetViews>
    <sheetView zoomScale="70" zoomScaleNormal="70" workbookViewId="0">
      <selection sqref="A1:C3"/>
    </sheetView>
  </sheetViews>
  <sheetFormatPr defaultRowHeight="12.75" x14ac:dyDescent="0.2"/>
  <cols>
    <col min="1" max="1" width="17.85546875" bestFit="1" customWidth="1"/>
    <col min="2" max="35" width="10.7109375" customWidth="1"/>
    <col min="36" max="36" width="17.85546875" customWidth="1"/>
    <col min="37" max="38" width="10.7109375" customWidth="1"/>
  </cols>
  <sheetData>
    <row r="1" spans="1:37" x14ac:dyDescent="0.2">
      <c r="A1" s="143" t="s">
        <v>169</v>
      </c>
      <c r="B1" s="144"/>
      <c r="C1" s="145"/>
      <c r="K1" s="152" t="s">
        <v>35</v>
      </c>
      <c r="L1" s="153"/>
      <c r="M1" s="62" t="s">
        <v>31</v>
      </c>
      <c r="N1" s="62" t="s">
        <v>32</v>
      </c>
      <c r="O1" s="4" t="s">
        <v>39</v>
      </c>
      <c r="P1" s="154" t="s">
        <v>41</v>
      </c>
      <c r="Q1" s="155"/>
    </row>
    <row r="2" spans="1:37" x14ac:dyDescent="0.2">
      <c r="A2" s="146"/>
      <c r="B2" s="147"/>
      <c r="C2" s="148"/>
      <c r="K2" s="60" t="s">
        <v>37</v>
      </c>
      <c r="L2" s="61"/>
      <c r="M2" s="63">
        <f>$B$7*($AK$25-2*$AK$26)</f>
        <v>134.28785259087888</v>
      </c>
      <c r="N2" s="63">
        <f>$B$7*($AK$25+2*$AK$26)</f>
        <v>146.43744956150778</v>
      </c>
      <c r="O2" s="65">
        <f>AVERAGE(M2:N2)</f>
        <v>140.36265107619334</v>
      </c>
      <c r="P2" s="156">
        <f>$O$2/AF14-1</f>
        <v>4.2813158069787249E-2</v>
      </c>
      <c r="Q2" s="157"/>
    </row>
    <row r="3" spans="1:37" x14ac:dyDescent="0.2">
      <c r="A3" s="149"/>
      <c r="B3" s="150"/>
      <c r="C3" s="151"/>
      <c r="K3" s="46" t="s">
        <v>38</v>
      </c>
      <c r="L3" s="19"/>
      <c r="M3" s="64">
        <f>$C$7*($AK$25-2*$AK$26)</f>
        <v>136.9339186517829</v>
      </c>
      <c r="N3" s="64">
        <f>$C$7*($AK$25+2*$AK$26)</f>
        <v>149.32291654794142</v>
      </c>
      <c r="O3" s="66">
        <f>AVERAGE(M3:N3)</f>
        <v>143.12841759986216</v>
      </c>
      <c r="P3" s="158">
        <f>$O$3/AF15-1</f>
        <v>6.6530682562311316E-2</v>
      </c>
      <c r="Q3" s="159"/>
    </row>
    <row r="4" spans="1:37" x14ac:dyDescent="0.2">
      <c r="A4" s="51"/>
      <c r="B4" s="51"/>
      <c r="C4" s="51"/>
      <c r="N4" s="4" t="s">
        <v>40</v>
      </c>
      <c r="O4" s="66">
        <f>AVERAGE(O2:O3)</f>
        <v>141.74553433802777</v>
      </c>
      <c r="P4" s="158">
        <f>$O$4/AF15-1</f>
        <v>5.6226038286347091E-2</v>
      </c>
      <c r="Q4" s="159"/>
    </row>
    <row r="5" spans="1:37" x14ac:dyDescent="0.2">
      <c r="A5" s="59" t="s">
        <v>34</v>
      </c>
      <c r="B5" s="49" t="s">
        <v>31</v>
      </c>
      <c r="C5" s="50" t="s">
        <v>32</v>
      </c>
      <c r="D5" s="87"/>
      <c r="E5" s="87"/>
    </row>
    <row r="6" spans="1:37" ht="15.75" x14ac:dyDescent="0.25">
      <c r="A6" s="53" t="s">
        <v>33</v>
      </c>
      <c r="B6" s="57">
        <v>1015</v>
      </c>
      <c r="C6" s="58">
        <v>1035</v>
      </c>
    </row>
    <row r="7" spans="1:37" ht="14.25" x14ac:dyDescent="0.2">
      <c r="A7" s="54" t="s">
        <v>36</v>
      </c>
      <c r="B7" s="55">
        <f>B6*$AK$24</f>
        <v>562.84607527405899</v>
      </c>
      <c r="C7" s="56">
        <f>C6*$AK$24</f>
        <v>573.93663833364633</v>
      </c>
    </row>
    <row r="8" spans="1:37" x14ac:dyDescent="0.2">
      <c r="F8" s="51"/>
      <c r="G8" s="51"/>
      <c r="H8" s="51"/>
    </row>
    <row r="9" spans="1:37" x14ac:dyDescent="0.2">
      <c r="F9" s="51"/>
      <c r="G9" s="51"/>
      <c r="H9" s="51"/>
    </row>
    <row r="10" spans="1:37" x14ac:dyDescent="0.2">
      <c r="H10" s="142" t="s">
        <v>15</v>
      </c>
      <c r="I10" s="142"/>
      <c r="J10" s="36">
        <f>AVERAGE(F13:AJ13)</f>
        <v>1.085955255665882</v>
      </c>
      <c r="AG10" s="142" t="s">
        <v>16</v>
      </c>
      <c r="AH10" s="142"/>
      <c r="AI10" s="142"/>
      <c r="AJ10" s="80">
        <f>AVERAGE(AE13:AJ13)</f>
        <v>1.0756220779543286</v>
      </c>
    </row>
    <row r="11" spans="1:37" x14ac:dyDescent="0.2">
      <c r="A11" s="52" t="s">
        <v>6</v>
      </c>
      <c r="B11" s="111">
        <v>2013</v>
      </c>
      <c r="C11" s="112"/>
      <c r="D11" s="112"/>
      <c r="E11" s="113"/>
      <c r="F11" s="129">
        <v>2014</v>
      </c>
      <c r="G11" s="129"/>
      <c r="H11" s="129"/>
      <c r="I11" s="130"/>
      <c r="J11" s="131">
        <v>2015</v>
      </c>
      <c r="K11" s="132"/>
      <c r="L11" s="132"/>
      <c r="M11" s="133"/>
      <c r="N11" s="131">
        <v>2016</v>
      </c>
      <c r="O11" s="132"/>
      <c r="P11" s="132"/>
      <c r="Q11" s="133"/>
      <c r="R11" s="134">
        <v>2017</v>
      </c>
      <c r="S11" s="135"/>
      <c r="T11" s="135"/>
      <c r="U11" s="136"/>
      <c r="V11" s="160">
        <v>2018</v>
      </c>
      <c r="W11" s="161"/>
      <c r="X11" s="161"/>
      <c r="Y11" s="162"/>
      <c r="Z11" s="137">
        <v>2019</v>
      </c>
      <c r="AA11" s="138"/>
      <c r="AB11" s="138"/>
      <c r="AC11" s="139"/>
      <c r="AD11" s="140">
        <v>2020</v>
      </c>
      <c r="AE11" s="129"/>
      <c r="AF11" s="129"/>
      <c r="AG11" s="130"/>
      <c r="AH11" s="131">
        <v>2021</v>
      </c>
      <c r="AI11" s="132"/>
      <c r="AJ11" s="132"/>
      <c r="AK11" s="133"/>
    </row>
    <row r="12" spans="1:37" x14ac:dyDescent="0.2">
      <c r="A12" s="14" t="s">
        <v>19</v>
      </c>
      <c r="B12" s="81" t="s">
        <v>20</v>
      </c>
      <c r="C12" s="82" t="s">
        <v>3</v>
      </c>
      <c r="D12" s="82" t="s">
        <v>4</v>
      </c>
      <c r="E12" s="83" t="s">
        <v>5</v>
      </c>
      <c r="F12" s="20" t="s">
        <v>20</v>
      </c>
      <c r="G12" s="20" t="s">
        <v>3</v>
      </c>
      <c r="H12" s="20" t="s">
        <v>4</v>
      </c>
      <c r="I12" s="20" t="s">
        <v>5</v>
      </c>
      <c r="J12" s="21" t="s">
        <v>20</v>
      </c>
      <c r="K12" s="22" t="s">
        <v>3</v>
      </c>
      <c r="L12" s="22" t="s">
        <v>4</v>
      </c>
      <c r="M12" s="22" t="s">
        <v>5</v>
      </c>
      <c r="N12" s="21" t="s">
        <v>20</v>
      </c>
      <c r="O12" s="22" t="s">
        <v>3</v>
      </c>
      <c r="P12" s="22" t="s">
        <v>4</v>
      </c>
      <c r="Q12" s="22" t="s">
        <v>5</v>
      </c>
      <c r="R12" s="23" t="s">
        <v>20</v>
      </c>
      <c r="S12" s="24" t="s">
        <v>3</v>
      </c>
      <c r="T12" s="24" t="s">
        <v>4</v>
      </c>
      <c r="U12" s="24" t="s">
        <v>5</v>
      </c>
      <c r="V12" s="25" t="s">
        <v>20</v>
      </c>
      <c r="W12" s="26" t="s">
        <v>3</v>
      </c>
      <c r="X12" s="26" t="s">
        <v>4</v>
      </c>
      <c r="Y12" s="26" t="s">
        <v>5</v>
      </c>
      <c r="Z12" s="27" t="s">
        <v>20</v>
      </c>
      <c r="AA12" s="28" t="s">
        <v>3</v>
      </c>
      <c r="AB12" s="28" t="s">
        <v>4</v>
      </c>
      <c r="AC12" s="28" t="s">
        <v>5</v>
      </c>
      <c r="AD12" s="29" t="s">
        <v>20</v>
      </c>
      <c r="AE12" s="20" t="s">
        <v>3</v>
      </c>
      <c r="AF12" s="20" t="s">
        <v>4</v>
      </c>
      <c r="AG12" s="20" t="s">
        <v>5</v>
      </c>
      <c r="AH12" s="38" t="s">
        <v>20</v>
      </c>
      <c r="AI12" s="39" t="s">
        <v>3</v>
      </c>
      <c r="AJ12" s="40" t="s">
        <v>21</v>
      </c>
      <c r="AK12" s="30" t="s">
        <v>22</v>
      </c>
    </row>
    <row r="13" spans="1:37" x14ac:dyDescent="0.2">
      <c r="A13" s="35" t="s">
        <v>2</v>
      </c>
      <c r="B13" s="31"/>
      <c r="C13" s="31"/>
      <c r="D13" s="31"/>
      <c r="E13" s="31"/>
      <c r="F13" s="86"/>
      <c r="G13" s="86"/>
      <c r="H13" s="86"/>
      <c r="I13" s="86"/>
      <c r="J13" s="86"/>
      <c r="K13" s="86"/>
      <c r="L13" s="86"/>
      <c r="M13" s="86"/>
      <c r="N13" s="86">
        <f t="shared" ref="N13:AI13" si="0">N15/J15</f>
        <v>1.1045977011494252</v>
      </c>
      <c r="O13" s="86">
        <f t="shared" si="0"/>
        <v>1.1077441077441079</v>
      </c>
      <c r="P13" s="86">
        <f t="shared" si="0"/>
        <v>1.1298405466970387</v>
      </c>
      <c r="Q13" s="86">
        <f t="shared" si="0"/>
        <v>1.076844262295082</v>
      </c>
      <c r="R13" s="86">
        <f t="shared" si="0"/>
        <v>1.0343392299687826</v>
      </c>
      <c r="S13" s="86">
        <f t="shared" si="0"/>
        <v>1.0131712259371835</v>
      </c>
      <c r="T13" s="86">
        <f t="shared" si="0"/>
        <v>0.99092741935483863</v>
      </c>
      <c r="U13" s="86">
        <f t="shared" si="0"/>
        <v>1.0780209324452903</v>
      </c>
      <c r="V13" s="86">
        <f t="shared" si="0"/>
        <v>1.0694164989939636</v>
      </c>
      <c r="W13" s="86">
        <f t="shared" si="0"/>
        <v>1.097</v>
      </c>
      <c r="X13" s="86">
        <f t="shared" si="0"/>
        <v>1.0935910478128179</v>
      </c>
      <c r="Y13" s="86">
        <f t="shared" si="0"/>
        <v>1.1050308914386584</v>
      </c>
      <c r="Z13" s="86">
        <f t="shared" si="0"/>
        <v>1.1006585136406397</v>
      </c>
      <c r="AA13" s="86">
        <f t="shared" si="0"/>
        <v>1.1759343664539654</v>
      </c>
      <c r="AB13" s="86">
        <f t="shared" si="0"/>
        <v>1.1925581395348837</v>
      </c>
      <c r="AC13" s="86">
        <f t="shared" si="0"/>
        <v>1.1381789137380192</v>
      </c>
      <c r="AD13" s="86">
        <f t="shared" si="0"/>
        <v>1.0153846153846153</v>
      </c>
      <c r="AE13" s="86">
        <f t="shared" si="0"/>
        <v>0.67751937984496124</v>
      </c>
      <c r="AF13" s="86">
        <f t="shared" si="0"/>
        <v>1.0468018720748831</v>
      </c>
      <c r="AG13" s="86">
        <f t="shared" si="0"/>
        <v>0.99368421052631573</v>
      </c>
      <c r="AH13" s="86">
        <f t="shared" si="0"/>
        <v>1.042929292929293</v>
      </c>
      <c r="AI13" s="86">
        <f t="shared" si="0"/>
        <v>1.6430205949656749</v>
      </c>
      <c r="AJ13" s="86">
        <f>AJ14/AF14</f>
        <v>1.049777117384844</v>
      </c>
      <c r="AK13" s="32"/>
    </row>
    <row r="14" spans="1:37" x14ac:dyDescent="0.2">
      <c r="A14" s="15" t="s">
        <v>0</v>
      </c>
      <c r="B14" s="7"/>
      <c r="C14" s="7"/>
      <c r="D14" s="7"/>
      <c r="E14" s="7"/>
      <c r="F14" s="7"/>
      <c r="G14" s="7"/>
      <c r="H14" s="7"/>
      <c r="I14" s="7"/>
      <c r="J14" s="9">
        <v>87</v>
      </c>
      <c r="K14" s="6">
        <v>89.1</v>
      </c>
      <c r="L14" s="6">
        <v>87.8</v>
      </c>
      <c r="M14" s="6">
        <v>97.6</v>
      </c>
      <c r="N14" s="9">
        <v>96.1</v>
      </c>
      <c r="O14" s="6">
        <v>98.7</v>
      </c>
      <c r="P14" s="6">
        <v>99.2</v>
      </c>
      <c r="Q14" s="6">
        <v>105.1</v>
      </c>
      <c r="R14" s="9">
        <v>99.2</v>
      </c>
      <c r="S14" s="6">
        <v>99.7</v>
      </c>
      <c r="T14" s="6">
        <v>98</v>
      </c>
      <c r="U14" s="6">
        <v>113</v>
      </c>
      <c r="V14" s="9">
        <v>106.3</v>
      </c>
      <c r="W14" s="6">
        <v>109.7</v>
      </c>
      <c r="X14" s="6">
        <v>107.5</v>
      </c>
      <c r="Y14" s="6">
        <v>125.2</v>
      </c>
      <c r="Z14" s="9">
        <v>117</v>
      </c>
      <c r="AA14" s="6">
        <v>129</v>
      </c>
      <c r="AB14" s="6">
        <v>128.19999999999999</v>
      </c>
      <c r="AC14" s="6">
        <v>142.5</v>
      </c>
      <c r="AD14" s="9">
        <v>118.8</v>
      </c>
      <c r="AE14" s="6">
        <v>87.4</v>
      </c>
      <c r="AF14" s="6">
        <v>134.6</v>
      </c>
      <c r="AG14" s="6">
        <v>141.6</v>
      </c>
      <c r="AH14" s="6">
        <v>123.9</v>
      </c>
      <c r="AI14" s="6">
        <v>143.6</v>
      </c>
      <c r="AJ14" s="6">
        <v>141.30000000000001</v>
      </c>
      <c r="AK14" s="6">
        <v>153.1</v>
      </c>
    </row>
    <row r="15" spans="1:37" x14ac:dyDescent="0.2">
      <c r="A15" s="15" t="s">
        <v>1</v>
      </c>
      <c r="B15" s="6"/>
      <c r="C15" s="6"/>
      <c r="D15" s="6"/>
      <c r="E15" s="6"/>
      <c r="F15" s="6"/>
      <c r="G15" s="6"/>
      <c r="H15" s="6"/>
      <c r="I15" s="6"/>
      <c r="J15" s="9">
        <v>87</v>
      </c>
      <c r="K15" s="6">
        <v>89.1</v>
      </c>
      <c r="L15" s="6">
        <v>87.8</v>
      </c>
      <c r="M15" s="6">
        <v>97.6</v>
      </c>
      <c r="N15" s="9">
        <v>96.1</v>
      </c>
      <c r="O15" s="6">
        <v>98.7</v>
      </c>
      <c r="P15" s="6">
        <v>99.2</v>
      </c>
      <c r="Q15" s="6">
        <v>105.1</v>
      </c>
      <c r="R15" s="9">
        <v>99.4</v>
      </c>
      <c r="S15" s="6">
        <v>100</v>
      </c>
      <c r="T15" s="6">
        <v>98.3</v>
      </c>
      <c r="U15" s="6">
        <v>113.3</v>
      </c>
      <c r="V15" s="9">
        <v>106.3</v>
      </c>
      <c r="W15" s="6">
        <v>109.7</v>
      </c>
      <c r="X15" s="6">
        <v>107.5</v>
      </c>
      <c r="Y15" s="6">
        <v>125.2</v>
      </c>
      <c r="Z15" s="9">
        <v>117</v>
      </c>
      <c r="AA15" s="6">
        <v>129</v>
      </c>
      <c r="AB15" s="6">
        <v>128.19999999999999</v>
      </c>
      <c r="AC15" s="6">
        <v>142.5</v>
      </c>
      <c r="AD15" s="9">
        <v>118.8</v>
      </c>
      <c r="AE15" s="6">
        <v>87.4</v>
      </c>
      <c r="AF15" s="6">
        <v>134.19999999999999</v>
      </c>
      <c r="AG15" s="6">
        <v>141.6</v>
      </c>
      <c r="AH15" s="9">
        <v>123.9</v>
      </c>
      <c r="AI15" s="6">
        <v>143.6</v>
      </c>
      <c r="AJ15" s="9"/>
      <c r="AK15" s="10"/>
    </row>
    <row r="16" spans="1:37" x14ac:dyDescent="0.2">
      <c r="A16" s="15" t="s">
        <v>157</v>
      </c>
      <c r="B16" s="9"/>
      <c r="C16" s="6"/>
      <c r="D16" s="6"/>
      <c r="E16" s="10"/>
      <c r="F16" s="9"/>
      <c r="G16" s="6"/>
      <c r="H16" s="6"/>
      <c r="I16" s="10"/>
      <c r="J16" s="9">
        <v>177.9</v>
      </c>
      <c r="K16" s="6">
        <v>181</v>
      </c>
      <c r="L16" s="6">
        <v>169.2</v>
      </c>
      <c r="M16" s="10">
        <v>191</v>
      </c>
      <c r="N16" s="9">
        <v>181.2</v>
      </c>
      <c r="O16" s="6">
        <v>193.4</v>
      </c>
      <c r="P16" s="6">
        <v>184.8</v>
      </c>
      <c r="Q16" s="10">
        <v>204.1</v>
      </c>
      <c r="R16" s="9">
        <v>184.9</v>
      </c>
      <c r="S16" s="6">
        <v>195.1</v>
      </c>
      <c r="T16" s="6">
        <v>188.1</v>
      </c>
      <c r="U16" s="10">
        <v>220.5</v>
      </c>
      <c r="V16" s="9">
        <v>202.1</v>
      </c>
      <c r="W16" s="6">
        <v>212.8</v>
      </c>
      <c r="X16" s="6">
        <v>202.3</v>
      </c>
      <c r="Y16" s="10">
        <v>242.4</v>
      </c>
      <c r="Z16" s="9">
        <v>218.4</v>
      </c>
      <c r="AA16" s="6">
        <v>238.3</v>
      </c>
      <c r="AB16" s="6">
        <v>233.6</v>
      </c>
      <c r="AC16" s="10">
        <v>264.89999999999998</v>
      </c>
      <c r="AD16" s="9">
        <v>214</v>
      </c>
      <c r="AE16" s="6">
        <v>157.80000000000001</v>
      </c>
      <c r="AF16" s="6">
        <v>237.8</v>
      </c>
      <c r="AG16" s="10">
        <v>252.8</v>
      </c>
      <c r="AH16" s="9">
        <v>232.7</v>
      </c>
      <c r="AI16">
        <v>255.2</v>
      </c>
      <c r="AJ16" s="110">
        <v>255.5</v>
      </c>
      <c r="AK16" s="10"/>
    </row>
    <row r="17" spans="1:38" x14ac:dyDescent="0.2">
      <c r="A17" s="88" t="s">
        <v>18</v>
      </c>
      <c r="B17" s="89"/>
      <c r="C17" s="89"/>
      <c r="D17" s="89"/>
      <c r="E17" s="89"/>
      <c r="F17" s="89"/>
      <c r="G17" s="89"/>
      <c r="H17" s="89"/>
      <c r="I17" s="89"/>
      <c r="J17" s="89">
        <f t="shared" ref="J17:L17" si="1">J15/J16</f>
        <v>0.48903878583473859</v>
      </c>
      <c r="K17" s="89">
        <f t="shared" si="1"/>
        <v>0.49226519337016572</v>
      </c>
      <c r="L17" s="89">
        <f t="shared" si="1"/>
        <v>0.51891252955082745</v>
      </c>
      <c r="M17" s="89">
        <f t="shared" ref="M17" si="2">M15/M16</f>
        <v>0.5109947643979057</v>
      </c>
      <c r="N17" s="89">
        <f t="shared" ref="N17:AI17" si="3">N15/N16</f>
        <v>0.5303532008830022</v>
      </c>
      <c r="O17" s="89">
        <f t="shared" si="3"/>
        <v>0.51034126163391935</v>
      </c>
      <c r="P17" s="89">
        <f t="shared" si="3"/>
        <v>0.53679653679653683</v>
      </c>
      <c r="Q17" s="89">
        <f t="shared" si="3"/>
        <v>0.51494365507104356</v>
      </c>
      <c r="R17" s="89">
        <f t="shared" si="3"/>
        <v>0.53758788534342894</v>
      </c>
      <c r="S17" s="89">
        <f t="shared" si="3"/>
        <v>0.51255766273705794</v>
      </c>
      <c r="T17" s="89">
        <f t="shared" si="3"/>
        <v>0.52259436469962783</v>
      </c>
      <c r="U17" s="89">
        <f t="shared" si="3"/>
        <v>0.51383219954648529</v>
      </c>
      <c r="V17" s="89">
        <f t="shared" si="3"/>
        <v>0.52597723899059867</v>
      </c>
      <c r="W17" s="89">
        <f t="shared" si="3"/>
        <v>0.51550751879699241</v>
      </c>
      <c r="X17" s="89">
        <f t="shared" si="3"/>
        <v>0.53138902619871475</v>
      </c>
      <c r="Y17" s="89">
        <f t="shared" si="3"/>
        <v>0.51650165016501648</v>
      </c>
      <c r="Z17" s="89">
        <f t="shared" si="3"/>
        <v>0.5357142857142857</v>
      </c>
      <c r="AA17" s="89">
        <f t="shared" si="3"/>
        <v>0.54133445237096089</v>
      </c>
      <c r="AB17" s="89">
        <f t="shared" si="3"/>
        <v>0.54880136986301364</v>
      </c>
      <c r="AC17" s="89">
        <f t="shared" si="3"/>
        <v>0.53793884484711219</v>
      </c>
      <c r="AD17" s="89">
        <f t="shared" si="3"/>
        <v>0.55514018691588785</v>
      </c>
      <c r="AE17" s="89">
        <f t="shared" si="3"/>
        <v>0.55386565272496835</v>
      </c>
      <c r="AF17" s="89">
        <f t="shared" si="3"/>
        <v>0.56433978132884766</v>
      </c>
      <c r="AG17" s="89">
        <f t="shared" si="3"/>
        <v>0.560126582278481</v>
      </c>
      <c r="AH17" s="89">
        <f t="shared" si="3"/>
        <v>0.53244520842286214</v>
      </c>
      <c r="AI17" s="89">
        <f t="shared" si="3"/>
        <v>0.56269592476489028</v>
      </c>
      <c r="AJ17" s="90">
        <f>AJ14/AJ16</f>
        <v>0.55303326810176134</v>
      </c>
      <c r="AK17" s="91"/>
    </row>
    <row r="18" spans="1:38" x14ac:dyDescent="0.2">
      <c r="A18" s="88" t="s">
        <v>24</v>
      </c>
      <c r="B18" s="89"/>
      <c r="C18" s="89"/>
      <c r="D18" s="89"/>
      <c r="E18" s="92"/>
      <c r="F18" s="89"/>
      <c r="G18" s="89"/>
      <c r="H18" s="89"/>
      <c r="I18" s="92"/>
      <c r="J18" s="89">
        <f>J15/SUM(J15:M15)</f>
        <v>0.24066390041493776</v>
      </c>
      <c r="K18" s="89">
        <f>K15/SUM(J15:M15)</f>
        <v>0.24647302904564314</v>
      </c>
      <c r="L18" s="89">
        <f>L15/SUM(J15:M15)</f>
        <v>0.24287690179806362</v>
      </c>
      <c r="M18" s="92">
        <f>M15/SUM(J15:M15)</f>
        <v>0.26998616874135545</v>
      </c>
      <c r="N18" s="89">
        <f>N15/SUM(N15:Q15)</f>
        <v>0.24079178150839387</v>
      </c>
      <c r="O18" s="89">
        <f>O15/SUM(N15:Q15)</f>
        <v>0.24730643948884989</v>
      </c>
      <c r="P18" s="89">
        <f>P15/SUM(N15:Q15)</f>
        <v>0.24855925833124529</v>
      </c>
      <c r="Q18" s="92">
        <f>Q15/SUM(N15:Q15)</f>
        <v>0.26334252067151087</v>
      </c>
      <c r="R18" s="89">
        <f>R15/SUM(R15:U15)</f>
        <v>0.24184914841849151</v>
      </c>
      <c r="S18" s="89">
        <f>S15/SUM(R15:U15)</f>
        <v>0.24330900243309003</v>
      </c>
      <c r="T18" s="89">
        <f>T15/SUM(R15:U15)</f>
        <v>0.23917274939172747</v>
      </c>
      <c r="U18" s="92">
        <f>U15/SUM(R15:U15)</f>
        <v>0.27566909975669102</v>
      </c>
      <c r="V18" s="89">
        <f>V15/SUM(V15:Y15)</f>
        <v>0.23690661912190775</v>
      </c>
      <c r="W18" s="89">
        <f>W15/SUM(V15:Y15)</f>
        <v>0.2444840650768888</v>
      </c>
      <c r="X18" s="89">
        <f>X15/SUM(V15:Y15)</f>
        <v>0.23958101181190106</v>
      </c>
      <c r="Y18" s="92">
        <f>Y15/SUM(V15:Y15)</f>
        <v>0.27902830398930245</v>
      </c>
      <c r="Z18" s="89">
        <f>Z15/SUM(Z15:AC15)</f>
        <v>0.22643700406425391</v>
      </c>
      <c r="AA18" s="89">
        <f>AA15/SUM(Z15:AC15)</f>
        <v>0.24966131217340815</v>
      </c>
      <c r="AB18" s="89">
        <f>AB15/SUM(Z15:AC15)</f>
        <v>0.24811302496613116</v>
      </c>
      <c r="AC18" s="92">
        <f>AC15/SUM(Z15:AC15)</f>
        <v>0.27578865879620668</v>
      </c>
      <c r="AD18" s="89"/>
      <c r="AE18" s="89"/>
      <c r="AF18" s="89"/>
      <c r="AG18" s="92"/>
      <c r="AH18" s="89">
        <f>AH15/SUM(AH15:AI15,AJ14:AK14)</f>
        <v>0.22050186865990393</v>
      </c>
      <c r="AI18" s="89">
        <f>AI15/SUM(AH15:AI15,AJ14:AK14)</f>
        <v>0.25556148780921872</v>
      </c>
      <c r="AJ18" s="89">
        <f>AJ14/SUM(AH15:AI15,AJ14:AK14)</f>
        <v>0.25146823278163377</v>
      </c>
      <c r="AK18" s="92">
        <f>AK14/SUM(AH15:AI15,AJ14:AK14)</f>
        <v>0.27246841074924366</v>
      </c>
      <c r="AL18" s="3"/>
    </row>
    <row r="19" spans="1:38" x14ac:dyDescent="0.2">
      <c r="A19" s="16" t="s">
        <v>17</v>
      </c>
      <c r="B19" s="12"/>
      <c r="C19" s="12"/>
      <c r="D19" s="12"/>
      <c r="E19" s="12"/>
      <c r="F19" s="12"/>
      <c r="G19" s="12"/>
      <c r="H19" s="12"/>
      <c r="I19" s="12"/>
      <c r="J19" s="11"/>
      <c r="K19" s="12"/>
      <c r="L19" s="12"/>
      <c r="M19" s="6"/>
      <c r="N19" s="9"/>
      <c r="O19" s="12"/>
      <c r="P19" s="12"/>
      <c r="Q19" s="6"/>
      <c r="R19" s="84"/>
      <c r="S19" s="84"/>
      <c r="T19" s="84">
        <v>97.7</v>
      </c>
      <c r="U19" s="84">
        <v>108.7</v>
      </c>
      <c r="V19" s="84">
        <v>100.5</v>
      </c>
      <c r="W19" s="64">
        <v>105.1</v>
      </c>
      <c r="X19" s="64">
        <v>102.2</v>
      </c>
      <c r="Y19" s="64">
        <v>117.1</v>
      </c>
      <c r="Z19" s="84">
        <v>109.1</v>
      </c>
      <c r="AA19" s="64">
        <v>121.8</v>
      </c>
      <c r="AB19" s="64">
        <v>121.6</v>
      </c>
      <c r="AC19" s="64">
        <v>142</v>
      </c>
      <c r="AD19" s="84">
        <v>122.5</v>
      </c>
      <c r="AE19" s="64">
        <v>63.4</v>
      </c>
      <c r="AF19" s="64">
        <v>110.7</v>
      </c>
      <c r="AG19" s="64">
        <v>144.9</v>
      </c>
      <c r="AH19" s="84">
        <v>118.6</v>
      </c>
      <c r="AI19" s="64">
        <v>134.30000000000001</v>
      </c>
      <c r="AJ19" s="85"/>
      <c r="AK19" s="13"/>
    </row>
    <row r="20" spans="1:38" x14ac:dyDescent="0.2">
      <c r="K20" s="7"/>
      <c r="L20" s="7"/>
      <c r="M20" s="7"/>
      <c r="N20" s="7"/>
      <c r="O20" s="7"/>
      <c r="P20" s="7"/>
      <c r="Q20" s="7"/>
      <c r="R20" s="123" t="s">
        <v>7</v>
      </c>
      <c r="S20" s="141"/>
      <c r="T20" s="7">
        <f t="shared" ref="T20:AI20" si="4">IF(T15&gt;T19,1,0)</f>
        <v>1</v>
      </c>
      <c r="U20" s="7">
        <f t="shared" si="4"/>
        <v>1</v>
      </c>
      <c r="V20" s="7">
        <f t="shared" si="4"/>
        <v>1</v>
      </c>
      <c r="W20" s="7">
        <f t="shared" si="4"/>
        <v>1</v>
      </c>
      <c r="X20" s="7">
        <f t="shared" si="4"/>
        <v>1</v>
      </c>
      <c r="Y20" s="7">
        <f t="shared" si="4"/>
        <v>1</v>
      </c>
      <c r="Z20" s="7">
        <f t="shared" si="4"/>
        <v>1</v>
      </c>
      <c r="AA20" s="7">
        <f t="shared" si="4"/>
        <v>1</v>
      </c>
      <c r="AB20" s="7">
        <f t="shared" si="4"/>
        <v>1</v>
      </c>
      <c r="AC20" s="7">
        <f t="shared" si="4"/>
        <v>1</v>
      </c>
      <c r="AD20" s="7">
        <f t="shared" si="4"/>
        <v>0</v>
      </c>
      <c r="AE20" s="7">
        <f t="shared" si="4"/>
        <v>1</v>
      </c>
      <c r="AF20" s="7">
        <f t="shared" si="4"/>
        <v>1</v>
      </c>
      <c r="AG20" s="7">
        <f t="shared" si="4"/>
        <v>0</v>
      </c>
      <c r="AH20" s="7">
        <f t="shared" si="4"/>
        <v>1</v>
      </c>
      <c r="AI20" s="8">
        <f t="shared" si="4"/>
        <v>1</v>
      </c>
      <c r="AJ20" s="46" t="s">
        <v>8</v>
      </c>
      <c r="AK20" s="43">
        <f>AVERAGE(T20:AI20)</f>
        <v>0.875</v>
      </c>
    </row>
    <row r="21" spans="1:38" x14ac:dyDescent="0.2">
      <c r="M21" s="6"/>
      <c r="N21" s="6"/>
      <c r="O21" s="6"/>
      <c r="P21" s="6"/>
      <c r="Q21" s="6"/>
      <c r="R21" s="114" t="s">
        <v>9</v>
      </c>
      <c r="S21" s="115"/>
      <c r="T21" s="6"/>
      <c r="U21" s="6"/>
      <c r="V21" s="6"/>
      <c r="W21" s="6">
        <f t="shared" ref="W21:AI21" si="5">AVERAGE(T20:W20)</f>
        <v>1</v>
      </c>
      <c r="X21" s="6">
        <f t="shared" si="5"/>
        <v>1</v>
      </c>
      <c r="Y21" s="6">
        <f t="shared" si="5"/>
        <v>1</v>
      </c>
      <c r="Z21" s="6">
        <f t="shared" si="5"/>
        <v>1</v>
      </c>
      <c r="AA21" s="6">
        <f t="shared" si="5"/>
        <v>1</v>
      </c>
      <c r="AB21" s="6">
        <f t="shared" si="5"/>
        <v>1</v>
      </c>
      <c r="AC21" s="6">
        <f t="shared" si="5"/>
        <v>1</v>
      </c>
      <c r="AD21" s="6">
        <f t="shared" si="5"/>
        <v>0.75</v>
      </c>
      <c r="AE21" s="6">
        <f t="shared" si="5"/>
        <v>0.75</v>
      </c>
      <c r="AF21" s="6">
        <f t="shared" si="5"/>
        <v>0.75</v>
      </c>
      <c r="AG21" s="6">
        <f t="shared" si="5"/>
        <v>0.5</v>
      </c>
      <c r="AH21" s="6">
        <f>AVERAGE(AE20:AH20)</f>
        <v>0.75</v>
      </c>
      <c r="AI21" s="10">
        <f t="shared" si="5"/>
        <v>0.75</v>
      </c>
      <c r="AJ21" s="42" t="s">
        <v>10</v>
      </c>
      <c r="AK21" s="43">
        <f>AVERAGE(W21:AI21)</f>
        <v>0.86538461538461542</v>
      </c>
    </row>
    <row r="22" spans="1:38" x14ac:dyDescent="0.2">
      <c r="K22" s="18"/>
      <c r="L22" s="18"/>
      <c r="M22" s="18"/>
      <c r="N22" s="18"/>
      <c r="O22" s="18"/>
      <c r="P22" s="18"/>
      <c r="Q22" s="18"/>
      <c r="R22" s="127" t="s">
        <v>11</v>
      </c>
      <c r="S22" s="128"/>
      <c r="T22" s="18">
        <f t="shared" ref="T22:AI22" si="6">T15/T19-1</f>
        <v>6.1412487205732003E-3</v>
      </c>
      <c r="U22" s="18">
        <f t="shared" si="6"/>
        <v>4.2318307267709132E-2</v>
      </c>
      <c r="V22" s="18">
        <f t="shared" si="6"/>
        <v>5.7711442786069655E-2</v>
      </c>
      <c r="W22" s="18">
        <f t="shared" si="6"/>
        <v>4.3767840152236115E-2</v>
      </c>
      <c r="X22" s="18">
        <f t="shared" si="6"/>
        <v>5.1859099804305364E-2</v>
      </c>
      <c r="Y22" s="18">
        <f t="shared" si="6"/>
        <v>6.9171648163962596E-2</v>
      </c>
      <c r="Z22" s="18">
        <f t="shared" si="6"/>
        <v>7.2410632447296175E-2</v>
      </c>
      <c r="AA22" s="18">
        <f t="shared" si="6"/>
        <v>5.9113300492610765E-2</v>
      </c>
      <c r="AB22" s="18">
        <f t="shared" si="6"/>
        <v>5.4276315789473673E-2</v>
      </c>
      <c r="AC22" s="18">
        <f t="shared" si="6"/>
        <v>3.5211267605634866E-3</v>
      </c>
      <c r="AD22" s="18">
        <f t="shared" si="6"/>
        <v>-3.020408163265309E-2</v>
      </c>
      <c r="AE22" s="18">
        <f t="shared" si="6"/>
        <v>0.37854889589905372</v>
      </c>
      <c r="AF22" s="18">
        <f t="shared" si="6"/>
        <v>0.21228545618789507</v>
      </c>
      <c r="AG22" s="18">
        <f t="shared" si="6"/>
        <v>-2.2774327122153326E-2</v>
      </c>
      <c r="AH22" s="18">
        <f t="shared" si="6"/>
        <v>4.4688026981450246E-2</v>
      </c>
      <c r="AI22" s="41">
        <f t="shared" si="6"/>
        <v>6.9247952345494967E-2</v>
      </c>
      <c r="AJ22" s="42" t="s">
        <v>13</v>
      </c>
      <c r="AK22" s="44">
        <f>AVERAGE(T22:AI22)</f>
        <v>6.9505180315242984E-2</v>
      </c>
    </row>
    <row r="23" spans="1:38" x14ac:dyDescent="0.2">
      <c r="M23" s="6"/>
      <c r="N23" s="33"/>
      <c r="O23" s="33"/>
      <c r="P23" s="33"/>
      <c r="Q23" s="33"/>
      <c r="R23" s="114" t="s">
        <v>12</v>
      </c>
      <c r="S23" s="115"/>
      <c r="T23" s="33"/>
      <c r="U23" s="33"/>
      <c r="V23" s="33"/>
      <c r="W23" s="33">
        <f t="shared" ref="W23:AI23" si="7">AVERAGE(T22:W22)</f>
        <v>3.7484709731647026E-2</v>
      </c>
      <c r="X23" s="33">
        <f t="shared" si="7"/>
        <v>4.8914172502580067E-2</v>
      </c>
      <c r="Y23" s="33">
        <f t="shared" si="7"/>
        <v>5.5627507726643433E-2</v>
      </c>
      <c r="Z23" s="33">
        <f t="shared" si="7"/>
        <v>5.9302305141950062E-2</v>
      </c>
      <c r="AA23" s="33">
        <f t="shared" si="7"/>
        <v>6.3138670227043725E-2</v>
      </c>
      <c r="AB23" s="33">
        <f t="shared" si="7"/>
        <v>6.3742974223335802E-2</v>
      </c>
      <c r="AC23" s="33">
        <f t="shared" si="7"/>
        <v>4.7330343872486025E-2</v>
      </c>
      <c r="AD23" s="33">
        <f t="shared" si="7"/>
        <v>2.1676665352498709E-2</v>
      </c>
      <c r="AE23" s="33">
        <f t="shared" si="7"/>
        <v>0.10153556420410945</v>
      </c>
      <c r="AF23" s="33">
        <f t="shared" si="7"/>
        <v>0.1410378493037148</v>
      </c>
      <c r="AG23" s="33">
        <f t="shared" si="7"/>
        <v>0.13446398583303559</v>
      </c>
      <c r="AH23" s="33">
        <f t="shared" si="7"/>
        <v>0.15318701298656143</v>
      </c>
      <c r="AI23" s="34">
        <f t="shared" si="7"/>
        <v>7.586177709817174E-2</v>
      </c>
      <c r="AJ23" s="19" t="s">
        <v>14</v>
      </c>
      <c r="AK23" s="34">
        <f>AVERAGE(W23:AI23)</f>
        <v>7.7177195246444452E-2</v>
      </c>
    </row>
    <row r="24" spans="1:38" x14ac:dyDescent="0.2">
      <c r="R24" s="123" t="s">
        <v>25</v>
      </c>
      <c r="S24" s="141"/>
      <c r="T24" s="102">
        <f>AVERAGE(T22:AC22,AE22:AF22,AH22:AI22)</f>
        <v>8.3218663842763871E-2</v>
      </c>
      <c r="U24" s="123" t="s">
        <v>29</v>
      </c>
      <c r="V24" s="124"/>
      <c r="W24" s="47">
        <f>MEDIAN(T22:AC22,AE22:AF22,AH22:AI22)</f>
        <v>5.5993879287771664E-2</v>
      </c>
      <c r="AF24" s="3"/>
      <c r="AG24" s="116" t="s">
        <v>23</v>
      </c>
      <c r="AH24" s="117"/>
      <c r="AI24" s="117"/>
      <c r="AJ24" s="118"/>
      <c r="AK24" s="45">
        <f>AVERAGE(AF17:AJ17)</f>
        <v>0.55452815297936842</v>
      </c>
    </row>
    <row r="25" spans="1:38" x14ac:dyDescent="0.2">
      <c r="R25" s="125" t="s">
        <v>26</v>
      </c>
      <c r="S25" s="163"/>
      <c r="T25" s="101">
        <f>AVERAGE(AD22,AG22)</f>
        <v>-2.6489204377403208E-2</v>
      </c>
      <c r="U25" s="125" t="s">
        <v>30</v>
      </c>
      <c r="V25" s="126"/>
      <c r="W25" s="34">
        <f>MEDIAN(AD22,AG22)</f>
        <v>-2.6489204377403208E-2</v>
      </c>
      <c r="AG25" s="119" t="s">
        <v>27</v>
      </c>
      <c r="AH25" s="120"/>
      <c r="AI25" s="120"/>
      <c r="AJ25" s="120"/>
      <c r="AK25" s="47">
        <f>AVERAGE(AJ18,AB18,P18)</f>
        <v>0.24938017202633675</v>
      </c>
    </row>
    <row r="26" spans="1:38" x14ac:dyDescent="0.2">
      <c r="AG26" s="121" t="s">
        <v>28</v>
      </c>
      <c r="AH26" s="122"/>
      <c r="AI26" s="122"/>
      <c r="AJ26" s="122"/>
      <c r="AK26" s="48">
        <f>_xlfn.STDEV.S(AJ18,AB18,T18,L18,X18)</f>
        <v>5.3965007061269063E-3</v>
      </c>
    </row>
    <row r="29" spans="1:38" ht="18" customHeight="1" x14ac:dyDescent="0.2"/>
  </sheetData>
  <mergeCells count="28">
    <mergeCell ref="R21:S21"/>
    <mergeCell ref="V11:Y11"/>
    <mergeCell ref="R24:S24"/>
    <mergeCell ref="R25:S25"/>
    <mergeCell ref="H10:I10"/>
    <mergeCell ref="AG10:AI10"/>
    <mergeCell ref="A1:C3"/>
    <mergeCell ref="K1:L1"/>
    <mergeCell ref="P1:Q1"/>
    <mergeCell ref="P2:Q2"/>
    <mergeCell ref="P3:Q3"/>
    <mergeCell ref="P4:Q4"/>
    <mergeCell ref="B11:E11"/>
    <mergeCell ref="R23:S23"/>
    <mergeCell ref="AG24:AJ24"/>
    <mergeCell ref="AG25:AJ25"/>
    <mergeCell ref="AG26:AJ26"/>
    <mergeCell ref="U24:V24"/>
    <mergeCell ref="U25:V25"/>
    <mergeCell ref="R22:S22"/>
    <mergeCell ref="F11:I11"/>
    <mergeCell ref="J11:M11"/>
    <mergeCell ref="N11:Q11"/>
    <mergeCell ref="R11:U11"/>
    <mergeCell ref="Z11:AC11"/>
    <mergeCell ref="AD11:AG11"/>
    <mergeCell ref="AH11:AK11"/>
    <mergeCell ref="R20:S20"/>
  </mergeCells>
  <conditionalFormatting sqref="K20:Q20 T20:AI20 AK20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21:Q21 T21:AI21 AK21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22:Q22 T22:AI22">
    <cfRule type="dataBar" priority="5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{56CFC7B0-C261-494B-BB2F-961FC5395604}</x14:id>
        </ext>
      </extLst>
    </cfRule>
  </conditionalFormatting>
  <conditionalFormatting sqref="N23:Q23 T23:AI23">
    <cfRule type="dataBar" priority="4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{41DE4205-EE7F-4DBF-8BBA-9EEAD7B09998}</x14:id>
        </ext>
      </extLst>
    </cfRule>
  </conditionalFormatting>
  <conditionalFormatting sqref="AK22:AK23">
    <cfRule type="dataBar" priority="3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{8C038067-089E-49FF-8126-BD91D38602DD}</x14:id>
        </ext>
      </extLst>
    </cfRule>
  </conditionalFormatting>
  <conditionalFormatting sqref="AK20:AK21">
    <cfRule type="dataBar" priority="2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{B86A584F-5630-40E1-B995-7746D53887D9}</x14:id>
        </ext>
      </extLst>
    </cfRule>
  </conditionalFormatting>
  <conditionalFormatting sqref="AK20:AK21 AK24">
    <cfRule type="dataBar" priority="1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{62207A90-4DCB-469A-A9CB-D988FA8A2AE2}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56CFC7B0-C261-494B-BB2F-961FC539560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K22:Q22 T22:AI22</xm:sqref>
        </x14:conditionalFormatting>
        <x14:conditionalFormatting xmlns:xm="http://schemas.microsoft.com/office/excel/2006/main">
          <x14:cfRule type="dataBar" id="{41DE4205-EE7F-4DBF-8BBA-9EEAD7B0999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N23:Q23 T23:AI23</xm:sqref>
        </x14:conditionalFormatting>
        <x14:conditionalFormatting xmlns:xm="http://schemas.microsoft.com/office/excel/2006/main">
          <x14:cfRule type="dataBar" id="{8C038067-089E-49FF-8126-BD91D38602D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AK22:AK23</xm:sqref>
        </x14:conditionalFormatting>
        <x14:conditionalFormatting xmlns:xm="http://schemas.microsoft.com/office/excel/2006/main">
          <x14:cfRule type="dataBar" id="{B86A584F-5630-40E1-B995-7746D53887D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AK20:AK21</xm:sqref>
        </x14:conditionalFormatting>
        <x14:conditionalFormatting xmlns:xm="http://schemas.microsoft.com/office/excel/2006/main">
          <x14:cfRule type="dataBar" id="{62207A90-4DCB-469A-A9CB-D988FA8A2AE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AK20:AK21 AK24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B249C6-FF3D-4DBB-B370-A9A55622C4B9}">
  <dimension ref="A1:U46"/>
  <sheetViews>
    <sheetView zoomScale="85" zoomScaleNormal="85" workbookViewId="0">
      <selection activeCell="J40" sqref="J40"/>
    </sheetView>
  </sheetViews>
  <sheetFormatPr defaultRowHeight="12.75" x14ac:dyDescent="0.2"/>
  <cols>
    <col min="1" max="1" width="7.5703125" bestFit="1" customWidth="1"/>
    <col min="2" max="2" width="16" bestFit="1" customWidth="1"/>
    <col min="3" max="3" width="12.7109375" bestFit="1" customWidth="1"/>
    <col min="4" max="4" width="11.5703125" customWidth="1"/>
    <col min="5" max="5" width="18" bestFit="1" customWidth="1"/>
    <col min="6" max="6" width="12.140625" bestFit="1" customWidth="1"/>
    <col min="7" max="7" width="10.7109375" bestFit="1" customWidth="1"/>
    <col min="8" max="8" width="19.7109375" bestFit="1" customWidth="1"/>
    <col min="9" max="9" width="13.5703125" bestFit="1" customWidth="1"/>
    <col min="10" max="10" width="8.7109375" bestFit="1" customWidth="1"/>
    <col min="11" max="11" width="21.85546875" bestFit="1" customWidth="1"/>
    <col min="12" max="12" width="16.42578125" bestFit="1" customWidth="1"/>
    <col min="13" max="13" width="14.5703125" bestFit="1" customWidth="1"/>
    <col min="14" max="14" width="23.5703125" bestFit="1" customWidth="1"/>
    <col min="15" max="15" width="17.85546875" bestFit="1" customWidth="1"/>
    <col min="16" max="16" width="11.42578125" bestFit="1" customWidth="1"/>
    <col min="17" max="17" width="14" bestFit="1" customWidth="1"/>
    <col min="18" max="18" width="10.28515625" bestFit="1" customWidth="1"/>
    <col min="19" max="19" width="16.140625" bestFit="1" customWidth="1"/>
  </cols>
  <sheetData>
    <row r="1" spans="1:21" x14ac:dyDescent="0.2">
      <c r="A1" t="s">
        <v>80</v>
      </c>
      <c r="B1" t="s">
        <v>81</v>
      </c>
    </row>
    <row r="4" spans="1:21" x14ac:dyDescent="0.2">
      <c r="A4" s="166" t="s">
        <v>76</v>
      </c>
      <c r="B4" s="166"/>
      <c r="T4" s="71" t="s">
        <v>165</v>
      </c>
    </row>
    <row r="5" spans="1:21" x14ac:dyDescent="0.2">
      <c r="A5" s="17" t="s">
        <v>56</v>
      </c>
      <c r="B5" s="17" t="s">
        <v>57</v>
      </c>
      <c r="C5" s="17" t="s">
        <v>68</v>
      </c>
      <c r="D5" s="17" t="s">
        <v>58</v>
      </c>
      <c r="E5" s="17" t="s">
        <v>59</v>
      </c>
      <c r="F5" s="17" t="s">
        <v>69</v>
      </c>
      <c r="G5" s="17" t="s">
        <v>60</v>
      </c>
      <c r="H5" s="17" t="s">
        <v>61</v>
      </c>
      <c r="I5" s="17" t="s">
        <v>70</v>
      </c>
      <c r="J5" s="17" t="s">
        <v>62</v>
      </c>
      <c r="K5" s="17" t="s">
        <v>63</v>
      </c>
      <c r="L5" s="17" t="s">
        <v>73</v>
      </c>
      <c r="M5" s="17" t="s">
        <v>64</v>
      </c>
      <c r="N5" s="17" t="s">
        <v>65</v>
      </c>
      <c r="O5" s="17" t="s">
        <v>74</v>
      </c>
      <c r="P5" s="17" t="s">
        <v>66</v>
      </c>
      <c r="Q5" s="17" t="s">
        <v>67</v>
      </c>
      <c r="R5" s="17" t="s">
        <v>0</v>
      </c>
      <c r="S5" s="17" t="s">
        <v>72</v>
      </c>
      <c r="T5" s="37" t="s">
        <v>0</v>
      </c>
      <c r="U5" s="37" t="s">
        <v>72</v>
      </c>
    </row>
    <row r="6" spans="1:21" x14ac:dyDescent="0.2">
      <c r="A6" t="s">
        <v>170</v>
      </c>
      <c r="B6" t="s">
        <v>171</v>
      </c>
      <c r="C6" t="s">
        <v>168</v>
      </c>
      <c r="D6">
        <v>20171026</v>
      </c>
      <c r="E6">
        <v>110.689029</v>
      </c>
      <c r="F6">
        <v>109.207221</v>
      </c>
      <c r="G6">
        <v>99.035426000000001</v>
      </c>
      <c r="H6">
        <v>94.620506000000006</v>
      </c>
      <c r="I6">
        <v>53.234239000000002</v>
      </c>
      <c r="J6">
        <f>AVERAGE(E6:H6)</f>
        <v>103.3880455</v>
      </c>
      <c r="R6">
        <v>97.7</v>
      </c>
      <c r="S6">
        <v>98.3</v>
      </c>
      <c r="T6" s="94"/>
      <c r="U6" s="93"/>
    </row>
    <row r="7" spans="1:21" x14ac:dyDescent="0.2">
      <c r="A7" t="s">
        <v>170</v>
      </c>
      <c r="B7" t="s">
        <v>171</v>
      </c>
      <c r="C7" t="s">
        <v>166</v>
      </c>
      <c r="D7">
        <v>20180125</v>
      </c>
      <c r="E7">
        <v>114.487183</v>
      </c>
      <c r="F7">
        <v>113.540853</v>
      </c>
      <c r="G7">
        <v>106.709141</v>
      </c>
      <c r="H7">
        <v>100.453593</v>
      </c>
      <c r="I7">
        <v>54.867311999999998</v>
      </c>
      <c r="J7">
        <f t="shared" ref="J7:J21" si="0">AVERAGE(E7:H7)</f>
        <v>108.7976925</v>
      </c>
      <c r="K7">
        <v>101.67304014293954</v>
      </c>
      <c r="L7">
        <v>102.20080455943477</v>
      </c>
      <c r="M7">
        <v>105.91673085043325</v>
      </c>
      <c r="N7">
        <v>104.35991741473036</v>
      </c>
      <c r="O7">
        <v>101.31556064133837</v>
      </c>
      <c r="P7">
        <v>103.4434215390018</v>
      </c>
      <c r="Q7">
        <v>103.15157919131302</v>
      </c>
      <c r="R7">
        <v>108.7</v>
      </c>
      <c r="S7">
        <v>113.3</v>
      </c>
      <c r="T7" s="94"/>
      <c r="U7" s="93"/>
    </row>
    <row r="8" spans="1:21" x14ac:dyDescent="0.2">
      <c r="A8" t="s">
        <v>170</v>
      </c>
      <c r="B8" t="s">
        <v>171</v>
      </c>
      <c r="C8" t="s">
        <v>42</v>
      </c>
      <c r="D8">
        <v>20180419</v>
      </c>
      <c r="E8">
        <v>112.121493</v>
      </c>
      <c r="F8">
        <v>112.137351</v>
      </c>
      <c r="G8">
        <v>104.32162700000001</v>
      </c>
      <c r="H8">
        <v>98.238153999999994</v>
      </c>
      <c r="I8">
        <v>53.503923999999998</v>
      </c>
      <c r="J8">
        <f t="shared" si="0"/>
        <v>106.70465625</v>
      </c>
      <c r="K8">
        <v>110.95884119098292</v>
      </c>
      <c r="L8">
        <v>111.89947523381738</v>
      </c>
      <c r="M8">
        <v>110.76502189348521</v>
      </c>
      <c r="N8">
        <v>110.80124180525827</v>
      </c>
      <c r="O8">
        <v>110.48462861092958</v>
      </c>
      <c r="P8">
        <v>111.12034892766683</v>
      </c>
      <c r="Q8">
        <v>111.00492627702336</v>
      </c>
      <c r="R8">
        <v>100.5</v>
      </c>
      <c r="S8">
        <v>106.3</v>
      </c>
      <c r="T8" s="9"/>
      <c r="U8" s="63"/>
    </row>
    <row r="9" spans="1:21" x14ac:dyDescent="0.2">
      <c r="A9" t="s">
        <v>170</v>
      </c>
      <c r="B9" t="s">
        <v>171</v>
      </c>
      <c r="C9" t="s">
        <v>43</v>
      </c>
      <c r="D9">
        <v>20180726</v>
      </c>
      <c r="E9">
        <v>123.166701</v>
      </c>
      <c r="F9">
        <v>122.81045</v>
      </c>
      <c r="G9">
        <v>112.469801</v>
      </c>
      <c r="H9">
        <v>118.725556</v>
      </c>
      <c r="I9">
        <v>69.034307999999996</v>
      </c>
      <c r="J9">
        <f t="shared" si="0"/>
        <v>119.293127</v>
      </c>
      <c r="K9">
        <v>116.77172650831541</v>
      </c>
      <c r="L9">
        <v>116.41750691078835</v>
      </c>
      <c r="M9">
        <v>114.60269735152806</v>
      </c>
      <c r="N9">
        <v>128.46868644131894</v>
      </c>
      <c r="O9">
        <v>137.15530360726439</v>
      </c>
      <c r="P9">
        <v>118.84073147089117</v>
      </c>
      <c r="Q9">
        <v>122.04277538168439</v>
      </c>
      <c r="R9">
        <v>105.1</v>
      </c>
      <c r="S9">
        <v>109.7</v>
      </c>
      <c r="T9" s="9"/>
      <c r="U9" s="63"/>
    </row>
    <row r="10" spans="1:21" x14ac:dyDescent="0.2">
      <c r="A10" t="s">
        <v>170</v>
      </c>
      <c r="B10" t="s">
        <v>171</v>
      </c>
      <c r="C10" t="s">
        <v>44</v>
      </c>
      <c r="D10">
        <v>20181025</v>
      </c>
      <c r="E10">
        <v>112.437719</v>
      </c>
      <c r="F10">
        <v>112.306477</v>
      </c>
      <c r="G10">
        <v>103.74556200000001</v>
      </c>
      <c r="H10">
        <v>110.40391</v>
      </c>
      <c r="I10">
        <v>68.864583999999994</v>
      </c>
      <c r="J10">
        <f t="shared" si="0"/>
        <v>109.723417</v>
      </c>
      <c r="K10">
        <v>100.14409474440662</v>
      </c>
      <c r="L10">
        <v>100.31736327731069</v>
      </c>
      <c r="M10">
        <v>101.19061339318988</v>
      </c>
      <c r="N10">
        <v>102.01096827880933</v>
      </c>
      <c r="O10">
        <v>109.43029753843552</v>
      </c>
      <c r="P10">
        <v>100.89985188249781</v>
      </c>
      <c r="Q10">
        <v>102.33219818577498</v>
      </c>
      <c r="R10">
        <v>102.2</v>
      </c>
      <c r="S10">
        <v>107.5</v>
      </c>
      <c r="T10" s="9"/>
      <c r="U10" s="63"/>
    </row>
    <row r="11" spans="1:21" x14ac:dyDescent="0.2">
      <c r="A11" t="s">
        <v>170</v>
      </c>
      <c r="B11" t="s">
        <v>171</v>
      </c>
      <c r="C11" t="s">
        <v>45</v>
      </c>
      <c r="D11">
        <v>20190117</v>
      </c>
      <c r="E11">
        <v>124.734922</v>
      </c>
      <c r="F11">
        <v>124.49925</v>
      </c>
      <c r="G11">
        <v>115.619078</v>
      </c>
      <c r="H11">
        <v>125.43587100000001</v>
      </c>
      <c r="I11">
        <v>76.194693000000001</v>
      </c>
      <c r="J11">
        <f t="shared" si="0"/>
        <v>122.57228025000001</v>
      </c>
      <c r="K11">
        <v>119.25716951799778</v>
      </c>
      <c r="L11">
        <v>119.17094839507787</v>
      </c>
      <c r="M11">
        <v>119.80320550964868</v>
      </c>
      <c r="N11">
        <v>122.13658132669397</v>
      </c>
      <c r="O11">
        <v>118.94255394761407</v>
      </c>
      <c r="P11">
        <v>120.08849603066045</v>
      </c>
      <c r="Q11">
        <v>119.89982578794881</v>
      </c>
      <c r="R11">
        <v>117.1</v>
      </c>
      <c r="S11">
        <v>125.2</v>
      </c>
      <c r="T11" s="9"/>
      <c r="U11" s="63"/>
    </row>
    <row r="12" spans="1:21" x14ac:dyDescent="0.2">
      <c r="A12" t="s">
        <v>170</v>
      </c>
      <c r="B12" t="s">
        <v>171</v>
      </c>
      <c r="C12" t="s">
        <v>46</v>
      </c>
      <c r="D12">
        <v>20190418</v>
      </c>
      <c r="E12">
        <v>114.995617</v>
      </c>
      <c r="F12">
        <v>115.407749</v>
      </c>
      <c r="G12">
        <v>109.586347</v>
      </c>
      <c r="H12">
        <v>117.72318</v>
      </c>
      <c r="I12">
        <v>71.685353000000006</v>
      </c>
      <c r="J12">
        <f t="shared" si="0"/>
        <v>114.42822325</v>
      </c>
      <c r="K12">
        <v>115.42438170122077</v>
      </c>
      <c r="L12">
        <v>116.05732705056455</v>
      </c>
      <c r="M12">
        <v>118.66735907027386</v>
      </c>
      <c r="N12">
        <v>117.50181202951107</v>
      </c>
      <c r="O12">
        <v>117.79043713188791</v>
      </c>
      <c r="P12">
        <v>116.88134969570332</v>
      </c>
      <c r="Q12">
        <v>117.05377777986024</v>
      </c>
      <c r="R12">
        <v>109.1</v>
      </c>
      <c r="S12">
        <v>117.026</v>
      </c>
      <c r="T12" s="9"/>
      <c r="U12" s="63"/>
    </row>
    <row r="13" spans="1:21" x14ac:dyDescent="0.2">
      <c r="A13" t="s">
        <v>170</v>
      </c>
      <c r="B13" t="s">
        <v>171</v>
      </c>
      <c r="C13" t="s">
        <v>47</v>
      </c>
      <c r="D13">
        <v>20190725</v>
      </c>
      <c r="E13">
        <v>116.67925700000001</v>
      </c>
      <c r="F13">
        <v>116.296882</v>
      </c>
      <c r="G13">
        <v>113.78244599999999</v>
      </c>
      <c r="H13">
        <v>116.370859</v>
      </c>
      <c r="I13">
        <v>71.178849</v>
      </c>
      <c r="J13">
        <f t="shared" si="0"/>
        <v>115.78236099999999</v>
      </c>
      <c r="K13">
        <v>118.73936664631313</v>
      </c>
      <c r="L13">
        <v>117.92760045022627</v>
      </c>
      <c r="M13">
        <v>121.50696587774752</v>
      </c>
      <c r="N13">
        <v>115.6816877129381</v>
      </c>
      <c r="O13">
        <v>116.19913461364972</v>
      </c>
      <c r="P13">
        <v>118.41087970738896</v>
      </c>
      <c r="Q13">
        <v>118.07760583471061</v>
      </c>
      <c r="R13">
        <v>121.8</v>
      </c>
      <c r="S13">
        <v>129</v>
      </c>
      <c r="T13" s="9"/>
      <c r="U13" s="63"/>
    </row>
    <row r="14" spans="1:21" x14ac:dyDescent="0.2">
      <c r="A14" t="s">
        <v>170</v>
      </c>
      <c r="B14" t="s">
        <v>171</v>
      </c>
      <c r="C14" t="s">
        <v>48</v>
      </c>
      <c r="D14">
        <v>20191024</v>
      </c>
      <c r="E14">
        <v>124.843171</v>
      </c>
      <c r="F14">
        <v>126.203334</v>
      </c>
      <c r="G14">
        <v>121.236638</v>
      </c>
      <c r="H14">
        <v>122.9837</v>
      </c>
      <c r="I14">
        <v>72.272625000000005</v>
      </c>
      <c r="J14">
        <f t="shared" si="0"/>
        <v>123.81671075</v>
      </c>
      <c r="K14">
        <v>138.02598227892383</v>
      </c>
      <c r="L14">
        <v>139.98853456793449</v>
      </c>
      <c r="M14">
        <v>137.45113461526395</v>
      </c>
      <c r="N14">
        <v>136.33049920169449</v>
      </c>
      <c r="O14">
        <v>130.98228976700651</v>
      </c>
      <c r="P14">
        <v>137.95154589005145</v>
      </c>
      <c r="Q14">
        <v>136.78833105347911</v>
      </c>
      <c r="R14">
        <v>121.6</v>
      </c>
      <c r="S14">
        <v>128.19999999999999</v>
      </c>
      <c r="T14" s="9"/>
      <c r="U14" s="63"/>
    </row>
    <row r="15" spans="1:21" x14ac:dyDescent="0.2">
      <c r="A15" t="s">
        <v>170</v>
      </c>
      <c r="B15" t="s">
        <v>171</v>
      </c>
      <c r="C15" t="s">
        <v>49</v>
      </c>
      <c r="D15">
        <v>20200123</v>
      </c>
      <c r="E15">
        <v>146.758848</v>
      </c>
      <c r="F15">
        <v>145.20732000000001</v>
      </c>
      <c r="G15">
        <v>141.66626199999999</v>
      </c>
      <c r="H15">
        <v>148.71064899999999</v>
      </c>
      <c r="I15">
        <v>84.503075999999993</v>
      </c>
      <c r="J15">
        <f t="shared" si="0"/>
        <v>145.58576975</v>
      </c>
      <c r="K15">
        <v>150.70495376635378</v>
      </c>
      <c r="L15">
        <v>147.50464852220148</v>
      </c>
      <c r="M15">
        <v>149.80302232069479</v>
      </c>
      <c r="N15">
        <v>155.01814632182962</v>
      </c>
      <c r="O15">
        <v>149.8948508262983</v>
      </c>
      <c r="P15">
        <v>150.73971492939211</v>
      </c>
      <c r="Q15">
        <v>150.61088944779502</v>
      </c>
      <c r="R15">
        <v>142</v>
      </c>
      <c r="S15">
        <v>142.5</v>
      </c>
      <c r="T15" s="9"/>
      <c r="U15" s="63"/>
    </row>
    <row r="16" spans="1:21" x14ac:dyDescent="0.2">
      <c r="A16" t="s">
        <v>170</v>
      </c>
      <c r="B16" t="s">
        <v>171</v>
      </c>
      <c r="C16" t="s">
        <v>50</v>
      </c>
      <c r="D16">
        <v>20200423</v>
      </c>
      <c r="E16">
        <v>139.68905799999999</v>
      </c>
      <c r="F16">
        <v>139.32463300000001</v>
      </c>
      <c r="G16">
        <v>135.20711299999999</v>
      </c>
      <c r="H16">
        <v>151.678449</v>
      </c>
      <c r="I16">
        <v>93.164091999999997</v>
      </c>
      <c r="J16">
        <f t="shared" si="0"/>
        <v>141.47481325000001</v>
      </c>
      <c r="K16">
        <v>135.63537078868319</v>
      </c>
      <c r="L16">
        <v>136.7269928437492</v>
      </c>
      <c r="M16">
        <v>136.00283744692862</v>
      </c>
      <c r="N16">
        <v>145.3438548472746</v>
      </c>
      <c r="O16">
        <v>157.10532371626329</v>
      </c>
      <c r="P16">
        <v>138.47617746393789</v>
      </c>
      <c r="Q16">
        <v>141.54842618447279</v>
      </c>
      <c r="R16">
        <v>122.5</v>
      </c>
      <c r="S16">
        <v>118.8</v>
      </c>
      <c r="T16" s="9"/>
      <c r="U16" s="63"/>
    </row>
    <row r="17" spans="1:21" x14ac:dyDescent="0.2">
      <c r="A17" t="s">
        <v>170</v>
      </c>
      <c r="B17" t="s">
        <v>171</v>
      </c>
      <c r="C17" t="s">
        <v>51</v>
      </c>
      <c r="D17">
        <v>20200723</v>
      </c>
      <c r="E17">
        <v>119.726268</v>
      </c>
      <c r="F17">
        <v>119.907388</v>
      </c>
      <c r="G17">
        <v>108.52392</v>
      </c>
      <c r="H17">
        <v>124.38440199999999</v>
      </c>
      <c r="I17">
        <v>80.367001999999999</v>
      </c>
      <c r="J17">
        <f t="shared" si="0"/>
        <v>118.13549449999999</v>
      </c>
      <c r="K17">
        <v>101.82243936672549</v>
      </c>
      <c r="L17">
        <v>102.2432098880892</v>
      </c>
      <c r="M17">
        <v>95.354759153832404</v>
      </c>
      <c r="N17">
        <v>97.422323705327443</v>
      </c>
      <c r="O17">
        <v>102.48154232641477</v>
      </c>
      <c r="P17">
        <v>99.201380261231748</v>
      </c>
      <c r="Q17">
        <v>99.754275783603518</v>
      </c>
      <c r="R17">
        <v>63.4</v>
      </c>
      <c r="S17">
        <v>87.4</v>
      </c>
      <c r="T17" s="9"/>
      <c r="U17" s="63"/>
    </row>
    <row r="18" spans="1:21" x14ac:dyDescent="0.2">
      <c r="A18" t="s">
        <v>170</v>
      </c>
      <c r="B18" t="s">
        <v>171</v>
      </c>
      <c r="C18" t="s">
        <v>52</v>
      </c>
      <c r="D18">
        <v>20201022</v>
      </c>
      <c r="E18">
        <v>141.92216400000001</v>
      </c>
      <c r="F18">
        <v>142.27744100000001</v>
      </c>
      <c r="G18">
        <v>137.441371</v>
      </c>
      <c r="H18">
        <v>157.56016399999999</v>
      </c>
      <c r="I18">
        <v>111.535284</v>
      </c>
      <c r="J18">
        <f t="shared" si="0"/>
        <v>144.800285</v>
      </c>
      <c r="K18">
        <v>103.60297151833048</v>
      </c>
      <c r="L18">
        <v>103.70543926284176</v>
      </c>
      <c r="M18">
        <v>110.68873871677324</v>
      </c>
      <c r="N18">
        <v>110.71129588740556</v>
      </c>
      <c r="O18">
        <v>121.29585002561127</v>
      </c>
      <c r="P18">
        <v>107.12737067351084</v>
      </c>
      <c r="Q18">
        <v>109.5219443474122</v>
      </c>
      <c r="R18">
        <v>110.7</v>
      </c>
      <c r="S18">
        <v>134.19999999999999</v>
      </c>
      <c r="T18" s="9"/>
      <c r="U18" s="63"/>
    </row>
    <row r="19" spans="1:21" x14ac:dyDescent="0.2">
      <c r="A19" t="s">
        <v>170</v>
      </c>
      <c r="B19" t="s">
        <v>171</v>
      </c>
      <c r="C19" t="s">
        <v>53</v>
      </c>
      <c r="D19">
        <v>20210121</v>
      </c>
      <c r="E19">
        <v>157.53584699999999</v>
      </c>
      <c r="F19">
        <v>156.26291599999999</v>
      </c>
      <c r="G19">
        <v>151.96466000000001</v>
      </c>
      <c r="H19">
        <v>144.420593</v>
      </c>
      <c r="I19">
        <v>107.051703</v>
      </c>
      <c r="J19">
        <f t="shared" si="0"/>
        <v>152.54600399999998</v>
      </c>
      <c r="K19">
        <v>148.96412280889402</v>
      </c>
      <c r="L19">
        <v>147.3914851139331</v>
      </c>
      <c r="M19">
        <v>148.38077664402809</v>
      </c>
      <c r="N19">
        <v>123.00852632141205</v>
      </c>
      <c r="O19">
        <v>128.80532534081323</v>
      </c>
      <c r="P19">
        <v>141.37868400466198</v>
      </c>
      <c r="Q19">
        <v>139.6548200389571</v>
      </c>
      <c r="R19">
        <v>144.9</v>
      </c>
      <c r="S19">
        <v>141.6</v>
      </c>
    </row>
    <row r="20" spans="1:21" x14ac:dyDescent="0.2">
      <c r="A20" t="s">
        <v>170</v>
      </c>
      <c r="B20" t="s">
        <v>171</v>
      </c>
      <c r="C20" t="s">
        <v>54</v>
      </c>
      <c r="D20">
        <v>20210422</v>
      </c>
      <c r="E20">
        <v>114.36760700000001</v>
      </c>
      <c r="F20">
        <v>112.239288</v>
      </c>
      <c r="G20">
        <v>108.72985300000001</v>
      </c>
      <c r="H20">
        <v>118.115475</v>
      </c>
      <c r="I20">
        <v>87.359277000000006</v>
      </c>
      <c r="J20">
        <f t="shared" si="0"/>
        <v>113.36305575</v>
      </c>
      <c r="K20">
        <v>102.79852782459095</v>
      </c>
      <c r="L20">
        <v>101.70732498553913</v>
      </c>
      <c r="M20">
        <v>101.31399750968414</v>
      </c>
      <c r="N20">
        <v>115.80863166792288</v>
      </c>
      <c r="O20">
        <v>115.5523291693921</v>
      </c>
      <c r="P20">
        <v>105.22864102162912</v>
      </c>
      <c r="Q20">
        <v>107.06824202979305</v>
      </c>
      <c r="R20">
        <v>118.6</v>
      </c>
      <c r="S20">
        <v>123.9</v>
      </c>
    </row>
    <row r="21" spans="1:21" x14ac:dyDescent="0.2">
      <c r="A21" t="s">
        <v>170</v>
      </c>
      <c r="B21" t="s">
        <v>171</v>
      </c>
      <c r="C21" t="s">
        <v>55</v>
      </c>
      <c r="D21">
        <v>20210722</v>
      </c>
      <c r="E21">
        <v>128.403009</v>
      </c>
      <c r="F21">
        <v>128.283063</v>
      </c>
      <c r="G21">
        <v>121.491911</v>
      </c>
      <c r="H21">
        <v>132.59019599999999</v>
      </c>
      <c r="I21">
        <v>93.351855</v>
      </c>
      <c r="J21">
        <f t="shared" si="0"/>
        <v>127.69204474999999</v>
      </c>
      <c r="K21">
        <v>139.10523471125876</v>
      </c>
      <c r="L21">
        <v>141.61058742371924</v>
      </c>
      <c r="M21">
        <v>138.44263886662296</v>
      </c>
      <c r="N21">
        <v>139.08359835491495</v>
      </c>
      <c r="O21">
        <v>132.39915933026782</v>
      </c>
      <c r="P21">
        <v>139.56084934244549</v>
      </c>
      <c r="Q21">
        <v>138.36701133820489</v>
      </c>
      <c r="R21">
        <v>134.30000000000001</v>
      </c>
      <c r="S21">
        <v>143</v>
      </c>
    </row>
    <row r="22" spans="1:21" x14ac:dyDescent="0.2">
      <c r="A22" t="s">
        <v>170</v>
      </c>
      <c r="B22" t="s">
        <v>171</v>
      </c>
      <c r="C22" t="s">
        <v>71</v>
      </c>
      <c r="D22" s="12">
        <v>20211021</v>
      </c>
      <c r="E22">
        <v>135.37294209699999</v>
      </c>
      <c r="F22">
        <v>132.68920499247159</v>
      </c>
      <c r="G22">
        <v>121.0208076343386</v>
      </c>
      <c r="H22">
        <v>133.09747324200001</v>
      </c>
      <c r="I22">
        <v>89.325045337252462</v>
      </c>
      <c r="J22">
        <f>AVERAGE(E22:H22)</f>
        <v>130.54510699145254</v>
      </c>
      <c r="K22" s="95">
        <f>(E22/E21)*$S20</f>
        <v>130.62550213148276</v>
      </c>
      <c r="L22" s="95">
        <f>(F22/F21)*$S20</f>
        <v>128.15559680366559</v>
      </c>
      <c r="M22" s="95">
        <f>(G22/G21)*$S20</f>
        <v>123.41955890293431</v>
      </c>
      <c r="N22" s="95">
        <f t="shared" ref="N22:O22" si="1">(H22/H21)*$S20</f>
        <v>124.37402939417785</v>
      </c>
      <c r="O22" s="95">
        <f t="shared" si="1"/>
        <v>118.55547077543964</v>
      </c>
      <c r="P22" s="95">
        <f>(J22/J21)*$S20</f>
        <v>126.66833543082544</v>
      </c>
      <c r="Q22" s="95">
        <f>(K22/K21)*$S20</f>
        <v>116.34716513497813</v>
      </c>
      <c r="R22" s="6">
        <f>'1. Data &amp; Confidence Interval'!AJ14</f>
        <v>141.30000000000001</v>
      </c>
      <c r="S22" s="10"/>
    </row>
    <row r="23" spans="1:21" x14ac:dyDescent="0.2">
      <c r="A23" s="164" t="s">
        <v>75</v>
      </c>
      <c r="B23" s="165"/>
      <c r="C23" s="165"/>
      <c r="D23" s="165"/>
      <c r="E23" s="104">
        <f t="shared" ref="E23:Q23" si="2">CORREL(E$7:E$21,$S$7:$S$21)</f>
        <v>0.63959937669593603</v>
      </c>
      <c r="F23" s="104">
        <f t="shared" si="2"/>
        <v>0.63126589631939822</v>
      </c>
      <c r="G23" s="105">
        <f t="shared" si="2"/>
        <v>0.70658228980405602</v>
      </c>
      <c r="H23" s="104">
        <f t="shared" si="2"/>
        <v>0.57003436897393056</v>
      </c>
      <c r="I23" s="104">
        <f t="shared" si="2"/>
        <v>0.57117410731491869</v>
      </c>
      <c r="J23" s="105">
        <f>CORREL(J$7:J$21,$S$7:$S$21)</f>
        <v>0.65050107695165427</v>
      </c>
      <c r="K23" s="104">
        <f t="shared" si="2"/>
        <v>0.6919060795587143</v>
      </c>
      <c r="L23" s="104">
        <f t="shared" si="2"/>
        <v>0.67871878001764574</v>
      </c>
      <c r="M23" s="104">
        <f t="shared" si="2"/>
        <v>0.76747018887219531</v>
      </c>
      <c r="N23" s="104">
        <f t="shared" si="2"/>
        <v>0.63218541856692667</v>
      </c>
      <c r="O23" s="104">
        <f t="shared" si="2"/>
        <v>0.52470473836389508</v>
      </c>
      <c r="P23" s="104">
        <f t="shared" si="2"/>
        <v>0.71218858574245447</v>
      </c>
      <c r="Q23" s="104">
        <f t="shared" si="2"/>
        <v>0.69845541935380162</v>
      </c>
      <c r="R23" s="104">
        <f>CORREL(R$7:R$21,$S$7:$S$21)</f>
        <v>0.92728177832459113</v>
      </c>
      <c r="S23" s="5"/>
    </row>
    <row r="25" spans="1:21" x14ac:dyDescent="0.2">
      <c r="A25" s="167" t="s">
        <v>77</v>
      </c>
      <c r="B25" s="168"/>
    </row>
    <row r="26" spans="1:21" x14ac:dyDescent="0.2">
      <c r="A26" s="17" t="s">
        <v>56</v>
      </c>
      <c r="B26" s="17" t="s">
        <v>57</v>
      </c>
      <c r="C26" s="17" t="s">
        <v>68</v>
      </c>
      <c r="D26" s="17" t="s">
        <v>58</v>
      </c>
      <c r="E26" s="17" t="s">
        <v>59</v>
      </c>
      <c r="F26" s="17" t="s">
        <v>69</v>
      </c>
      <c r="G26" s="17" t="s">
        <v>60</v>
      </c>
      <c r="H26" s="17" t="s">
        <v>61</v>
      </c>
      <c r="I26" s="17" t="s">
        <v>70</v>
      </c>
      <c r="J26" s="17" t="s">
        <v>62</v>
      </c>
      <c r="K26" s="17" t="s">
        <v>63</v>
      </c>
      <c r="L26" s="17" t="s">
        <v>73</v>
      </c>
      <c r="M26" s="17" t="s">
        <v>64</v>
      </c>
      <c r="N26" s="17" t="s">
        <v>65</v>
      </c>
      <c r="O26" s="17" t="s">
        <v>74</v>
      </c>
      <c r="P26" s="17" t="s">
        <v>66</v>
      </c>
      <c r="Q26" s="17" t="s">
        <v>67</v>
      </c>
      <c r="R26" s="17" t="s">
        <v>0</v>
      </c>
    </row>
    <row r="27" spans="1:21" x14ac:dyDescent="0.2">
      <c r="A27" s="9" t="str">
        <f t="shared" ref="A27:D27" si="3">A6</f>
        <v>CNMD</v>
      </c>
      <c r="B27" s="9" t="str">
        <f t="shared" si="3"/>
        <v>US Revenue</v>
      </c>
      <c r="C27" s="9" t="str">
        <f t="shared" si="3"/>
        <v>2017Q3</v>
      </c>
      <c r="D27" s="9">
        <f t="shared" si="3"/>
        <v>20171026</v>
      </c>
      <c r="E27" s="18">
        <f t="shared" ref="E27:R27" si="4">$S6/E6-1</f>
        <v>-0.1119264403340281</v>
      </c>
      <c r="F27" s="18">
        <f t="shared" si="4"/>
        <v>-9.9876371728202851E-2</v>
      </c>
      <c r="G27" s="18">
        <f t="shared" si="4"/>
        <v>-7.4258881867181881E-3</v>
      </c>
      <c r="H27" s="18">
        <f t="shared" si="4"/>
        <v>3.8886856090158517E-2</v>
      </c>
      <c r="I27" s="18">
        <f t="shared" si="4"/>
        <v>0.84655593555117781</v>
      </c>
      <c r="J27" s="18">
        <f t="shared" si="4"/>
        <v>-4.9213093016639009E-2</v>
      </c>
      <c r="K27" s="18"/>
      <c r="L27" s="18"/>
      <c r="M27" s="18"/>
      <c r="N27" s="18"/>
      <c r="O27" s="18"/>
      <c r="P27" s="18"/>
      <c r="Q27" s="18"/>
      <c r="R27" s="41">
        <f t="shared" si="4"/>
        <v>6.1412487205732003E-3</v>
      </c>
    </row>
    <row r="28" spans="1:21" x14ac:dyDescent="0.2">
      <c r="A28" s="9" t="str">
        <f>A7</f>
        <v>CNMD</v>
      </c>
      <c r="B28" s="9" t="str">
        <f t="shared" ref="B28:D29" si="5">B7</f>
        <v>US Revenue</v>
      </c>
      <c r="C28" s="9" t="str">
        <f t="shared" si="5"/>
        <v>2017Q4</v>
      </c>
      <c r="D28" s="9">
        <f t="shared" si="5"/>
        <v>20180125</v>
      </c>
      <c r="E28" s="18">
        <f t="shared" ref="E28:R29" si="6">$S7/E7-1</f>
        <v>-1.0369571238380448E-2</v>
      </c>
      <c r="F28" s="18">
        <f t="shared" si="6"/>
        <v>-2.1212893301056912E-3</v>
      </c>
      <c r="G28" s="18">
        <f t="shared" si="6"/>
        <v>6.1764708611045771E-2</v>
      </c>
      <c r="H28" s="18">
        <f t="shared" si="6"/>
        <v>0.12788399714084897</v>
      </c>
      <c r="I28" s="18">
        <f t="shared" si="6"/>
        <v>1.064981787334506</v>
      </c>
      <c r="J28" s="18">
        <f t="shared" si="6"/>
        <v>4.1382380421349563E-2</v>
      </c>
      <c r="K28" s="18">
        <f t="shared" si="6"/>
        <v>0.11435637058471348</v>
      </c>
      <c r="L28" s="18">
        <f t="shared" si="6"/>
        <v>0.10860184015587171</v>
      </c>
      <c r="M28" s="18">
        <f t="shared" si="6"/>
        <v>6.9708242411605115E-2</v>
      </c>
      <c r="N28" s="18">
        <f t="shared" si="6"/>
        <v>8.566586489084127E-2</v>
      </c>
      <c r="O28" s="18">
        <f t="shared" si="6"/>
        <v>0.11828824005709326</v>
      </c>
      <c r="P28" s="18">
        <f t="shared" si="6"/>
        <v>9.5284729703975612E-2</v>
      </c>
      <c r="Q28" s="18">
        <f t="shared" si="6"/>
        <v>9.8383571906978995E-2</v>
      </c>
      <c r="R28" s="41">
        <f t="shared" si="6"/>
        <v>4.2318307267709132E-2</v>
      </c>
    </row>
    <row r="29" spans="1:21" x14ac:dyDescent="0.2">
      <c r="A29" s="9" t="str">
        <f>A8</f>
        <v>CNMD</v>
      </c>
      <c r="B29" s="9" t="str">
        <f t="shared" si="5"/>
        <v>US Revenue</v>
      </c>
      <c r="C29" s="9" t="str">
        <f t="shared" si="5"/>
        <v>2018Q1</v>
      </c>
      <c r="D29" s="9">
        <f t="shared" si="5"/>
        <v>20180419</v>
      </c>
      <c r="E29" s="18">
        <f t="shared" ref="E29:E39" si="7">$S8/E8-1</f>
        <v>-5.1921293984196315E-2</v>
      </c>
      <c r="F29" s="18">
        <f t="shared" si="6"/>
        <v>-5.2055367350348769E-2</v>
      </c>
      <c r="G29" s="18">
        <f t="shared" si="6"/>
        <v>1.8964169337581271E-2</v>
      </c>
      <c r="H29" s="18">
        <f t="shared" si="6"/>
        <v>8.2064306705111667E-2</v>
      </c>
      <c r="I29" s="18">
        <f t="shared" si="6"/>
        <v>0.9867701666143216</v>
      </c>
      <c r="J29" s="18">
        <f t="shared" si="6"/>
        <v>-3.792301706609047E-3</v>
      </c>
      <c r="K29" s="18">
        <f t="shared" ref="K29:Q29" si="8">$S8/K8-1</f>
        <v>-4.1987111085308726E-2</v>
      </c>
      <c r="L29" s="18">
        <f t="shared" si="8"/>
        <v>-5.0040227821597116E-2</v>
      </c>
      <c r="M29" s="18">
        <f t="shared" si="8"/>
        <v>-4.0310757106868156E-2</v>
      </c>
      <c r="N29" s="18">
        <f t="shared" si="8"/>
        <v>-4.0624470736253637E-2</v>
      </c>
      <c r="O29" s="18">
        <f t="shared" si="8"/>
        <v>-3.7875210909797286E-2</v>
      </c>
      <c r="P29" s="18">
        <f t="shared" si="8"/>
        <v>-4.337953375942516E-2</v>
      </c>
      <c r="Q29" s="18">
        <f t="shared" si="8"/>
        <v>-4.2384842140084533E-2</v>
      </c>
      <c r="R29" s="41">
        <f>$S8/R8-1</f>
        <v>5.7711442786069655E-2</v>
      </c>
    </row>
    <row r="30" spans="1:21" x14ac:dyDescent="0.2">
      <c r="A30" s="9" t="str">
        <f t="shared" ref="A30:D30" si="9">A9</f>
        <v>CNMD</v>
      </c>
      <c r="B30" s="9" t="str">
        <f t="shared" si="9"/>
        <v>US Revenue</v>
      </c>
      <c r="C30" s="9" t="str">
        <f t="shared" si="9"/>
        <v>2018Q2</v>
      </c>
      <c r="D30" s="9">
        <f t="shared" si="9"/>
        <v>20180726</v>
      </c>
      <c r="E30" s="18">
        <f t="shared" si="7"/>
        <v>-0.10933719009003906</v>
      </c>
      <c r="F30" s="18">
        <f t="shared" ref="F30:J30" si="10">$S9/F9-1</f>
        <v>-0.10675353766719364</v>
      </c>
      <c r="G30" s="18">
        <f t="shared" si="10"/>
        <v>-2.4627064112970221E-2</v>
      </c>
      <c r="H30" s="18">
        <f t="shared" si="10"/>
        <v>-7.6020330450168538E-2</v>
      </c>
      <c r="I30" s="18">
        <f t="shared" si="10"/>
        <v>0.58906496172888434</v>
      </c>
      <c r="J30" s="18">
        <f t="shared" si="10"/>
        <v>-8.0416426673097452E-2</v>
      </c>
      <c r="K30" s="18">
        <f t="shared" ref="K30:Q30" si="11">$S9/K9-1</f>
        <v>-6.0560263342615106E-2</v>
      </c>
      <c r="L30" s="18">
        <f t="shared" si="11"/>
        <v>-5.7701861936761967E-2</v>
      </c>
      <c r="M30" s="18">
        <f t="shared" si="11"/>
        <v>-4.2779947285967568E-2</v>
      </c>
      <c r="N30" s="18">
        <f t="shared" si="11"/>
        <v>-0.14609541796702319</v>
      </c>
      <c r="O30" s="18">
        <f t="shared" si="11"/>
        <v>-0.20017675500089249</v>
      </c>
      <c r="P30" s="18">
        <f t="shared" si="11"/>
        <v>-7.6915812935147598E-2</v>
      </c>
      <c r="Q30" s="18">
        <f t="shared" si="11"/>
        <v>-0.10113483033373183</v>
      </c>
      <c r="R30" s="41">
        <f t="shared" ref="R30:R37" si="12">$S9/R9-1</f>
        <v>4.3767840152236115E-2</v>
      </c>
    </row>
    <row r="31" spans="1:21" x14ac:dyDescent="0.2">
      <c r="A31" s="9" t="str">
        <f t="shared" ref="A31:D31" si="13">A10</f>
        <v>CNMD</v>
      </c>
      <c r="B31" s="9" t="str">
        <f t="shared" si="13"/>
        <v>US Revenue</v>
      </c>
      <c r="C31" s="9" t="str">
        <f t="shared" si="13"/>
        <v>2018Q3</v>
      </c>
      <c r="D31" s="9">
        <f t="shared" si="13"/>
        <v>20181025</v>
      </c>
      <c r="E31" s="18">
        <f t="shared" si="7"/>
        <v>-4.3915147371497265E-2</v>
      </c>
      <c r="F31" s="18">
        <f t="shared" ref="F31:J31" si="14">$S10/F10-1</f>
        <v>-4.2797861070826726E-2</v>
      </c>
      <c r="G31" s="18">
        <f t="shared" si="14"/>
        <v>3.6188902229861153E-2</v>
      </c>
      <c r="H31" s="18">
        <f t="shared" si="14"/>
        <v>-2.6302601058241448E-2</v>
      </c>
      <c r="I31" s="18">
        <f t="shared" si="14"/>
        <v>0.56103462412551575</v>
      </c>
      <c r="J31" s="18">
        <f t="shared" si="14"/>
        <v>-2.0263833015699784E-2</v>
      </c>
      <c r="K31" s="18">
        <f t="shared" ref="K31:Q31" si="15">$S10/K10-1</f>
        <v>7.3453210340235664E-2</v>
      </c>
      <c r="L31" s="18">
        <f t="shared" si="15"/>
        <v>7.1599137856465545E-2</v>
      </c>
      <c r="M31" s="18">
        <f t="shared" si="15"/>
        <v>6.235150074932494E-2</v>
      </c>
      <c r="N31" s="18">
        <f t="shared" si="15"/>
        <v>5.3808250365670718E-2</v>
      </c>
      <c r="O31" s="18">
        <f t="shared" si="15"/>
        <v>-1.7639516494575402E-2</v>
      </c>
      <c r="P31" s="18">
        <f t="shared" si="15"/>
        <v>6.5412862302199892E-2</v>
      </c>
      <c r="Q31" s="18">
        <f t="shared" si="15"/>
        <v>5.0500252177162475E-2</v>
      </c>
      <c r="R31" s="41">
        <f t="shared" si="12"/>
        <v>5.1859099804305364E-2</v>
      </c>
    </row>
    <row r="32" spans="1:21" x14ac:dyDescent="0.2">
      <c r="A32" s="9" t="str">
        <f t="shared" ref="A32:D32" si="16">A11</f>
        <v>CNMD</v>
      </c>
      <c r="B32" s="9" t="str">
        <f t="shared" si="16"/>
        <v>US Revenue</v>
      </c>
      <c r="C32" s="9" t="str">
        <f t="shared" si="16"/>
        <v>2018Q4</v>
      </c>
      <c r="D32" s="9">
        <f t="shared" si="16"/>
        <v>20190117</v>
      </c>
      <c r="E32" s="18">
        <f t="shared" si="7"/>
        <v>3.7285308119245908E-3</v>
      </c>
      <c r="F32" s="18">
        <f t="shared" ref="F32:J32" si="17">$S11/F11-1</f>
        <v>5.6285479631403845E-3</v>
      </c>
      <c r="G32" s="18">
        <f t="shared" si="17"/>
        <v>8.2866272294612076E-2</v>
      </c>
      <c r="H32" s="18">
        <f t="shared" si="17"/>
        <v>-1.8804110667832719E-3</v>
      </c>
      <c r="I32" s="18">
        <f t="shared" si="17"/>
        <v>0.64315905833494202</v>
      </c>
      <c r="J32" s="18">
        <f t="shared" si="17"/>
        <v>2.1438124057417074E-2</v>
      </c>
      <c r="K32" s="18">
        <f t="shared" ref="K32:Q32" si="18">$S11/K11-1</f>
        <v>4.9832060462456029E-2</v>
      </c>
      <c r="L32" s="18">
        <f t="shared" si="18"/>
        <v>5.0591622254565705E-2</v>
      </c>
      <c r="M32" s="18">
        <f t="shared" si="18"/>
        <v>4.504716269813569E-2</v>
      </c>
      <c r="N32" s="18">
        <f t="shared" si="18"/>
        <v>2.5081909449486961E-2</v>
      </c>
      <c r="O32" s="18">
        <f t="shared" si="18"/>
        <v>5.2608976726209455E-2</v>
      </c>
      <c r="P32" s="18">
        <f t="shared" si="18"/>
        <v>4.256447651767159E-2</v>
      </c>
      <c r="Q32" s="18">
        <f t="shared" si="18"/>
        <v>4.4205020125925198E-2</v>
      </c>
      <c r="R32" s="41">
        <f t="shared" si="12"/>
        <v>6.9171648163962596E-2</v>
      </c>
    </row>
    <row r="33" spans="1:18" x14ac:dyDescent="0.2">
      <c r="A33" s="9" t="str">
        <f t="shared" ref="A33:D33" si="19">A12</f>
        <v>CNMD</v>
      </c>
      <c r="B33" s="9" t="str">
        <f t="shared" si="19"/>
        <v>US Revenue</v>
      </c>
      <c r="C33" s="9" t="str">
        <f t="shared" si="19"/>
        <v>2019Q1</v>
      </c>
      <c r="D33" s="9">
        <f t="shared" si="19"/>
        <v>20190418</v>
      </c>
      <c r="E33" s="18">
        <f t="shared" si="7"/>
        <v>1.7656177278478458E-2</v>
      </c>
      <c r="F33" s="18">
        <f t="shared" ref="F33:J33" si="20">$S12/F12-1</f>
        <v>1.4022030704368138E-2</v>
      </c>
      <c r="G33" s="18">
        <f t="shared" si="20"/>
        <v>6.7888502570488951E-2</v>
      </c>
      <c r="H33" s="18">
        <f t="shared" si="20"/>
        <v>-5.9221981601245144E-3</v>
      </c>
      <c r="I33" s="18">
        <f t="shared" si="20"/>
        <v>0.63249527417406992</v>
      </c>
      <c r="J33" s="18">
        <f t="shared" si="20"/>
        <v>2.2702237928875491E-2</v>
      </c>
      <c r="K33" s="18">
        <f t="shared" ref="K33:Q33" si="21">$S12/K12-1</f>
        <v>1.3875909709657908E-2</v>
      </c>
      <c r="L33" s="18">
        <f t="shared" si="21"/>
        <v>8.3465040428978288E-3</v>
      </c>
      <c r="M33" s="18">
        <f t="shared" si="21"/>
        <v>-1.3831596853030703E-2</v>
      </c>
      <c r="N33" s="18">
        <f t="shared" si="21"/>
        <v>-4.0494016329856164E-3</v>
      </c>
      <c r="O33" s="18">
        <f t="shared" si="21"/>
        <v>-6.4898063926189797E-3</v>
      </c>
      <c r="P33" s="18">
        <f t="shared" si="21"/>
        <v>1.237582425881234E-3</v>
      </c>
      <c r="Q33" s="18">
        <f t="shared" si="21"/>
        <v>-2.3730784590725307E-4</v>
      </c>
      <c r="R33" s="41">
        <f t="shared" si="12"/>
        <v>7.2648945921173214E-2</v>
      </c>
    </row>
    <row r="34" spans="1:18" x14ac:dyDescent="0.2">
      <c r="A34" s="9" t="str">
        <f t="shared" ref="A34:D34" si="22">A13</f>
        <v>CNMD</v>
      </c>
      <c r="B34" s="9" t="str">
        <f t="shared" si="22"/>
        <v>US Revenue</v>
      </c>
      <c r="C34" s="9" t="str">
        <f t="shared" si="22"/>
        <v>2019Q2</v>
      </c>
      <c r="D34" s="9">
        <f t="shared" si="22"/>
        <v>20190725</v>
      </c>
      <c r="E34" s="18">
        <f t="shared" si="7"/>
        <v>0.10559497306363541</v>
      </c>
      <c r="F34" s="18">
        <f t="shared" ref="F34:J34" si="23">$S13/F13-1</f>
        <v>0.10923008236798637</v>
      </c>
      <c r="G34" s="18">
        <f>$S13/G13-1</f>
        <v>0.13374254584050704</v>
      </c>
      <c r="H34" s="18">
        <f t="shared" si="23"/>
        <v>0.10852494437632365</v>
      </c>
      <c r="I34" s="18">
        <f t="shared" si="23"/>
        <v>0.81233613372983871</v>
      </c>
      <c r="J34" s="18">
        <f t="shared" si="23"/>
        <v>0.11415934936756056</v>
      </c>
      <c r="K34" s="18">
        <f t="shared" ref="K34:Q34" si="24">$S13/K13-1</f>
        <v>8.6413071279469067E-2</v>
      </c>
      <c r="L34" s="18">
        <f t="shared" si="24"/>
        <v>9.3891502137763538E-2</v>
      </c>
      <c r="M34" s="18">
        <f t="shared" si="24"/>
        <v>6.1667527191745508E-2</v>
      </c>
      <c r="N34" s="18">
        <f t="shared" si="24"/>
        <v>0.1151289590458866</v>
      </c>
      <c r="O34" s="18">
        <f t="shared" si="24"/>
        <v>0.11016317315022928</v>
      </c>
      <c r="P34" s="18">
        <f t="shared" si="24"/>
        <v>8.9426920218634853E-2</v>
      </c>
      <c r="Q34" s="18">
        <f t="shared" si="24"/>
        <v>9.2501826134406606E-2</v>
      </c>
      <c r="R34" s="41">
        <f t="shared" si="12"/>
        <v>5.9113300492610765E-2</v>
      </c>
    </row>
    <row r="35" spans="1:18" x14ac:dyDescent="0.2">
      <c r="A35" s="9" t="str">
        <f t="shared" ref="A35:D35" si="25">A14</f>
        <v>CNMD</v>
      </c>
      <c r="B35" s="9" t="str">
        <f t="shared" si="25"/>
        <v>US Revenue</v>
      </c>
      <c r="C35" s="9" t="str">
        <f t="shared" si="25"/>
        <v>2019Q3</v>
      </c>
      <c r="D35" s="9">
        <f t="shared" si="25"/>
        <v>20191024</v>
      </c>
      <c r="E35" s="18">
        <f t="shared" si="7"/>
        <v>2.6888367005672986E-2</v>
      </c>
      <c r="F35" s="18">
        <f t="shared" ref="F35:J35" si="26">$S14/F14-1</f>
        <v>1.5821024189424326E-2</v>
      </c>
      <c r="G35" s="18">
        <f>$S14/G14-1</f>
        <v>5.7436119269490105E-2</v>
      </c>
      <c r="H35" s="18">
        <f t="shared" si="26"/>
        <v>4.2414563881229661E-2</v>
      </c>
      <c r="I35" s="18">
        <f t="shared" si="26"/>
        <v>0.77383898813693253</v>
      </c>
      <c r="J35" s="18">
        <f t="shared" si="26"/>
        <v>3.5401435100713918E-2</v>
      </c>
      <c r="K35" s="18">
        <f t="shared" ref="K35:Q35" si="27">$S14/K14-1</f>
        <v>-7.1189366789416786E-2</v>
      </c>
      <c r="L35" s="18">
        <f t="shared" si="27"/>
        <v>-8.4210714858320768E-2</v>
      </c>
      <c r="M35" s="18">
        <f t="shared" si="27"/>
        <v>-6.7304898145501557E-2</v>
      </c>
      <c r="N35" s="18">
        <f t="shared" si="27"/>
        <v>-5.9638153232797975E-2</v>
      </c>
      <c r="O35" s="18">
        <f t="shared" si="27"/>
        <v>-2.124172490766274E-2</v>
      </c>
      <c r="P35" s="18">
        <f t="shared" si="27"/>
        <v>-7.0688195823651934E-2</v>
      </c>
      <c r="Q35" s="18">
        <f t="shared" si="27"/>
        <v>-6.2785553324145815E-2</v>
      </c>
      <c r="R35" s="41">
        <f t="shared" si="12"/>
        <v>5.4276315789473673E-2</v>
      </c>
    </row>
    <row r="36" spans="1:18" x14ac:dyDescent="0.2">
      <c r="A36" s="9" t="str">
        <f t="shared" ref="A36:D36" si="28">A15</f>
        <v>CNMD</v>
      </c>
      <c r="B36" s="9" t="str">
        <f t="shared" si="28"/>
        <v>US Revenue</v>
      </c>
      <c r="C36" s="9" t="str">
        <f t="shared" si="28"/>
        <v>2019Q4</v>
      </c>
      <c r="D36" s="9">
        <f t="shared" si="28"/>
        <v>20200123</v>
      </c>
      <c r="E36" s="18">
        <f t="shared" si="7"/>
        <v>-2.9019361067756599E-2</v>
      </c>
      <c r="F36" s="18">
        <f t="shared" ref="F36:J36" si="29">$S15/F15-1</f>
        <v>-1.8644514615378971E-2</v>
      </c>
      <c r="G36" s="18">
        <f t="shared" si="29"/>
        <v>5.8852262227404584E-3</v>
      </c>
      <c r="H36" s="18">
        <f t="shared" si="29"/>
        <v>-4.1763310440532053E-2</v>
      </c>
      <c r="I36" s="18">
        <f t="shared" si="29"/>
        <v>0.68632914617214658</v>
      </c>
      <c r="J36" s="18">
        <f t="shared" si="29"/>
        <v>-2.1195545109243041E-2</v>
      </c>
      <c r="K36" s="18">
        <f t="shared" ref="K36:Q36" si="30">$S15/K15-1</f>
        <v>-5.4443822590426461E-2</v>
      </c>
      <c r="L36" s="18">
        <f t="shared" si="30"/>
        <v>-3.3928751211174224E-2</v>
      </c>
      <c r="M36" s="18">
        <f t="shared" si="30"/>
        <v>-4.8750834312679348E-2</v>
      </c>
      <c r="N36" s="18">
        <f t="shared" si="30"/>
        <v>-8.0752780360571319E-2</v>
      </c>
      <c r="O36" s="18">
        <f t="shared" si="30"/>
        <v>-4.9333588082139168E-2</v>
      </c>
      <c r="P36" s="18">
        <f t="shared" si="30"/>
        <v>-5.4661871513102311E-2</v>
      </c>
      <c r="Q36" s="18">
        <f t="shared" si="30"/>
        <v>-5.3853273674520197E-2</v>
      </c>
      <c r="R36" s="41">
        <f t="shared" si="12"/>
        <v>3.5211267605634866E-3</v>
      </c>
    </row>
    <row r="37" spans="1:18" x14ac:dyDescent="0.2">
      <c r="A37" s="9" t="str">
        <f t="shared" ref="A37:D37" si="31">A16</f>
        <v>CNMD</v>
      </c>
      <c r="B37" s="9" t="str">
        <f t="shared" si="31"/>
        <v>US Revenue</v>
      </c>
      <c r="C37" s="9" t="str">
        <f t="shared" si="31"/>
        <v>2020Q1</v>
      </c>
      <c r="D37" s="9">
        <f t="shared" si="31"/>
        <v>20200423</v>
      </c>
      <c r="E37" s="18">
        <f t="shared" si="7"/>
        <v>-0.14953968692379604</v>
      </c>
      <c r="F37" s="18">
        <f t="shared" ref="F37:J37" si="32">$S16/F16-1</f>
        <v>-0.14731517720918741</v>
      </c>
      <c r="G37" s="18">
        <f t="shared" ref="G37:G42" si="33">$S16/G16-1</f>
        <v>-0.12134800186141093</v>
      </c>
      <c r="H37" s="18">
        <f t="shared" si="32"/>
        <v>-0.21676414294030655</v>
      </c>
      <c r="I37" s="18">
        <f t="shared" si="32"/>
        <v>0.27516940754384223</v>
      </c>
      <c r="J37" s="18">
        <f t="shared" si="32"/>
        <v>-0.16027455862360018</v>
      </c>
      <c r="K37" s="18">
        <f t="shared" ref="K37:Q37" si="34">$S16/K16-1</f>
        <v>-0.12412227496994366</v>
      </c>
      <c r="L37" s="18">
        <f t="shared" si="34"/>
        <v>-0.13111524265172758</v>
      </c>
      <c r="M37" s="18">
        <f t="shared" si="34"/>
        <v>-0.12648881280614133</v>
      </c>
      <c r="N37" s="18">
        <f t="shared" si="34"/>
        <v>-0.18262798159004745</v>
      </c>
      <c r="O37" s="18">
        <f t="shared" si="34"/>
        <v>-0.24381938695752792</v>
      </c>
      <c r="P37" s="18">
        <f t="shared" si="34"/>
        <v>-0.14209070342847951</v>
      </c>
      <c r="Q37" s="18">
        <f t="shared" si="34"/>
        <v>-0.16071126184635876</v>
      </c>
      <c r="R37" s="41">
        <f t="shared" si="12"/>
        <v>-3.020408163265309E-2</v>
      </c>
    </row>
    <row r="38" spans="1:18" x14ac:dyDescent="0.2">
      <c r="A38" s="9" t="str">
        <f t="shared" ref="A38:D38" si="35">A17</f>
        <v>CNMD</v>
      </c>
      <c r="B38" s="9" t="str">
        <f t="shared" si="35"/>
        <v>US Revenue</v>
      </c>
      <c r="C38" s="9" t="str">
        <f t="shared" si="35"/>
        <v>2020Q2</v>
      </c>
      <c r="D38" s="9">
        <f t="shared" si="35"/>
        <v>20200723</v>
      </c>
      <c r="E38" s="18">
        <f t="shared" si="7"/>
        <v>-0.27000146701307015</v>
      </c>
      <c r="F38" s="18">
        <f t="shared" ref="F38:J38" si="36">$S17/F17-1</f>
        <v>-0.27110412913005821</v>
      </c>
      <c r="G38" s="18">
        <f t="shared" si="33"/>
        <v>-0.19464759474224669</v>
      </c>
      <c r="H38" s="18">
        <f t="shared" si="36"/>
        <v>-0.29733954905374704</v>
      </c>
      <c r="I38" s="18">
        <f t="shared" si="36"/>
        <v>8.751101602620448E-2</v>
      </c>
      <c r="J38" s="18">
        <f t="shared" si="36"/>
        <v>-0.26017154818783095</v>
      </c>
      <c r="K38" s="18">
        <f t="shared" ref="K38:Q38" si="37">$S17/K17-1</f>
        <v>-0.14164303523294475</v>
      </c>
      <c r="L38" s="18">
        <f t="shared" si="37"/>
        <v>-0.14517550754065622</v>
      </c>
      <c r="M38" s="18">
        <f t="shared" si="37"/>
        <v>-8.3422780618629289E-2</v>
      </c>
      <c r="N38" s="18">
        <f t="shared" si="37"/>
        <v>-0.10287502211137856</v>
      </c>
      <c r="O38" s="18">
        <f t="shared" si="37"/>
        <v>-0.14716349875354551</v>
      </c>
      <c r="P38" s="18">
        <f t="shared" si="37"/>
        <v>-0.11896387157269994</v>
      </c>
      <c r="Q38" s="18">
        <f t="shared" si="37"/>
        <v>-0.12384708010314849</v>
      </c>
      <c r="R38" s="41">
        <f t="shared" ref="R38" si="38">$S17/R17-1</f>
        <v>0.37854889589905372</v>
      </c>
    </row>
    <row r="39" spans="1:18" x14ac:dyDescent="0.2">
      <c r="A39" s="9" t="str">
        <f t="shared" ref="A39:D39" si="39">A18</f>
        <v>CNMD</v>
      </c>
      <c r="B39" s="9" t="str">
        <f t="shared" si="39"/>
        <v>US Revenue</v>
      </c>
      <c r="C39" s="9" t="str">
        <f t="shared" si="39"/>
        <v>2020Q3</v>
      </c>
      <c r="D39" s="9">
        <f t="shared" si="39"/>
        <v>20201022</v>
      </c>
      <c r="E39" s="18">
        <f t="shared" si="7"/>
        <v>-5.4411261654663146E-2</v>
      </c>
      <c r="F39" s="18">
        <f t="shared" ref="F39:I39" si="40">$S18/F18-1</f>
        <v>-5.6772464722640192E-2</v>
      </c>
      <c r="G39" s="18">
        <f t="shared" si="33"/>
        <v>-2.3583663175187786E-2</v>
      </c>
      <c r="H39" s="18">
        <f t="shared" si="40"/>
        <v>-0.14826186649564543</v>
      </c>
      <c r="I39" s="18">
        <f t="shared" si="40"/>
        <v>0.20320669107723788</v>
      </c>
      <c r="J39" s="18">
        <f>$S18/J18-1</f>
        <v>-7.3206244034671686E-2</v>
      </c>
      <c r="K39" s="18">
        <f t="shared" ref="K39:Q39" si="41">$S18/K18-1</f>
        <v>0.29532964193267341</v>
      </c>
      <c r="L39" s="18">
        <f t="shared" si="41"/>
        <v>0.29404977167947433</v>
      </c>
      <c r="M39" s="18">
        <f t="shared" si="41"/>
        <v>0.21240879203969065</v>
      </c>
      <c r="N39" s="18">
        <f t="shared" si="41"/>
        <v>0.21216176655074714</v>
      </c>
      <c r="O39" s="18">
        <f t="shared" si="41"/>
        <v>0.10638574997960815</v>
      </c>
      <c r="P39" s="18">
        <f t="shared" si="41"/>
        <v>0.25271440114961519</v>
      </c>
      <c r="Q39" s="18">
        <f t="shared" si="41"/>
        <v>0.22532521495698665</v>
      </c>
      <c r="R39" s="41">
        <f>$S18/R18-1</f>
        <v>0.21228545618789507</v>
      </c>
    </row>
    <row r="40" spans="1:18" x14ac:dyDescent="0.2">
      <c r="A40" s="9" t="str">
        <f t="shared" ref="A40:D40" si="42">A19</f>
        <v>CNMD</v>
      </c>
      <c r="B40" s="9" t="str">
        <f t="shared" si="42"/>
        <v>US Revenue</v>
      </c>
      <c r="C40" s="9" t="str">
        <f t="shared" si="42"/>
        <v>2020Q4</v>
      </c>
      <c r="D40" s="9">
        <f t="shared" si="42"/>
        <v>20210121</v>
      </c>
      <c r="E40" s="18">
        <f t="shared" ref="E40:I40" si="43">$S19/E19-1</f>
        <v>-0.1011569576288246</v>
      </c>
      <c r="F40" s="18">
        <f t="shared" si="43"/>
        <v>-9.3834905781484346E-2</v>
      </c>
      <c r="G40" s="18">
        <f t="shared" si="33"/>
        <v>-6.8204410156940565E-2</v>
      </c>
      <c r="H40" s="18">
        <f t="shared" si="43"/>
        <v>-1.9530407273705142E-2</v>
      </c>
      <c r="I40" s="18">
        <f t="shared" si="43"/>
        <v>0.32272533768098954</v>
      </c>
      <c r="J40" s="18">
        <f>$S19/J19-1</f>
        <v>-7.1755429267094994E-2</v>
      </c>
      <c r="K40" s="18">
        <f t="shared" ref="K40:Q40" si="44">$S19/K19-1</f>
        <v>-4.9435546425775634E-2</v>
      </c>
      <c r="L40" s="18">
        <f t="shared" si="44"/>
        <v>-3.9293213644304492E-2</v>
      </c>
      <c r="M40" s="18">
        <f t="shared" si="44"/>
        <v>-4.5698484651387594E-2</v>
      </c>
      <c r="N40" s="18">
        <f t="shared" si="44"/>
        <v>0.15113971555117911</v>
      </c>
      <c r="O40" s="18">
        <f t="shared" si="44"/>
        <v>9.9333429152347774E-2</v>
      </c>
      <c r="P40" s="18">
        <f t="shared" si="44"/>
        <v>1.5654127557922504E-3</v>
      </c>
      <c r="Q40" s="18">
        <f t="shared" si="44"/>
        <v>1.3928484247806683E-2</v>
      </c>
      <c r="R40" s="41">
        <f>$S19/R19-1</f>
        <v>-2.2774327122153326E-2</v>
      </c>
    </row>
    <row r="41" spans="1:18" x14ac:dyDescent="0.2">
      <c r="A41" s="9" t="str">
        <f t="shared" ref="A41:D41" si="45">A20</f>
        <v>CNMD</v>
      </c>
      <c r="B41" s="9" t="str">
        <f t="shared" si="45"/>
        <v>US Revenue</v>
      </c>
      <c r="C41" s="9" t="str">
        <f t="shared" si="45"/>
        <v>2021Q1</v>
      </c>
      <c r="D41" s="9">
        <f t="shared" si="45"/>
        <v>20210422</v>
      </c>
      <c r="E41" s="18">
        <f t="shared" ref="E41:J41" si="46">$S20/E20-1</f>
        <v>8.3348714291101578E-2</v>
      </c>
      <c r="F41" s="18">
        <f t="shared" si="46"/>
        <v>0.10389153573390453</v>
      </c>
      <c r="G41" s="18">
        <f t="shared" si="33"/>
        <v>0.13952145230988222</v>
      </c>
      <c r="H41" s="18">
        <f t="shared" si="46"/>
        <v>4.897347278161468E-2</v>
      </c>
      <c r="I41" s="18">
        <f t="shared" si="46"/>
        <v>0.4182809686027964</v>
      </c>
      <c r="J41" s="18">
        <f t="shared" si="46"/>
        <v>9.2948661098525509E-2</v>
      </c>
      <c r="K41" s="18">
        <f t="shared" ref="K41:Q41" si="47">$S20/K20-1</f>
        <v>0.20527017868792163</v>
      </c>
      <c r="L41" s="18">
        <f t="shared" si="47"/>
        <v>0.21820134407837632</v>
      </c>
      <c r="M41" s="18">
        <f t="shared" si="47"/>
        <v>0.22293072078373943</v>
      </c>
      <c r="N41" s="18">
        <f t="shared" si="47"/>
        <v>6.9868439127049209E-2</v>
      </c>
      <c r="O41" s="18">
        <f t="shared" si="47"/>
        <v>7.2241476139964123E-2</v>
      </c>
      <c r="P41" s="18">
        <f t="shared" si="47"/>
        <v>0.17743609341617472</v>
      </c>
      <c r="Q41" s="18">
        <f t="shared" si="47"/>
        <v>0.15720588711565187</v>
      </c>
      <c r="R41" s="41">
        <f>$S20/R20-1</f>
        <v>4.4688026981450246E-2</v>
      </c>
    </row>
    <row r="42" spans="1:18" x14ac:dyDescent="0.2">
      <c r="A42" s="9" t="str">
        <f t="shared" ref="A42:D42" si="48">A21</f>
        <v>CNMD</v>
      </c>
      <c r="B42" s="9" t="str">
        <f t="shared" si="48"/>
        <v>US Revenue</v>
      </c>
      <c r="C42" s="9" t="str">
        <f t="shared" si="48"/>
        <v>2021Q2</v>
      </c>
      <c r="D42" s="9">
        <f t="shared" si="48"/>
        <v>20210722</v>
      </c>
      <c r="E42" s="18">
        <f>$S21/E21-1</f>
        <v>0.11368106646161236</v>
      </c>
      <c r="F42" s="18">
        <f t="shared" ref="F42:J42" si="49">$S21/F21-1</f>
        <v>0.11472236985797579</v>
      </c>
      <c r="G42" s="18">
        <f t="shared" si="33"/>
        <v>0.17703309482060914</v>
      </c>
      <c r="H42" s="18">
        <f t="shared" si="49"/>
        <v>7.8511114049488295E-2</v>
      </c>
      <c r="I42" s="18">
        <f t="shared" si="49"/>
        <v>0.53183886919011947</v>
      </c>
      <c r="J42" s="18">
        <f t="shared" si="49"/>
        <v>0.11988182411809967</v>
      </c>
      <c r="K42" s="18">
        <f t="shared" ref="K42:Q42" si="50">$S21/K21-1</f>
        <v>2.799869679114253E-2</v>
      </c>
      <c r="L42" s="18">
        <f t="shared" si="50"/>
        <v>9.81150210275894E-3</v>
      </c>
      <c r="M42" s="18">
        <f t="shared" si="50"/>
        <v>3.2918768167714996E-2</v>
      </c>
      <c r="N42" s="18">
        <f t="shared" si="50"/>
        <v>2.8158616051125795E-2</v>
      </c>
      <c r="O42" s="18">
        <f t="shared" si="50"/>
        <v>8.0067280814740904E-2</v>
      </c>
      <c r="P42" s="18">
        <f t="shared" si="50"/>
        <v>2.4642660701467589E-2</v>
      </c>
      <c r="Q42" s="18">
        <f t="shared" si="50"/>
        <v>3.3483332602096016E-2</v>
      </c>
      <c r="R42" s="41">
        <f>$S21/R21-1</f>
        <v>6.4780342516753464E-2</v>
      </c>
    </row>
    <row r="43" spans="1:18" x14ac:dyDescent="0.2">
      <c r="A43" s="173" t="s">
        <v>78</v>
      </c>
      <c r="B43" s="173"/>
      <c r="C43" s="169"/>
      <c r="D43" s="170"/>
      <c r="E43" s="74" cm="1">
        <f t="array" ref="E43">SUM(ABS(E27:E42))/COUNT(E27:E42)</f>
        <v>8.0156012888667319E-2</v>
      </c>
      <c r="F43" s="74" cm="1">
        <f t="array" ref="F43">SUM(ABS(F27:F42))/COUNT(F27:F42)</f>
        <v>7.8411950588889154E-2</v>
      </c>
      <c r="G43" s="108" cm="1">
        <f t="array" ref="G43">SUM(ABS(G27:G42))/COUNT(G27:G42)</f>
        <v>7.6320475983893285E-2</v>
      </c>
      <c r="H43" s="74" cm="1">
        <f t="array" ref="H43">SUM(ABS(H27:H42))/COUNT(H27:H42)</f>
        <v>8.5065254497751833E-2</v>
      </c>
      <c r="I43" s="74" cm="1">
        <f t="array" ref="I43">SUM(ABS(I27:I42))/COUNT(I27:I42)</f>
        <v>0.58970614787647035</v>
      </c>
      <c r="J43" s="108" cm="1">
        <f t="array" ref="J43">SUM(ABS(J27:J42))/COUNT(J27:J42)</f>
        <v>7.4262686982939238E-2</v>
      </c>
      <c r="K43" s="74" cm="1">
        <f t="array" ref="K43">SUM(ABS(K27:K42))/COUNT(K27:K42)</f>
        <v>9.3994037348313395E-2</v>
      </c>
      <c r="L43" s="74" cm="1">
        <f t="array" ref="L43">SUM(ABS(L27:L42))/COUNT(L27:L42)</f>
        <v>9.310391626484775E-2</v>
      </c>
      <c r="M43" s="74" cm="1">
        <f t="array" ref="M43">SUM(ABS(M27:M42))/COUNT(M27:M42)</f>
        <v>7.8374721721477456E-2</v>
      </c>
      <c r="N43" s="74" cm="1">
        <f t="array" ref="N43">SUM(ABS(N27:N42))/COUNT(N27:N42)</f>
        <v>9.0511783244202976E-2</v>
      </c>
      <c r="O43" s="74" cm="1">
        <f t="array" ref="O43">SUM(ABS(O27:O42))/COUNT(O27:O42)</f>
        <v>9.0855187567930165E-2</v>
      </c>
      <c r="P43" s="74" cm="1">
        <f t="array" ref="P43">SUM(ABS(P27:P42))/COUNT(P27:P42)</f>
        <v>8.3799008548261306E-2</v>
      </c>
      <c r="Q43" s="74" cm="1">
        <f t="array" ref="Q43">SUM(ABS(Q27:Q42))/COUNT(Q27:Q42)</f>
        <v>8.4032515902327423E-2</v>
      </c>
      <c r="R43" s="108" cm="1">
        <f t="array" ref="R43">SUM(ABS(R27:R42))/COUNT(R27:R42)</f>
        <v>7.5863150387414757E-2</v>
      </c>
    </row>
    <row r="44" spans="1:18" x14ac:dyDescent="0.2">
      <c r="A44" s="174" t="s">
        <v>79</v>
      </c>
      <c r="B44" s="174"/>
      <c r="C44" s="171"/>
      <c r="D44" s="172"/>
      <c r="E44" s="75" cm="1">
        <f t="array" ref="E44">SQRT(SUM(POWER(E27:E42,2))/COUNT(E27:E42))</f>
        <v>0.10325384534947682</v>
      </c>
      <c r="F44" s="75" cm="1">
        <f t="array" ref="F44">SQRT(SUM(POWER(F27:F42,2))/COUNT(F27:F42))</f>
        <v>0.10303426096204758</v>
      </c>
      <c r="G44" s="109" cm="1">
        <f t="array" ref="G44">SQRT(SUM(POWER(G27:G42,2))/COUNT(G27:G42))</f>
        <v>9.6004582754417825E-2</v>
      </c>
      <c r="H44" s="75" cm="1">
        <f t="array" ref="H44">SQRT(SUM(POWER(H27:H42,2))/COUNT(H27:H42))</f>
        <v>0.11531324958675959</v>
      </c>
      <c r="I44" s="75" cm="1">
        <f t="array" ref="I44">SQRT(SUM(POWER(I27:I42,2))/COUNT(I27:I42))</f>
        <v>0.6479012632920137</v>
      </c>
      <c r="J44" s="109" cm="1">
        <f t="array" ref="J44">SQRT(SUM(POWER(J27:J42,2))/COUNT(J27:J42))</f>
        <v>9.7989910331456417E-2</v>
      </c>
      <c r="K44" s="75" cm="1">
        <f t="array" ref="K44">SQRT(SUM(POWER(K27:K42,2))/COUNT(K27:K42))</f>
        <v>0.11835838200851075</v>
      </c>
      <c r="L44" s="75" cm="1">
        <f t="array" ref="L44">SQRT(SUM(POWER(L27:L42,2))/COUNT(L27:L42))</f>
        <v>0.12011832292635115</v>
      </c>
      <c r="M44" s="75" cm="1">
        <f t="array" ref="M44">SQRT(SUM(POWER(M27:M42,2))/COUNT(M27:M42))</f>
        <v>9.8684157741273981E-2</v>
      </c>
      <c r="N44" s="75" cm="1">
        <f t="array" ref="N44">SQRT(SUM(POWER(N27:N42,2))/COUNT(N27:N42))</f>
        <v>0.10791128145302822</v>
      </c>
      <c r="O44" s="75" cm="1">
        <f t="array" ref="O44">SQRT(SUM(POWER(O27:O42,2))/COUNT(O27:O42))</f>
        <v>0.1118209678457823</v>
      </c>
      <c r="P44" s="75" cm="1">
        <f t="array" ref="P44">SQRT(SUM(POWER(P27:P42,2))/COUNT(P27:P42))</f>
        <v>0.10622336460951515</v>
      </c>
      <c r="Q44" s="75" cm="1">
        <f t="array" ref="Q44">SQRT(SUM(POWER(Q27:Q42,2))/COUNT(Q27:Q42))</f>
        <v>0.10314189216782038</v>
      </c>
      <c r="R44" s="109" cm="1">
        <f t="array" ref="R44">SQRT(SUM(POWER(R27:R42,2))/COUNT(R27:R42))</f>
        <v>0.11786334530044008</v>
      </c>
    </row>
    <row r="45" spans="1:18" x14ac:dyDescent="0.2">
      <c r="I45" s="3"/>
      <c r="J45" s="3"/>
      <c r="R45" s="3"/>
    </row>
    <row r="46" spans="1:18" x14ac:dyDescent="0.2">
      <c r="B46" t="s">
        <v>158</v>
      </c>
      <c r="J46" s="3"/>
    </row>
  </sheetData>
  <mergeCells count="7">
    <mergeCell ref="A23:D23"/>
    <mergeCell ref="A4:B4"/>
    <mergeCell ref="A25:B25"/>
    <mergeCell ref="C43:D43"/>
    <mergeCell ref="C44:D44"/>
    <mergeCell ref="A43:B43"/>
    <mergeCell ref="A44:B4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346E01-FCEE-49F0-80B2-AA1066C7B862}">
  <dimension ref="A1:Q45"/>
  <sheetViews>
    <sheetView zoomScale="85" zoomScaleNormal="85" workbookViewId="0">
      <selection activeCell="B15" sqref="B15"/>
    </sheetView>
  </sheetViews>
  <sheetFormatPr defaultRowHeight="12.75" x14ac:dyDescent="0.2"/>
  <cols>
    <col min="1" max="1" width="9.140625" style="68"/>
    <col min="3" max="3" width="13" bestFit="1" customWidth="1"/>
    <col min="4" max="4" width="8.85546875" customWidth="1"/>
    <col min="5" max="5" width="6.42578125" customWidth="1"/>
    <col min="6" max="6" width="8.5703125" bestFit="1" customWidth="1"/>
    <col min="7" max="7" width="14.5703125" bestFit="1" customWidth="1"/>
    <col min="8" max="8" width="8.28515625" bestFit="1" customWidth="1"/>
    <col min="9" max="9" width="7.5703125" bestFit="1" customWidth="1"/>
    <col min="10" max="10" width="12" bestFit="1" customWidth="1"/>
    <col min="11" max="11" width="12.5703125" bestFit="1" customWidth="1"/>
    <col min="12" max="12" width="7.42578125" bestFit="1" customWidth="1"/>
    <col min="13" max="13" width="7.5703125" bestFit="1" customWidth="1"/>
  </cols>
  <sheetData>
    <row r="1" spans="1:17" x14ac:dyDescent="0.2">
      <c r="A1" s="68" t="s">
        <v>104</v>
      </c>
      <c r="B1" t="s">
        <v>84</v>
      </c>
    </row>
    <row r="2" spans="1:17" x14ac:dyDescent="0.2">
      <c r="A2" s="68" t="s">
        <v>99</v>
      </c>
      <c r="B2" t="s">
        <v>82</v>
      </c>
    </row>
    <row r="3" spans="1:17" x14ac:dyDescent="0.2">
      <c r="A3" s="68" t="s">
        <v>100</v>
      </c>
      <c r="B3" t="s">
        <v>147</v>
      </c>
    </row>
    <row r="4" spans="1:17" x14ac:dyDescent="0.2">
      <c r="A4" s="68" t="s">
        <v>101</v>
      </c>
      <c r="B4" t="s">
        <v>173</v>
      </c>
      <c r="O4" s="6"/>
      <c r="P4" s="6"/>
      <c r="Q4" s="6"/>
    </row>
    <row r="5" spans="1:17" x14ac:dyDescent="0.2">
      <c r="O5" s="6"/>
      <c r="P5" s="6"/>
      <c r="Q5" s="6"/>
    </row>
    <row r="6" spans="1:17" x14ac:dyDescent="0.2">
      <c r="O6" s="6"/>
      <c r="P6" s="6"/>
      <c r="Q6" s="6"/>
    </row>
    <row r="7" spans="1:17" x14ac:dyDescent="0.2">
      <c r="A7" s="68" t="s">
        <v>102</v>
      </c>
      <c r="B7" s="175" t="s">
        <v>83</v>
      </c>
      <c r="C7" s="175"/>
      <c r="D7" s="175" t="s">
        <v>112</v>
      </c>
      <c r="E7" s="175"/>
      <c r="F7" s="175"/>
      <c r="G7" s="175"/>
      <c r="H7" s="175"/>
      <c r="I7" s="175"/>
      <c r="J7" s="175"/>
      <c r="K7" s="175"/>
      <c r="L7" s="175"/>
      <c r="M7" s="175"/>
      <c r="N7" s="175"/>
      <c r="O7" s="6"/>
      <c r="P7" s="6"/>
      <c r="Q7" s="6"/>
    </row>
    <row r="8" spans="1:17" ht="15" x14ac:dyDescent="0.2">
      <c r="A8" s="68" t="s">
        <v>172</v>
      </c>
      <c r="C8" s="72" t="s">
        <v>85</v>
      </c>
      <c r="D8" s="72" t="s">
        <v>86</v>
      </c>
      <c r="E8" s="72" t="s">
        <v>87</v>
      </c>
      <c r="F8" s="72" t="s">
        <v>88</v>
      </c>
      <c r="G8" s="72" t="s">
        <v>89</v>
      </c>
      <c r="H8" s="72" t="s">
        <v>90</v>
      </c>
      <c r="I8" s="72" t="s">
        <v>91</v>
      </c>
      <c r="J8" s="72" t="s">
        <v>92</v>
      </c>
      <c r="K8" s="72" t="s">
        <v>93</v>
      </c>
      <c r="L8" s="72" t="s">
        <v>94</v>
      </c>
      <c r="M8" s="72" t="s">
        <v>95</v>
      </c>
      <c r="O8" s="6"/>
      <c r="P8" s="6"/>
      <c r="Q8" s="6"/>
    </row>
    <row r="9" spans="1:17" ht="15" x14ac:dyDescent="0.2">
      <c r="B9" s="72" t="s">
        <v>96</v>
      </c>
      <c r="C9" s="2">
        <v>6.0584695660557762E-2</v>
      </c>
      <c r="D9" s="2">
        <v>6.1097545157477243E-2</v>
      </c>
      <c r="E9" s="2">
        <v>7.1318205106052066E-2</v>
      </c>
      <c r="F9" s="2">
        <v>4.1293139844260453E-2</v>
      </c>
      <c r="G9" s="2">
        <v>5.5124567616016223E-2</v>
      </c>
      <c r="H9" s="2">
        <v>7.1811291840001013E-2</v>
      </c>
      <c r="I9" s="2">
        <v>7.5915919294223491E-2</v>
      </c>
      <c r="J9" s="2">
        <v>5.4891109811757009E-2</v>
      </c>
      <c r="K9" s="2">
        <v>5.4665405446658093E-2</v>
      </c>
      <c r="L9" s="2">
        <v>9.1403964398395127E-2</v>
      </c>
      <c r="M9" s="2">
        <v>0.22279449049875361</v>
      </c>
      <c r="O9" s="6"/>
      <c r="P9" s="6"/>
      <c r="Q9" s="6"/>
    </row>
    <row r="10" spans="1:17" ht="15" x14ac:dyDescent="0.2">
      <c r="B10" s="72" t="s">
        <v>97</v>
      </c>
      <c r="C10" s="2">
        <v>7.5490388214884352E-2</v>
      </c>
      <c r="D10" s="2">
        <v>6.9901900636277728E-2</v>
      </c>
      <c r="E10" s="2">
        <v>7.8549083157058788E-2</v>
      </c>
      <c r="F10" s="2">
        <v>5.8486995124443962E-2</v>
      </c>
      <c r="G10" s="2">
        <v>7.3876332770341627E-2</v>
      </c>
      <c r="H10" s="2">
        <v>7.8880770887310284E-2</v>
      </c>
      <c r="I10" s="2">
        <v>8.4193912655755793E-2</v>
      </c>
      <c r="J10" s="2">
        <v>7.1252950887197519E-2</v>
      </c>
      <c r="K10" s="2">
        <v>6.7184047154527568E-2</v>
      </c>
      <c r="L10" s="2">
        <v>0.1104477933945327</v>
      </c>
      <c r="M10" s="2">
        <v>0.46810781878240643</v>
      </c>
      <c r="O10" s="6"/>
      <c r="P10" s="6"/>
      <c r="Q10" s="6"/>
    </row>
    <row r="11" spans="1:17" ht="15" x14ac:dyDescent="0.2">
      <c r="B11" s="72" t="s">
        <v>98</v>
      </c>
      <c r="C11" s="2">
        <v>-5.5813953488372148E-2</v>
      </c>
      <c r="D11" s="2">
        <v>-2.2198286705518381E-2</v>
      </c>
      <c r="E11" s="2">
        <v>-3.7357786191564157E-2</v>
      </c>
      <c r="F11" s="2">
        <v>1.24899387064259E-3</v>
      </c>
      <c r="G11" s="2">
        <v>-2.6147321865698241E-3</v>
      </c>
      <c r="H11" s="2">
        <v>-3.7361727947707417E-2</v>
      </c>
      <c r="I11" s="2">
        <v>-4.1981098790209281E-2</v>
      </c>
      <c r="J11" s="2">
        <v>-1.280425455486678E-2</v>
      </c>
      <c r="K11" s="2">
        <v>-2.0276433679398801E-2</v>
      </c>
      <c r="L11" s="2">
        <v>-7.1863516373590786E-2</v>
      </c>
      <c r="M11" s="2">
        <v>-4.1701857443923067E-2</v>
      </c>
      <c r="O11" s="6"/>
      <c r="P11" s="6"/>
      <c r="Q11" s="6"/>
    </row>
    <row r="12" spans="1:17" x14ac:dyDescent="0.2">
      <c r="O12" s="6"/>
      <c r="P12" s="6"/>
      <c r="Q12" s="6"/>
    </row>
    <row r="13" spans="1:17" x14ac:dyDescent="0.2">
      <c r="O13" s="6"/>
      <c r="P13" s="6"/>
      <c r="Q13" s="6"/>
    </row>
    <row r="14" spans="1:17" ht="15" x14ac:dyDescent="0.2">
      <c r="A14" s="68" t="s">
        <v>174</v>
      </c>
      <c r="C14" s="72" t="s">
        <v>85</v>
      </c>
      <c r="D14" s="72" t="s">
        <v>86</v>
      </c>
      <c r="E14" s="72" t="s">
        <v>87</v>
      </c>
      <c r="F14" s="72" t="s">
        <v>88</v>
      </c>
      <c r="G14" s="72" t="s">
        <v>89</v>
      </c>
      <c r="H14" s="72" t="s">
        <v>90</v>
      </c>
      <c r="I14" s="72" t="s">
        <v>91</v>
      </c>
      <c r="J14" s="72" t="s">
        <v>92</v>
      </c>
      <c r="K14" s="72" t="s">
        <v>93</v>
      </c>
      <c r="L14" s="72" t="s">
        <v>94</v>
      </c>
      <c r="M14" s="72" t="s">
        <v>95</v>
      </c>
      <c r="O14" s="6"/>
      <c r="P14" s="6"/>
      <c r="Q14" s="6"/>
    </row>
    <row r="15" spans="1:17" ht="15" x14ac:dyDescent="0.2">
      <c r="B15" s="72" t="s">
        <v>96</v>
      </c>
      <c r="C15" s="2">
        <v>6.0584695660557762E-2</v>
      </c>
      <c r="D15" s="2">
        <v>7.649168900876413E-2</v>
      </c>
      <c r="E15" s="2">
        <v>7.7501668177572758E-2</v>
      </c>
      <c r="F15" s="2">
        <v>4.1293139844260453E-2</v>
      </c>
      <c r="G15" s="2">
        <v>6.161690783895811E-2</v>
      </c>
      <c r="H15" s="2">
        <v>7.7040391977344108E-2</v>
      </c>
      <c r="I15" s="2">
        <v>8.1227979282098572E-2</v>
      </c>
      <c r="J15" s="2">
        <v>6.2307951002913607E-2</v>
      </c>
      <c r="K15" s="2">
        <v>6.2228376208653069E-2</v>
      </c>
      <c r="L15" s="2">
        <v>6.6695229083084118E-2</v>
      </c>
      <c r="M15" s="2">
        <v>0.13276180464088541</v>
      </c>
      <c r="O15" s="6"/>
      <c r="P15" s="6"/>
      <c r="Q15" s="6"/>
    </row>
    <row r="16" spans="1:17" ht="15" x14ac:dyDescent="0.2">
      <c r="B16" s="72" t="s">
        <v>97</v>
      </c>
      <c r="C16" s="2">
        <v>7.5490388214884352E-2</v>
      </c>
      <c r="D16" s="2">
        <v>8.8413368220908548E-2</v>
      </c>
      <c r="E16" s="2">
        <v>8.3183539529556039E-2</v>
      </c>
      <c r="F16" s="2">
        <v>5.8486995124443962E-2</v>
      </c>
      <c r="G16" s="2">
        <v>8.2595407431878973E-2</v>
      </c>
      <c r="H16" s="2">
        <v>8.2357498811836863E-2</v>
      </c>
      <c r="I16" s="2">
        <v>8.7435822160862015E-2</v>
      </c>
      <c r="J16" s="2">
        <v>8.2713415246218808E-2</v>
      </c>
      <c r="K16" s="2">
        <v>7.3378259938525175E-2</v>
      </c>
      <c r="L16" s="2">
        <v>7.6555517622963573E-2</v>
      </c>
      <c r="M16" s="2">
        <v>0.15660008805417969</v>
      </c>
      <c r="O16" s="6"/>
      <c r="P16" s="6"/>
      <c r="Q16" s="6"/>
    </row>
    <row r="17" spans="1:17" ht="15" x14ac:dyDescent="0.2">
      <c r="B17" s="72" t="s">
        <v>98</v>
      </c>
      <c r="C17" s="2">
        <v>-5.5813953488372148E-2</v>
      </c>
      <c r="D17" s="2">
        <v>-6.3572650522106144E-2</v>
      </c>
      <c r="E17" s="2">
        <v>-3.087467460668725E-2</v>
      </c>
      <c r="F17" s="2">
        <v>1.24899387064259E-3</v>
      </c>
      <c r="G17" s="2">
        <v>-6.0666744770083714E-3</v>
      </c>
      <c r="H17" s="2">
        <v>-3.087622372051313E-2</v>
      </c>
      <c r="I17" s="2">
        <v>-3.5543983972309512E-2</v>
      </c>
      <c r="J17" s="2">
        <v>-1.9848730511912719E-2</v>
      </c>
      <c r="K17" s="2">
        <v>-2.145932040686771E-2</v>
      </c>
      <c r="L17" s="2">
        <v>-5.1886722778350269E-2</v>
      </c>
      <c r="M17" s="2">
        <v>-7.3158384501925355E-2</v>
      </c>
      <c r="O17" s="6"/>
      <c r="P17" s="6"/>
      <c r="Q17" s="6"/>
    </row>
    <row r="18" spans="1:17" x14ac:dyDescent="0.2">
      <c r="O18" s="6"/>
      <c r="P18" s="6"/>
      <c r="Q18" s="6"/>
    </row>
    <row r="19" spans="1:17" x14ac:dyDescent="0.2">
      <c r="O19" s="6"/>
      <c r="P19" s="6"/>
      <c r="Q19" s="6"/>
    </row>
    <row r="20" spans="1:17" x14ac:dyDescent="0.2">
      <c r="A20" s="68" t="s">
        <v>103</v>
      </c>
      <c r="B20" t="s">
        <v>139</v>
      </c>
      <c r="O20" s="6"/>
      <c r="P20" s="6"/>
      <c r="Q20" s="6"/>
    </row>
    <row r="21" spans="1:17" x14ac:dyDescent="0.2">
      <c r="B21" t="s">
        <v>140</v>
      </c>
      <c r="H21" s="69" t="s">
        <v>106</v>
      </c>
      <c r="O21" s="6"/>
      <c r="P21" s="6"/>
      <c r="Q21" s="6"/>
    </row>
    <row r="22" spans="1:17" x14ac:dyDescent="0.2">
      <c r="H22" s="69"/>
      <c r="O22" s="6"/>
      <c r="P22" s="6"/>
      <c r="Q22" s="6"/>
    </row>
    <row r="23" spans="1:17" x14ac:dyDescent="0.2">
      <c r="O23" s="6"/>
      <c r="P23" s="6"/>
      <c r="Q23" s="6"/>
    </row>
    <row r="24" spans="1:17" x14ac:dyDescent="0.2">
      <c r="O24" s="6"/>
      <c r="P24" s="6"/>
      <c r="Q24" s="6"/>
    </row>
    <row r="25" spans="1:17" x14ac:dyDescent="0.2">
      <c r="A25" s="68" t="s">
        <v>105</v>
      </c>
      <c r="B25" s="176" t="s">
        <v>108</v>
      </c>
      <c r="C25" s="176"/>
      <c r="D25" s="176"/>
      <c r="E25" s="176"/>
      <c r="F25" s="67" t="e">
        <f>#REF!+#REF!*'2. Past Proj &amp; Candidate Model'!R21</f>
        <v>#REF!</v>
      </c>
      <c r="G25" s="70" t="s">
        <v>109</v>
      </c>
      <c r="H25" s="2" t="e">
        <f>'2. Past Proj &amp; Candidate Model'!S21/'3. Improved Alpha Model'!F25-1</f>
        <v>#REF!</v>
      </c>
      <c r="O25" s="6"/>
      <c r="P25" s="6"/>
      <c r="Q25" s="6"/>
    </row>
    <row r="26" spans="1:17" x14ac:dyDescent="0.2">
      <c r="O26" s="6"/>
      <c r="P26" s="6"/>
      <c r="Q26" s="6"/>
    </row>
    <row r="27" spans="1:17" x14ac:dyDescent="0.2">
      <c r="O27" s="6"/>
      <c r="P27" s="6"/>
      <c r="Q27" s="6"/>
    </row>
    <row r="28" spans="1:17" x14ac:dyDescent="0.2">
      <c r="O28" s="6"/>
      <c r="P28" s="6"/>
      <c r="Q28" s="6"/>
    </row>
    <row r="29" spans="1:17" x14ac:dyDescent="0.2">
      <c r="B29" s="177" t="s">
        <v>159</v>
      </c>
      <c r="C29" s="177"/>
      <c r="D29" s="177"/>
      <c r="E29" s="3">
        <f>C9</f>
        <v>6.0584695660557762E-2</v>
      </c>
      <c r="F29" t="s">
        <v>110</v>
      </c>
      <c r="G29" s="177" t="s">
        <v>111</v>
      </c>
      <c r="H29" s="177"/>
      <c r="I29" s="3" t="e">
        <f>#REF!</f>
        <v>#REF!</v>
      </c>
      <c r="O29" s="6"/>
      <c r="P29" s="6"/>
      <c r="Q29" s="6"/>
    </row>
    <row r="30" spans="1:17" x14ac:dyDescent="0.2">
      <c r="O30" s="6"/>
      <c r="P30" s="6"/>
      <c r="Q30" s="6"/>
    </row>
    <row r="31" spans="1:17" x14ac:dyDescent="0.2">
      <c r="O31" s="6"/>
      <c r="P31" s="6"/>
      <c r="Q31" s="6"/>
    </row>
    <row r="32" spans="1:17" x14ac:dyDescent="0.2">
      <c r="A32" s="68" t="s">
        <v>107</v>
      </c>
      <c r="B32" t="s">
        <v>113</v>
      </c>
      <c r="O32" s="6"/>
      <c r="P32" s="6"/>
      <c r="Q32" s="6"/>
    </row>
    <row r="33" spans="2:17" x14ac:dyDescent="0.2">
      <c r="B33" t="s">
        <v>114</v>
      </c>
      <c r="O33" s="6"/>
      <c r="P33" s="6"/>
      <c r="Q33" s="6"/>
    </row>
    <row r="34" spans="2:17" x14ac:dyDescent="0.2">
      <c r="B34" t="s">
        <v>115</v>
      </c>
      <c r="O34" s="6"/>
      <c r="P34" s="6"/>
      <c r="Q34" s="6"/>
    </row>
    <row r="35" spans="2:17" x14ac:dyDescent="0.2">
      <c r="B35" t="s">
        <v>116</v>
      </c>
      <c r="O35" s="6"/>
      <c r="P35" s="6"/>
      <c r="Q35" s="6"/>
    </row>
    <row r="36" spans="2:17" x14ac:dyDescent="0.2">
      <c r="B36" t="s">
        <v>117</v>
      </c>
      <c r="O36" s="6"/>
      <c r="P36" s="6"/>
      <c r="Q36" s="6"/>
    </row>
    <row r="37" spans="2:17" x14ac:dyDescent="0.2">
      <c r="B37" t="s">
        <v>118</v>
      </c>
      <c r="O37" s="6"/>
      <c r="P37" s="6"/>
      <c r="Q37" s="6"/>
    </row>
    <row r="38" spans="2:17" x14ac:dyDescent="0.2">
      <c r="B38" t="s">
        <v>119</v>
      </c>
      <c r="O38" s="6"/>
      <c r="P38" s="6"/>
      <c r="Q38" s="6"/>
    </row>
    <row r="39" spans="2:17" x14ac:dyDescent="0.2">
      <c r="B39" t="s">
        <v>120</v>
      </c>
      <c r="O39" s="6"/>
      <c r="P39" s="6"/>
      <c r="Q39" s="6"/>
    </row>
    <row r="40" spans="2:17" x14ac:dyDescent="0.2">
      <c r="B40" t="s">
        <v>121</v>
      </c>
      <c r="O40" s="6"/>
      <c r="P40" s="6"/>
      <c r="Q40" s="6"/>
    </row>
    <row r="41" spans="2:17" x14ac:dyDescent="0.2">
      <c r="B41" t="s">
        <v>122</v>
      </c>
      <c r="O41" s="6"/>
      <c r="P41" s="6"/>
      <c r="Q41" s="6"/>
    </row>
    <row r="42" spans="2:17" x14ac:dyDescent="0.2">
      <c r="O42" s="6"/>
      <c r="P42" s="6"/>
      <c r="Q42" s="6"/>
    </row>
    <row r="43" spans="2:17" x14ac:dyDescent="0.2">
      <c r="O43" s="6"/>
      <c r="P43" s="6"/>
      <c r="Q43" s="6"/>
    </row>
    <row r="44" spans="2:17" x14ac:dyDescent="0.2">
      <c r="O44" s="6"/>
      <c r="P44" s="6"/>
    </row>
    <row r="45" spans="2:17" x14ac:dyDescent="0.2">
      <c r="O45" s="6"/>
      <c r="P45" s="6"/>
    </row>
  </sheetData>
  <mergeCells count="5">
    <mergeCell ref="D7:N7"/>
    <mergeCell ref="B7:C7"/>
    <mergeCell ref="B25:E25"/>
    <mergeCell ref="B29:D29"/>
    <mergeCell ref="G29:H29"/>
  </mergeCells>
  <conditionalFormatting sqref="C9:K9">
    <cfRule type="colorScale" priority="8">
      <colorScale>
        <cfvo type="min"/>
        <cfvo type="max"/>
        <color rgb="FF63BE7B"/>
        <color rgb="FFFCFCFF"/>
      </colorScale>
    </cfRule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10:K10">
    <cfRule type="colorScale" priority="7">
      <colorScale>
        <cfvo type="min"/>
        <cfvo type="max"/>
        <color rgb="FF63BE7B"/>
        <color rgb="FFFCFCFF"/>
      </colorScale>
    </cfRule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15:K15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16:K16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E7F763-2C58-4893-AC1B-19A7BE0B0DA5}">
  <dimension ref="A1:Y46"/>
  <sheetViews>
    <sheetView tabSelected="1" zoomScaleNormal="100" workbookViewId="0"/>
  </sheetViews>
  <sheetFormatPr defaultRowHeight="12.75" x14ac:dyDescent="0.2"/>
  <cols>
    <col min="1" max="1" width="9.140625" style="68"/>
    <col min="3" max="3" width="18.5703125" customWidth="1"/>
    <col min="4" max="13" width="14.7109375" customWidth="1"/>
    <col min="18" max="18" width="15.42578125" customWidth="1"/>
    <col min="23" max="23" width="22.5703125" customWidth="1"/>
  </cols>
  <sheetData>
    <row r="1" spans="1:25" x14ac:dyDescent="0.2">
      <c r="A1" s="68" t="s">
        <v>124</v>
      </c>
      <c r="B1" t="s">
        <v>84</v>
      </c>
    </row>
    <row r="2" spans="1:25" x14ac:dyDescent="0.2">
      <c r="A2" s="68" t="s">
        <v>99</v>
      </c>
      <c r="B2" s="76" t="s">
        <v>160</v>
      </c>
      <c r="C2" s="77" t="str">
        <f>F5</f>
        <v>LR_CON</v>
      </c>
      <c r="D2" t="s">
        <v>161</v>
      </c>
    </row>
    <row r="4" spans="1:25" x14ac:dyDescent="0.2">
      <c r="A4" s="68" t="s">
        <v>100</v>
      </c>
      <c r="B4" t="s">
        <v>123</v>
      </c>
    </row>
    <row r="5" spans="1:25" ht="15" x14ac:dyDescent="0.2">
      <c r="A5" s="68" t="s">
        <v>172</v>
      </c>
      <c r="C5" s="72" t="s">
        <v>85</v>
      </c>
      <c r="D5" s="72" t="s">
        <v>86</v>
      </c>
      <c r="E5" s="72" t="s">
        <v>87</v>
      </c>
      <c r="F5" s="72" t="s">
        <v>88</v>
      </c>
      <c r="G5" s="72" t="s">
        <v>89</v>
      </c>
      <c r="H5" s="72" t="s">
        <v>90</v>
      </c>
      <c r="I5" s="72" t="s">
        <v>91</v>
      </c>
      <c r="J5" s="72" t="s">
        <v>92</v>
      </c>
      <c r="K5" s="72" t="s">
        <v>93</v>
      </c>
      <c r="L5" s="72" t="s">
        <v>94</v>
      </c>
      <c r="M5" s="72" t="s">
        <v>95</v>
      </c>
    </row>
    <row r="6" spans="1:25" ht="15" x14ac:dyDescent="0.2">
      <c r="B6" s="72" t="s">
        <v>96</v>
      </c>
      <c r="C6" s="2">
        <v>5.4526226094501987E-2</v>
      </c>
      <c r="D6" s="2">
        <v>6.2599179884475456E-2</v>
      </c>
      <c r="E6" s="2">
        <v>7.2482741866334632E-2</v>
      </c>
      <c r="F6" s="2">
        <v>3.9570837667732978E-2</v>
      </c>
      <c r="G6" s="2">
        <v>4.9673814212512907E-2</v>
      </c>
      <c r="H6" s="2">
        <v>7.2941702403834879E-2</v>
      </c>
      <c r="I6" s="2">
        <v>7.6620954144147116E-2</v>
      </c>
      <c r="J6" s="2">
        <v>4.9514692913953731E-2</v>
      </c>
      <c r="K6" s="2">
        <v>4.9690398311833507E-2</v>
      </c>
      <c r="L6" s="2">
        <v>8.6625811013019166E-2</v>
      </c>
      <c r="M6" s="2">
        <v>0.20546381129862831</v>
      </c>
    </row>
    <row r="7" spans="1:25" ht="15" x14ac:dyDescent="0.2">
      <c r="B7" s="72" t="s">
        <v>97</v>
      </c>
      <c r="C7" s="2">
        <v>7.1616470462810125E-2</v>
      </c>
      <c r="D7" s="2">
        <v>7.0547718626143577E-2</v>
      </c>
      <c r="E7" s="2">
        <v>7.9001633261567492E-2</v>
      </c>
      <c r="F7" s="2">
        <v>5.6005292582502322E-2</v>
      </c>
      <c r="G7" s="2">
        <v>7.0085514639466218E-2</v>
      </c>
      <c r="H7" s="2">
        <v>7.9314408174031945E-2</v>
      </c>
      <c r="I7" s="2">
        <v>8.4071954863760248E-2</v>
      </c>
      <c r="J7" s="2">
        <v>6.7597423831713549E-2</v>
      </c>
      <c r="K7" s="2">
        <v>6.3755334081043821E-2</v>
      </c>
      <c r="L7" s="2">
        <v>0.1056841293847444</v>
      </c>
      <c r="M7" s="2">
        <v>0.4443617222882254</v>
      </c>
    </row>
    <row r="8" spans="1:25" ht="15" x14ac:dyDescent="0.2">
      <c r="B8" s="72" t="s">
        <v>98</v>
      </c>
      <c r="C8" s="2">
        <v>-5.3648006385371698E-2</v>
      </c>
      <c r="D8" s="2">
        <v>-2.8194655053227161E-2</v>
      </c>
      <c r="E8" s="2">
        <v>-5.8457267615956543E-2</v>
      </c>
      <c r="F8" s="2">
        <v>7.7864977064350249E-3</v>
      </c>
      <c r="G8" s="2">
        <v>-1.6158828837764541E-3</v>
      </c>
      <c r="H8" s="2">
        <v>-5.8365773251986053E-2</v>
      </c>
      <c r="I8" s="2">
        <v>-6.0544312658307953E-2</v>
      </c>
      <c r="J8" s="2">
        <v>-6.9655976942955E-3</v>
      </c>
      <c r="K8" s="2">
        <v>-1.2595883888905529E-2</v>
      </c>
      <c r="L8" s="2">
        <v>-6.587454634279899E-2</v>
      </c>
      <c r="M8" s="2">
        <v>-4.5594777970712257E-2</v>
      </c>
    </row>
    <row r="10" spans="1:25" ht="15" x14ac:dyDescent="0.2">
      <c r="A10" s="68" t="s">
        <v>101</v>
      </c>
      <c r="B10" s="73" t="s">
        <v>162</v>
      </c>
    </row>
    <row r="12" spans="1:25" x14ac:dyDescent="0.2">
      <c r="A12" s="68" t="s">
        <v>102</v>
      </c>
      <c r="B12" t="s">
        <v>138</v>
      </c>
    </row>
    <row r="13" spans="1:25" ht="15" x14ac:dyDescent="0.2">
      <c r="B13" s="72" t="s">
        <v>125</v>
      </c>
      <c r="C13" s="72" t="s">
        <v>126</v>
      </c>
      <c r="D13" s="72" t="s">
        <v>85</v>
      </c>
      <c r="E13" s="72" t="s">
        <v>86</v>
      </c>
      <c r="F13" s="72" t="s">
        <v>87</v>
      </c>
      <c r="G13" s="72" t="s">
        <v>88</v>
      </c>
      <c r="H13" s="72" t="s">
        <v>89</v>
      </c>
      <c r="I13" s="72" t="s">
        <v>90</v>
      </c>
      <c r="J13" s="72" t="s">
        <v>91</v>
      </c>
      <c r="K13" s="72" t="s">
        <v>92</v>
      </c>
      <c r="L13" s="72" t="s">
        <v>93</v>
      </c>
      <c r="M13" s="72" t="s">
        <v>94</v>
      </c>
      <c r="N13" s="72" t="s">
        <v>95</v>
      </c>
      <c r="O13" s="72" t="s">
        <v>127</v>
      </c>
      <c r="P13" s="72" t="s">
        <v>128</v>
      </c>
      <c r="Q13" s="72" t="s">
        <v>129</v>
      </c>
      <c r="R13" s="72" t="s">
        <v>130</v>
      </c>
      <c r="S13" s="72" t="s">
        <v>131</v>
      </c>
      <c r="T13" s="72" t="s">
        <v>132</v>
      </c>
      <c r="U13" s="72" t="s">
        <v>133</v>
      </c>
      <c r="V13" s="72" t="s">
        <v>134</v>
      </c>
      <c r="W13" s="72" t="s">
        <v>135</v>
      </c>
      <c r="X13" s="72" t="s">
        <v>136</v>
      </c>
      <c r="Y13" s="72" t="s">
        <v>137</v>
      </c>
    </row>
    <row r="14" spans="1:25" x14ac:dyDescent="0.2">
      <c r="B14" t="s">
        <v>168</v>
      </c>
      <c r="C14">
        <v>98.3</v>
      </c>
      <c r="D14">
        <v>97.7</v>
      </c>
      <c r="E14">
        <v>103.3880455</v>
      </c>
    </row>
    <row r="15" spans="1:25" x14ac:dyDescent="0.2">
      <c r="B15" t="s">
        <v>166</v>
      </c>
      <c r="C15">
        <v>113.3</v>
      </c>
      <c r="D15">
        <v>108.7</v>
      </c>
      <c r="E15">
        <v>108.7976925</v>
      </c>
    </row>
    <row r="16" spans="1:25" x14ac:dyDescent="0.2">
      <c r="B16" t="s">
        <v>42</v>
      </c>
      <c r="C16">
        <v>106.3</v>
      </c>
      <c r="D16">
        <v>100.5</v>
      </c>
      <c r="E16">
        <v>106.7046563</v>
      </c>
    </row>
    <row r="17" spans="2:25" x14ac:dyDescent="0.2">
      <c r="B17" t="s">
        <v>43</v>
      </c>
      <c r="C17">
        <v>109.7</v>
      </c>
      <c r="D17">
        <v>105.1</v>
      </c>
      <c r="E17">
        <v>119.293127</v>
      </c>
    </row>
    <row r="18" spans="2:25" x14ac:dyDescent="0.2">
      <c r="B18" t="s">
        <v>44</v>
      </c>
      <c r="C18">
        <v>107.5</v>
      </c>
      <c r="D18">
        <v>102.2</v>
      </c>
      <c r="E18">
        <v>109.723417</v>
      </c>
    </row>
    <row r="19" spans="2:25" x14ac:dyDescent="0.2">
      <c r="B19" t="s">
        <v>45</v>
      </c>
      <c r="C19">
        <v>125.2</v>
      </c>
      <c r="D19">
        <v>117.1</v>
      </c>
      <c r="E19">
        <v>122.5722803</v>
      </c>
      <c r="F19">
        <v>114.10804016842521</v>
      </c>
      <c r="G19">
        <v>124.71899877355349</v>
      </c>
      <c r="H19">
        <v>124.8726355302415</v>
      </c>
      <c r="I19">
        <v>113.64088278587511</v>
      </c>
      <c r="J19">
        <v>109.5249720195397</v>
      </c>
      <c r="K19">
        <v>123.5969073297307</v>
      </c>
      <c r="L19">
        <v>121.9998925014585</v>
      </c>
      <c r="M19">
        <v>103.6969271716609</v>
      </c>
      <c r="N19">
        <v>119.9789274480208</v>
      </c>
      <c r="O19" s="2">
        <v>-6.469648562300323E-2</v>
      </c>
      <c r="P19" s="2">
        <v>-2.0988176517571899E-2</v>
      </c>
      <c r="Q19" s="2">
        <v>-8.8593928367211028E-2</v>
      </c>
      <c r="R19" s="2">
        <v>-3.8418628310425969E-3</v>
      </c>
      <c r="S19" s="2">
        <v>-2.6147321865698241E-3</v>
      </c>
      <c r="T19" s="2">
        <v>-9.2325217365214596E-2</v>
      </c>
      <c r="U19" s="2">
        <v>-0.1251999039972865</v>
      </c>
      <c r="V19" s="2">
        <v>-1.280425455486678E-2</v>
      </c>
      <c r="W19" s="2">
        <v>-2.5559964045858249E-2</v>
      </c>
      <c r="X19" s="2">
        <v>-0.17174978297395421</v>
      </c>
      <c r="Y19" s="2">
        <v>-4.1701857443923067E-2</v>
      </c>
    </row>
    <row r="20" spans="2:25" x14ac:dyDescent="0.2">
      <c r="B20" t="s">
        <v>46</v>
      </c>
      <c r="C20">
        <v>117.026</v>
      </c>
      <c r="D20">
        <v>109.1</v>
      </c>
      <c r="E20">
        <v>114.4282233</v>
      </c>
      <c r="F20">
        <v>112.65416771314599</v>
      </c>
      <c r="G20">
        <v>114.9618766626362</v>
      </c>
      <c r="H20">
        <v>114.9038331314804</v>
      </c>
      <c r="I20">
        <v>112.6537064251916</v>
      </c>
      <c r="J20">
        <v>112.113119932977</v>
      </c>
      <c r="K20">
        <v>114.9035732427168</v>
      </c>
      <c r="L20">
        <v>114.6531300722347</v>
      </c>
      <c r="M20">
        <v>113.19650361873779</v>
      </c>
      <c r="N20">
        <v>105.9913673547053</v>
      </c>
      <c r="O20" s="2">
        <v>-6.7728538957154805E-2</v>
      </c>
      <c r="P20" s="2">
        <v>-2.2198286705518381E-2</v>
      </c>
      <c r="Q20" s="2">
        <v>-3.7357786191564157E-2</v>
      </c>
      <c r="R20" s="2">
        <v>-1.763816021536924E-2</v>
      </c>
      <c r="S20" s="2">
        <v>-1.813414855262574E-2</v>
      </c>
      <c r="T20" s="2">
        <v>-3.7361727947707417E-2</v>
      </c>
      <c r="U20" s="2">
        <v>-4.1981098790209281E-2</v>
      </c>
      <c r="V20" s="2">
        <v>-1.81363693306037E-2</v>
      </c>
      <c r="W20" s="2">
        <v>-2.0276433679398801E-2</v>
      </c>
      <c r="X20" s="2">
        <v>-3.2723466419959601E-2</v>
      </c>
      <c r="Y20" s="2">
        <v>-9.4292145722272847E-2</v>
      </c>
    </row>
    <row r="21" spans="2:25" x14ac:dyDescent="0.2">
      <c r="B21" t="s">
        <v>47</v>
      </c>
      <c r="C21">
        <v>129</v>
      </c>
      <c r="D21">
        <v>121.8</v>
      </c>
      <c r="E21">
        <v>115.78236099999999</v>
      </c>
      <c r="F21">
        <v>114.7209914635005</v>
      </c>
      <c r="G21">
        <v>131.75382171405451</v>
      </c>
      <c r="H21">
        <v>131.03773317135401</v>
      </c>
      <c r="I21">
        <v>114.7208640543996</v>
      </c>
      <c r="J21">
        <v>114.7201048347535</v>
      </c>
      <c r="K21">
        <v>131.02879036196211</v>
      </c>
      <c r="L21">
        <v>130.96370715453699</v>
      </c>
      <c r="M21">
        <v>115.8159531879195</v>
      </c>
      <c r="N21">
        <v>111.6984725506336</v>
      </c>
      <c r="O21" s="2">
        <v>-5.5813953488372148E-2</v>
      </c>
      <c r="P21" s="2">
        <v>-0.1024623178294574</v>
      </c>
      <c r="Q21" s="2">
        <v>-0.1106899886550345</v>
      </c>
      <c r="R21" s="2">
        <v>2.1347455147709079E-2</v>
      </c>
      <c r="S21" s="2">
        <v>1.579638117328663E-2</v>
      </c>
      <c r="T21" s="2">
        <v>-0.11069097632248361</v>
      </c>
      <c r="U21" s="2">
        <v>-0.11069686174609659</v>
      </c>
      <c r="V21" s="2">
        <v>1.5727057069473419E-2</v>
      </c>
      <c r="W21" s="2">
        <v>1.5222536081681779E-2</v>
      </c>
      <c r="X21" s="2">
        <v>-0.1022019132719419</v>
      </c>
      <c r="Y21" s="2">
        <v>-0.1341203678245457</v>
      </c>
    </row>
    <row r="22" spans="2:25" x14ac:dyDescent="0.2">
      <c r="B22" t="s">
        <v>48</v>
      </c>
      <c r="C22">
        <v>128.19999999999999</v>
      </c>
      <c r="D22">
        <v>121.6</v>
      </c>
      <c r="E22">
        <v>123.8167108</v>
      </c>
      <c r="F22">
        <v>126.2960344924105</v>
      </c>
      <c r="G22">
        <v>130.03633699771359</v>
      </c>
      <c r="H22">
        <v>130.50117993431829</v>
      </c>
      <c r="I22">
        <v>125.8769964099445</v>
      </c>
      <c r="J22">
        <v>126.2930402959574</v>
      </c>
      <c r="K22">
        <v>130.3542195014785</v>
      </c>
      <c r="L22">
        <v>130.49833272598451</v>
      </c>
      <c r="M22">
        <v>120.5226691168007</v>
      </c>
      <c r="N22">
        <v>122.8744618525252</v>
      </c>
      <c r="O22" s="2">
        <v>-5.1482059282371262E-2</v>
      </c>
      <c r="P22" s="2">
        <v>-3.4191023400935938E-2</v>
      </c>
      <c r="Q22" s="2">
        <v>-1.485152502019915E-2</v>
      </c>
      <c r="R22" s="2">
        <v>1.432400154222746E-2</v>
      </c>
      <c r="S22" s="2">
        <v>1.7949921484542219E-2</v>
      </c>
      <c r="T22" s="2">
        <v>-1.812015280854495E-2</v>
      </c>
      <c r="U22" s="2">
        <v>-1.487488068675979E-2</v>
      </c>
      <c r="V22" s="2">
        <v>1.6803584254902582E-2</v>
      </c>
      <c r="W22" s="2">
        <v>1.7927712371173628E-2</v>
      </c>
      <c r="X22" s="2">
        <v>-5.9885576312007187E-2</v>
      </c>
      <c r="Y22" s="2">
        <v>-4.1540859184670757E-2</v>
      </c>
    </row>
    <row r="23" spans="2:25" x14ac:dyDescent="0.2">
      <c r="B23" t="s">
        <v>49</v>
      </c>
      <c r="C23">
        <v>142.5</v>
      </c>
      <c r="D23">
        <v>142</v>
      </c>
      <c r="E23">
        <v>145.58576980000001</v>
      </c>
      <c r="F23">
        <v>153.18108192045531</v>
      </c>
      <c r="G23">
        <v>153.4049485260623</v>
      </c>
      <c r="H23">
        <v>154.54871150458271</v>
      </c>
      <c r="I23">
        <v>153.1801543218279</v>
      </c>
      <c r="J23">
        <v>153.17414872967291</v>
      </c>
      <c r="K23">
        <v>154.54858175453469</v>
      </c>
      <c r="L23">
        <v>154.54333594591111</v>
      </c>
      <c r="M23">
        <v>111.0525386908636</v>
      </c>
      <c r="N23">
        <v>339.76870988544027</v>
      </c>
      <c r="O23" s="2">
        <v>-3.5087719298245719E-3</v>
      </c>
      <c r="P23" s="2">
        <v>2.1654524912280811E-2</v>
      </c>
      <c r="Q23" s="2">
        <v>7.4954960845299956E-2</v>
      </c>
      <c r="R23" s="2">
        <v>7.6525954568858356E-2</v>
      </c>
      <c r="S23" s="2">
        <v>8.45523614356678E-2</v>
      </c>
      <c r="T23" s="2">
        <v>7.4948451381248393E-2</v>
      </c>
      <c r="U23" s="2">
        <v>7.4906306874897854E-2</v>
      </c>
      <c r="V23" s="2">
        <v>8.4551450909015502E-2</v>
      </c>
      <c r="W23" s="2">
        <v>8.4514638216919957E-2</v>
      </c>
      <c r="X23" s="2">
        <v>-0.22068393901148381</v>
      </c>
      <c r="Y23" s="2">
        <v>1.3843418237574761</v>
      </c>
    </row>
    <row r="24" spans="2:25" x14ac:dyDescent="0.2">
      <c r="B24" t="s">
        <v>52</v>
      </c>
      <c r="C24">
        <v>134.19999999999999</v>
      </c>
      <c r="D24">
        <v>110.7</v>
      </c>
      <c r="E24">
        <v>144.800285</v>
      </c>
      <c r="F24">
        <v>144.7385905390598</v>
      </c>
      <c r="G24">
        <v>115.8653312288579</v>
      </c>
      <c r="H24">
        <v>111.717505338812</v>
      </c>
      <c r="I24">
        <v>144.53544149983199</v>
      </c>
      <c r="J24">
        <v>144.73648439691479</v>
      </c>
      <c r="K24">
        <v>113.1446369082463</v>
      </c>
      <c r="L24">
        <v>115.8978992683181</v>
      </c>
      <c r="M24">
        <v>141.7229723304167</v>
      </c>
      <c r="N24">
        <v>141.25938570545989</v>
      </c>
      <c r="O24" s="2">
        <v>-0.17511177347242909</v>
      </c>
      <c r="P24" s="2">
        <v>7.8988710879284829E-2</v>
      </c>
      <c r="Q24" s="2">
        <v>7.8528990604022519E-2</v>
      </c>
      <c r="R24" s="2">
        <v>-0.13662197295932979</v>
      </c>
      <c r="S24" s="2">
        <v>-0.16752976647681039</v>
      </c>
      <c r="T24" s="2">
        <v>7.7015212368346075E-2</v>
      </c>
      <c r="U24" s="2">
        <v>7.8513296549290734E-2</v>
      </c>
      <c r="V24" s="2">
        <v>-0.1568954030682097</v>
      </c>
      <c r="W24" s="2">
        <v>-0.13637929010195141</v>
      </c>
      <c r="X24" s="2">
        <v>5.6057916023969812E-2</v>
      </c>
      <c r="Y24" s="2">
        <v>5.2603470234425347E-2</v>
      </c>
    </row>
    <row r="25" spans="2:25" x14ac:dyDescent="0.2">
      <c r="B25" t="s">
        <v>53</v>
      </c>
      <c r="C25">
        <v>141.6</v>
      </c>
      <c r="D25">
        <v>144.9</v>
      </c>
      <c r="E25">
        <v>152.54600400000001</v>
      </c>
      <c r="F25">
        <v>146.96832796962781</v>
      </c>
      <c r="G25">
        <v>150.3238694356001</v>
      </c>
      <c r="H25">
        <v>153.5722136114945</v>
      </c>
      <c r="I25">
        <v>146.83179717550021</v>
      </c>
      <c r="J25">
        <v>146.96653184894751</v>
      </c>
      <c r="K25">
        <v>153.4555711117421</v>
      </c>
      <c r="L25">
        <v>153.17222913329499</v>
      </c>
      <c r="M25">
        <v>138.90142829373639</v>
      </c>
      <c r="N25">
        <v>154.5499407277448</v>
      </c>
      <c r="O25" s="2">
        <v>2.3305084745762761E-2</v>
      </c>
      <c r="P25" s="2">
        <v>7.7302288135593367E-2</v>
      </c>
      <c r="Q25" s="2">
        <v>3.7911920689462031E-2</v>
      </c>
      <c r="R25" s="2">
        <v>6.1609247426554603E-2</v>
      </c>
      <c r="S25" s="2">
        <v>8.4549531154622048E-2</v>
      </c>
      <c r="T25" s="2">
        <v>3.6947720165961817E-2</v>
      </c>
      <c r="U25" s="2">
        <v>3.7899236221380361E-2</v>
      </c>
      <c r="V25" s="2">
        <v>8.372578468744396E-2</v>
      </c>
      <c r="W25" s="2">
        <v>8.1724782014795272E-2</v>
      </c>
      <c r="X25" s="2">
        <v>-1.9057709789997209E-2</v>
      </c>
      <c r="Y25" s="2">
        <v>9.1454383670514172E-2</v>
      </c>
    </row>
    <row r="26" spans="2:25" x14ac:dyDescent="0.2">
      <c r="B26" t="s">
        <v>54</v>
      </c>
      <c r="C26">
        <v>123.9</v>
      </c>
      <c r="D26">
        <v>118.6</v>
      </c>
      <c r="E26">
        <v>113.3630558</v>
      </c>
      <c r="F26">
        <v>114.0429187939008</v>
      </c>
      <c r="G26">
        <v>124.0547503405726</v>
      </c>
      <c r="H26">
        <v>119.0019096592254</v>
      </c>
      <c r="I26">
        <v>114.0660794808788</v>
      </c>
      <c r="J26">
        <v>114.09857746337821</v>
      </c>
      <c r="K26">
        <v>118.9947283247846</v>
      </c>
      <c r="L26">
        <v>119.0060007984232</v>
      </c>
      <c r="M26">
        <v>114.9961103213121</v>
      </c>
      <c r="N26">
        <v>115.8517459940182</v>
      </c>
      <c r="O26" s="2">
        <v>-4.2776432606941188E-2</v>
      </c>
      <c r="P26" s="2">
        <v>-8.5043940274414864E-2</v>
      </c>
      <c r="Q26" s="2">
        <v>-7.9556749040348929E-2</v>
      </c>
      <c r="R26" s="2">
        <v>1.24899387064259E-3</v>
      </c>
      <c r="S26" s="2">
        <v>-3.9532609691481653E-2</v>
      </c>
      <c r="T26" s="2">
        <v>-7.9369818556264682E-2</v>
      </c>
      <c r="U26" s="2">
        <v>-7.9107526526406624E-2</v>
      </c>
      <c r="V26" s="2">
        <v>-3.9590570421431437E-2</v>
      </c>
      <c r="W26" s="2">
        <v>-3.9499590004655187E-2</v>
      </c>
      <c r="X26" s="2">
        <v>-7.1863516373590786E-2</v>
      </c>
      <c r="Y26" s="2">
        <v>-6.4957659451023497E-2</v>
      </c>
    </row>
    <row r="27" spans="2:25" x14ac:dyDescent="0.2">
      <c r="B27" t="s">
        <v>55</v>
      </c>
      <c r="C27">
        <v>143</v>
      </c>
      <c r="D27">
        <v>134.30000000000001</v>
      </c>
      <c r="E27">
        <v>127.69204480000001</v>
      </c>
      <c r="F27">
        <v>125.92322649459039</v>
      </c>
      <c r="G27">
        <v>137.49727276476469</v>
      </c>
      <c r="H27">
        <v>133.63898313643881</v>
      </c>
      <c r="I27">
        <v>125.908304000874</v>
      </c>
      <c r="J27">
        <v>125.8308247974372</v>
      </c>
      <c r="K27">
        <v>133.59267149658919</v>
      </c>
      <c r="L27">
        <v>132.86363054200109</v>
      </c>
      <c r="M27">
        <v>130.35710410456281</v>
      </c>
      <c r="N27">
        <v>128.68028785041</v>
      </c>
      <c r="O27" s="2">
        <v>-6.0839160839160737E-2</v>
      </c>
      <c r="P27" s="2">
        <v>-0.10704863776223771</v>
      </c>
      <c r="Q27" s="2">
        <v>-0.1194179965413262</v>
      </c>
      <c r="R27" s="2">
        <v>-3.8480610036610408E-2</v>
      </c>
      <c r="S27" s="2">
        <v>-6.5461656388539735E-2</v>
      </c>
      <c r="T27" s="2">
        <v>-0.11952234964423759</v>
      </c>
      <c r="U27" s="2">
        <v>-0.1200641622556836</v>
      </c>
      <c r="V27" s="2">
        <v>-6.5785514009865986E-2</v>
      </c>
      <c r="W27" s="2">
        <v>-7.0883702503488522E-2</v>
      </c>
      <c r="X27" s="2">
        <v>-8.8411859408651705E-2</v>
      </c>
      <c r="Y27" s="2">
        <v>-0.1001378471999302</v>
      </c>
    </row>
    <row r="28" spans="2:25" x14ac:dyDescent="0.2">
      <c r="B28" t="s">
        <v>71</v>
      </c>
      <c r="C28">
        <v>141.30000000000001</v>
      </c>
      <c r="D28">
        <v>141.30000000000001</v>
      </c>
      <c r="E28">
        <v>130.545107</v>
      </c>
      <c r="F28">
        <v>129.5772471762356</v>
      </c>
      <c r="G28">
        <v>144.7011076845607</v>
      </c>
      <c r="H28">
        <v>141.2128131550071</v>
      </c>
      <c r="I28">
        <v>129.55579433631061</v>
      </c>
      <c r="J28">
        <v>129.57686636078421</v>
      </c>
      <c r="K28">
        <v>141.1407632601948</v>
      </c>
      <c r="L28">
        <v>140.60546329189441</v>
      </c>
      <c r="M28">
        <v>135.13615056404299</v>
      </c>
      <c r="N28">
        <v>134.30738820230309</v>
      </c>
      <c r="O28" s="2">
        <v>0</v>
      </c>
      <c r="P28" s="2">
        <v>-7.6113892427459362E-2</v>
      </c>
      <c r="Q28" s="2">
        <v>-8.2963572708877775E-2</v>
      </c>
      <c r="R28" s="2">
        <v>2.407011807898574E-2</v>
      </c>
      <c r="S28" s="2">
        <v>-6.1703358098308403E-4</v>
      </c>
      <c r="T28" s="2">
        <v>-8.3115397478339736E-2</v>
      </c>
      <c r="U28" s="2">
        <v>-8.2966267793459725E-2</v>
      </c>
      <c r="V28" s="2">
        <v>-1.1269408337242211E-3</v>
      </c>
      <c r="W28" s="2">
        <v>-4.9153340984122718E-3</v>
      </c>
      <c r="X28" s="2">
        <v>-4.3622430544635438E-2</v>
      </c>
      <c r="Y28" s="2">
        <v>-4.9487698497501453E-2</v>
      </c>
    </row>
    <row r="29" spans="2:25" x14ac:dyDescent="0.2">
      <c r="D29" s="107" t="s">
        <v>148</v>
      </c>
      <c r="E29" s="107"/>
      <c r="F29" s="107"/>
      <c r="G29">
        <f t="shared" ref="G29:G34" si="0">G$28/(1+R29)</f>
        <v>145.04804574389584</v>
      </c>
      <c r="N29" s="106" t="s">
        <v>141</v>
      </c>
      <c r="O29" s="106"/>
      <c r="P29" s="106"/>
      <c r="Q29" s="106"/>
      <c r="R29" s="3">
        <f>AVERAGE(R19:R27)</f>
        <v>-2.3918837207066602E-3</v>
      </c>
    </row>
    <row r="30" spans="2:25" x14ac:dyDescent="0.2">
      <c r="D30" s="96" t="s">
        <v>149</v>
      </c>
      <c r="E30" s="96"/>
      <c r="F30" s="96"/>
      <c r="G30">
        <f t="shared" si="0"/>
        <v>144.52060233805889</v>
      </c>
      <c r="I30" s="3"/>
      <c r="N30" s="96" t="s">
        <v>143</v>
      </c>
      <c r="O30" s="96"/>
      <c r="P30" s="96"/>
      <c r="Q30" s="96"/>
      <c r="R30" s="1">
        <f>MEDIAN(R19:R27)</f>
        <v>1.24899387064259E-3</v>
      </c>
    </row>
    <row r="31" spans="2:25" x14ac:dyDescent="0.2">
      <c r="D31" s="97" t="s">
        <v>150</v>
      </c>
      <c r="E31" s="97"/>
      <c r="F31" s="97"/>
      <c r="G31">
        <f t="shared" si="0"/>
        <v>152.18009773467634</v>
      </c>
      <c r="N31" s="97" t="s">
        <v>142</v>
      </c>
      <c r="O31" s="97"/>
      <c r="P31" s="97"/>
      <c r="Q31" s="97"/>
      <c r="R31" s="1">
        <f>AVERAGE(R27,R24,R19:R20)</f>
        <v>-4.9145651510588008E-2</v>
      </c>
    </row>
    <row r="32" spans="2:25" x14ac:dyDescent="0.2">
      <c r="D32" s="98" t="s">
        <v>151</v>
      </c>
      <c r="E32" s="98"/>
      <c r="F32" s="98"/>
      <c r="G32">
        <f t="shared" si="0"/>
        <v>148.87854820566159</v>
      </c>
      <c r="H32" s="3"/>
      <c r="N32" s="98" t="s">
        <v>144</v>
      </c>
      <c r="O32" s="98"/>
      <c r="P32" s="98"/>
      <c r="Q32" s="98"/>
      <c r="R32" s="1">
        <f>MEDIAN(R27,R24,R19:R20)</f>
        <v>-2.8059385125989822E-2</v>
      </c>
    </row>
    <row r="33" spans="1:18" x14ac:dyDescent="0.2">
      <c r="D33" s="99" t="s">
        <v>152</v>
      </c>
      <c r="E33" s="99"/>
      <c r="F33" s="99"/>
      <c r="G33">
        <f t="shared" si="0"/>
        <v>139.80633001800851</v>
      </c>
      <c r="I33" s="103"/>
      <c r="N33" s="99" t="s">
        <v>145</v>
      </c>
      <c r="O33" s="99"/>
      <c r="P33" s="99"/>
      <c r="Q33" s="99"/>
      <c r="R33" s="1">
        <f>AVERAGE(R25:R26,R21:R23)</f>
        <v>3.5011130511198418E-2</v>
      </c>
    </row>
    <row r="34" spans="1:18" x14ac:dyDescent="0.2">
      <c r="D34" s="100" t="s">
        <v>153</v>
      </c>
      <c r="E34" s="100"/>
      <c r="F34" s="100"/>
      <c r="G34">
        <f t="shared" si="0"/>
        <v>141.67667129853842</v>
      </c>
      <c r="N34" s="100" t="s">
        <v>146</v>
      </c>
      <c r="O34" s="100"/>
      <c r="P34" s="100"/>
      <c r="Q34" s="100"/>
      <c r="R34" s="1">
        <f>MEDIAN(R25:R26,R21:R23)</f>
        <v>2.1347455147709079E-2</v>
      </c>
    </row>
    <row r="36" spans="1:18" x14ac:dyDescent="0.2">
      <c r="A36" s="68" t="s">
        <v>103</v>
      </c>
      <c r="B36" t="s">
        <v>154</v>
      </c>
    </row>
    <row r="37" spans="1:18" x14ac:dyDescent="0.2">
      <c r="B37" t="s">
        <v>155</v>
      </c>
    </row>
    <row r="43" spans="1:18" x14ac:dyDescent="0.2">
      <c r="A43" s="68" t="s">
        <v>105</v>
      </c>
      <c r="B43" s="78" t="s">
        <v>156</v>
      </c>
      <c r="C43" s="79">
        <f>G33</f>
        <v>139.80633001800851</v>
      </c>
      <c r="D43" t="s">
        <v>167</v>
      </c>
    </row>
    <row r="45" spans="1:18" x14ac:dyDescent="0.2">
      <c r="B45" s="178" t="s">
        <v>164</v>
      </c>
      <c r="C45" s="178"/>
      <c r="D45" s="2">
        <f>C43/D28-1</f>
        <v>-1.0570912823719025E-2</v>
      </c>
    </row>
    <row r="46" spans="1:18" x14ac:dyDescent="0.2">
      <c r="B46" s="166" t="s">
        <v>163</v>
      </c>
      <c r="C46" s="166"/>
      <c r="D46" s="2">
        <f>'1. Data &amp; Confidence Interval'!W25</f>
        <v>-2.6489204377403208E-2</v>
      </c>
    </row>
  </sheetData>
  <mergeCells count="2">
    <mergeCell ref="B46:C46"/>
    <mergeCell ref="B45:C45"/>
  </mergeCells>
  <conditionalFormatting sqref="P18:W27">
    <cfRule type="colorScale" priority="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6:K6">
    <cfRule type="colorScale" priority="2">
      <colorScale>
        <cfvo type="min"/>
        <cfvo type="max"/>
        <color rgb="FF92D050"/>
        <color rgb="FFFF0000"/>
      </colorScale>
    </cfRule>
    <cfRule type="colorScale" priority="5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C7:K7">
    <cfRule type="colorScale" priority="3">
      <colorScale>
        <cfvo type="min"/>
        <cfvo type="max"/>
        <color rgb="FF92D050"/>
        <color rgb="FFC00000"/>
      </colorScale>
    </cfRule>
    <cfRule type="colorScale" priority="4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R30:R34 S28">
    <cfRule type="colorScale" priority="1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R29:R34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1. Data &amp; Confidence Interval</vt:lpstr>
      <vt:lpstr>2. Past Proj &amp; Candidate Model</vt:lpstr>
      <vt:lpstr>3. Improved Alpha Model</vt:lpstr>
      <vt:lpstr>4. 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Redmond Xia</dc:creator>
  <cp:lastModifiedBy>Redmond Xia</cp:lastModifiedBy>
  <dcterms:created xsi:type="dcterms:W3CDTF">2021-10-08T16:56:03Z</dcterms:created>
  <dcterms:modified xsi:type="dcterms:W3CDTF">2021-10-21T21:30:02Z</dcterms:modified>
</cp:coreProperties>
</file>