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CSII\"/>
    </mc:Choice>
  </mc:AlternateContent>
  <xr:revisionPtr revIDLastSave="0" documentId="13_ncr:1_{1C66139B-A700-465A-B6D4-A5BEE3B21196}" xr6:coauthVersionLast="46" xr6:coauthVersionMax="46" xr10:uidLastSave="{00000000-0000-0000-0000-000000000000}"/>
  <bookViews>
    <workbookView xWindow="-1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D47" i="4"/>
  <c r="G34" i="4"/>
  <c r="F35" i="4"/>
  <c r="N35" i="4"/>
  <c r="N34" i="4"/>
  <c r="E31" i="4"/>
  <c r="E32" i="4"/>
  <c r="E33" i="4"/>
  <c r="E34" i="4"/>
  <c r="E35" i="4"/>
  <c r="E30" i="4"/>
  <c r="N33" i="4"/>
  <c r="N32" i="4"/>
  <c r="N31" i="4"/>
  <c r="N30" i="4"/>
  <c r="N14" i="4"/>
  <c r="N15" i="4"/>
  <c r="N16" i="4"/>
  <c r="N17" i="4"/>
  <c r="N18" i="4"/>
  <c r="N19" i="4"/>
  <c r="N13" i="4"/>
  <c r="J23" i="2"/>
  <c r="P23" i="2" s="1"/>
  <c r="Q23" i="2" s="1"/>
  <c r="Q8" i="2"/>
  <c r="Q9" i="2"/>
  <c r="Q31" i="2" s="1"/>
  <c r="Q10" i="2"/>
  <c r="Q11" i="2"/>
  <c r="Q33" i="2" s="1"/>
  <c r="Q12" i="2"/>
  <c r="Q13" i="2"/>
  <c r="Q14" i="2"/>
  <c r="Q15" i="2"/>
  <c r="Q16" i="2"/>
  <c r="Q17" i="2"/>
  <c r="Q18" i="2"/>
  <c r="Q19" i="2"/>
  <c r="Q20" i="2"/>
  <c r="Q42" i="2" s="1"/>
  <c r="Q21" i="2"/>
  <c r="Q43" i="2" s="1"/>
  <c r="Q22" i="2"/>
  <c r="Q7" i="2"/>
  <c r="J30" i="2"/>
  <c r="K30" i="2"/>
  <c r="L30" i="2"/>
  <c r="M30" i="2"/>
  <c r="N30" i="2"/>
  <c r="O30" i="2"/>
  <c r="P30" i="2"/>
  <c r="J31" i="2"/>
  <c r="K31" i="2"/>
  <c r="L31" i="2"/>
  <c r="M31" i="2"/>
  <c r="N31" i="2"/>
  <c r="O31" i="2"/>
  <c r="P31" i="2"/>
  <c r="J32" i="2"/>
  <c r="K32" i="2"/>
  <c r="L32" i="2"/>
  <c r="M32" i="2"/>
  <c r="N32" i="2"/>
  <c r="O32" i="2"/>
  <c r="P32" i="2"/>
  <c r="Q32" i="2"/>
  <c r="J33" i="2"/>
  <c r="K33" i="2"/>
  <c r="L33" i="2"/>
  <c r="M33" i="2"/>
  <c r="N33" i="2"/>
  <c r="O33" i="2"/>
  <c r="P33" i="2"/>
  <c r="J34" i="2"/>
  <c r="K34" i="2"/>
  <c r="L34" i="2"/>
  <c r="M34" i="2"/>
  <c r="N34" i="2"/>
  <c r="O34" i="2"/>
  <c r="P34" i="2"/>
  <c r="Q34" i="2"/>
  <c r="J35" i="2"/>
  <c r="K35" i="2"/>
  <c r="L35" i="2"/>
  <c r="M35" i="2"/>
  <c r="N35" i="2"/>
  <c r="O35" i="2"/>
  <c r="P35" i="2"/>
  <c r="Q35" i="2"/>
  <c r="J36" i="2"/>
  <c r="K36" i="2"/>
  <c r="L36" i="2"/>
  <c r="M36" i="2"/>
  <c r="N36" i="2"/>
  <c r="O36" i="2"/>
  <c r="P36" i="2"/>
  <c r="Q36" i="2"/>
  <c r="J37" i="2"/>
  <c r="K37" i="2"/>
  <c r="L37" i="2"/>
  <c r="M37" i="2"/>
  <c r="N37" i="2"/>
  <c r="O37" i="2"/>
  <c r="P37" i="2"/>
  <c r="Q37" i="2"/>
  <c r="J38" i="2"/>
  <c r="K38" i="2"/>
  <c r="L38" i="2"/>
  <c r="M38" i="2"/>
  <c r="N38" i="2"/>
  <c r="O38" i="2"/>
  <c r="P38" i="2"/>
  <c r="Q38" i="2"/>
  <c r="J39" i="2"/>
  <c r="K39" i="2"/>
  <c r="L39" i="2"/>
  <c r="M39" i="2"/>
  <c r="N39" i="2"/>
  <c r="O39" i="2"/>
  <c r="P39" i="2"/>
  <c r="Q39" i="2"/>
  <c r="J40" i="2"/>
  <c r="K40" i="2"/>
  <c r="L40" i="2"/>
  <c r="M40" i="2"/>
  <c r="N40" i="2"/>
  <c r="O40" i="2"/>
  <c r="P40" i="2"/>
  <c r="Q40" i="2"/>
  <c r="J41" i="2"/>
  <c r="K41" i="2"/>
  <c r="L41" i="2"/>
  <c r="M41" i="2"/>
  <c r="N41" i="2"/>
  <c r="O41" i="2"/>
  <c r="P41" i="2"/>
  <c r="Q41" i="2"/>
  <c r="J42" i="2"/>
  <c r="K42" i="2"/>
  <c r="L42" i="2"/>
  <c r="M42" i="2"/>
  <c r="N42" i="2"/>
  <c r="O42" i="2"/>
  <c r="P42" i="2"/>
  <c r="J43" i="2"/>
  <c r="K43" i="2"/>
  <c r="L43" i="2"/>
  <c r="M43" i="2"/>
  <c r="N43" i="2"/>
  <c r="O43" i="2"/>
  <c r="P43" i="2"/>
  <c r="J44" i="2"/>
  <c r="K44" i="2"/>
  <c r="L44" i="2"/>
  <c r="M44" i="2"/>
  <c r="N44" i="2"/>
  <c r="O44" i="2"/>
  <c r="P44" i="2"/>
  <c r="Q44" i="2"/>
  <c r="K29" i="2"/>
  <c r="L29" i="2"/>
  <c r="M29" i="2"/>
  <c r="N29" i="2"/>
  <c r="O29" i="2"/>
  <c r="P29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F28" i="2"/>
  <c r="G28" i="2"/>
  <c r="H28" i="2"/>
  <c r="I28" i="2"/>
  <c r="J28" i="2"/>
  <c r="F29" i="2"/>
  <c r="G29" i="2"/>
  <c r="H29" i="2"/>
  <c r="I29" i="2"/>
  <c r="J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E42" i="2"/>
  <c r="E43" i="2"/>
  <c r="E44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8" i="2"/>
  <c r="A43" i="2"/>
  <c r="B43" i="2"/>
  <c r="C43" i="2"/>
  <c r="A44" i="2"/>
  <c r="B44" i="2"/>
  <c r="C44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28" i="2"/>
  <c r="K8" i="2"/>
  <c r="L8" i="2"/>
  <c r="N8" i="2"/>
  <c r="O8" i="2"/>
  <c r="P8" i="2"/>
  <c r="K9" i="2"/>
  <c r="L9" i="2"/>
  <c r="N9" i="2"/>
  <c r="O9" i="2"/>
  <c r="P9" i="2"/>
  <c r="K10" i="2"/>
  <c r="L10" i="2"/>
  <c r="N10" i="2"/>
  <c r="O10" i="2"/>
  <c r="P10" i="2"/>
  <c r="K11" i="2"/>
  <c r="L11" i="2"/>
  <c r="N11" i="2"/>
  <c r="O11" i="2"/>
  <c r="P11" i="2"/>
  <c r="K12" i="2"/>
  <c r="L12" i="2"/>
  <c r="N12" i="2"/>
  <c r="O12" i="2"/>
  <c r="P12" i="2"/>
  <c r="K13" i="2"/>
  <c r="L13" i="2"/>
  <c r="N13" i="2"/>
  <c r="O13" i="2"/>
  <c r="P13" i="2"/>
  <c r="K14" i="2"/>
  <c r="L14" i="2"/>
  <c r="N14" i="2"/>
  <c r="O14" i="2"/>
  <c r="P14" i="2"/>
  <c r="K15" i="2"/>
  <c r="L15" i="2"/>
  <c r="N15" i="2"/>
  <c r="O15" i="2"/>
  <c r="P15" i="2"/>
  <c r="K16" i="2"/>
  <c r="L16" i="2"/>
  <c r="N16" i="2"/>
  <c r="O16" i="2"/>
  <c r="P16" i="2"/>
  <c r="K17" i="2"/>
  <c r="L17" i="2"/>
  <c r="N17" i="2"/>
  <c r="O17" i="2"/>
  <c r="P17" i="2"/>
  <c r="K18" i="2"/>
  <c r="L18" i="2"/>
  <c r="N18" i="2"/>
  <c r="O18" i="2"/>
  <c r="P18" i="2"/>
  <c r="K19" i="2"/>
  <c r="L19" i="2"/>
  <c r="N19" i="2"/>
  <c r="O19" i="2"/>
  <c r="P19" i="2"/>
  <c r="K20" i="2"/>
  <c r="L20" i="2"/>
  <c r="N20" i="2"/>
  <c r="O20" i="2"/>
  <c r="P20" i="2"/>
  <c r="K21" i="2"/>
  <c r="L21" i="2"/>
  <c r="N21" i="2"/>
  <c r="O21" i="2"/>
  <c r="P21" i="2"/>
  <c r="K22" i="2"/>
  <c r="L22" i="2"/>
  <c r="N22" i="2"/>
  <c r="O22" i="2"/>
  <c r="P22" i="2"/>
  <c r="K23" i="2"/>
  <c r="L23" i="2"/>
  <c r="N23" i="2"/>
  <c r="O23" i="2"/>
  <c r="L7" i="2"/>
  <c r="N7" i="2"/>
  <c r="O7" i="2"/>
  <c r="P7" i="2"/>
  <c r="K7" i="2"/>
  <c r="R23" i="2"/>
  <c r="AG28" i="1"/>
  <c r="AG27" i="1"/>
  <c r="N27" i="1"/>
  <c r="K27" i="1"/>
  <c r="N26" i="1"/>
  <c r="K26" i="1"/>
  <c r="O20" i="1"/>
  <c r="N20" i="1"/>
  <c r="M20" i="1"/>
  <c r="L20" i="1"/>
  <c r="I20" i="1"/>
  <c r="H20" i="1"/>
  <c r="K20" i="1"/>
  <c r="J20" i="1"/>
  <c r="G20" i="1"/>
  <c r="F20" i="1"/>
  <c r="E20" i="1"/>
  <c r="D20" i="1"/>
  <c r="AH20" i="1"/>
  <c r="AG20" i="1"/>
  <c r="AF20" i="1"/>
  <c r="AE20" i="1"/>
  <c r="AG26" i="1"/>
  <c r="AG25" i="1"/>
  <c r="AG24" i="1"/>
  <c r="AG23" i="1"/>
  <c r="AG22" i="1"/>
  <c r="Z20" i="1"/>
  <c r="Y20" i="1"/>
  <c r="X20" i="1"/>
  <c r="W20" i="1"/>
  <c r="V20" i="1"/>
  <c r="U20" i="1"/>
  <c r="T20" i="1"/>
  <c r="S20" i="1"/>
  <c r="R20" i="1"/>
  <c r="Q20" i="1"/>
  <c r="P20" i="1"/>
  <c r="P25" i="1"/>
  <c r="P24" i="1"/>
  <c r="P23" i="1"/>
  <c r="AF19" i="1"/>
  <c r="AF12" i="1"/>
  <c r="F21" i="3"/>
  <c r="I25" i="3"/>
  <c r="E25" i="3"/>
  <c r="R42" i="2" l="1"/>
  <c r="R41" i="2"/>
  <c r="R40" i="2"/>
  <c r="R39" i="2"/>
  <c r="R37" i="2"/>
  <c r="R36" i="2"/>
  <c r="R35" i="2"/>
  <c r="R34" i="2"/>
  <c r="R33" i="2"/>
  <c r="R32" i="2"/>
  <c r="R31" i="2"/>
  <c r="R30" i="2"/>
  <c r="R29" i="2"/>
  <c r="R28" i="2"/>
  <c r="AE19" i="1"/>
  <c r="R45" i="2" l="1" a="1"/>
  <c r="R45" i="2" s="1"/>
  <c r="R46" i="2" a="1"/>
  <c r="R46" i="2" s="1"/>
  <c r="H21" i="3"/>
  <c r="N24" i="2" l="1"/>
  <c r="R38" i="2"/>
  <c r="R24" i="2"/>
  <c r="Q24" i="2"/>
  <c r="F24" i="2"/>
  <c r="H24" i="2"/>
  <c r="I24" i="2"/>
  <c r="J24" i="2"/>
  <c r="K24" i="2"/>
  <c r="L24" i="2"/>
  <c r="O24" i="2"/>
  <c r="P24" i="2"/>
  <c r="E24" i="2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F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A24" i="1"/>
  <c r="AB24" i="1"/>
  <c r="AC24" i="1"/>
  <c r="AD24" i="1"/>
  <c r="AE24" i="1"/>
  <c r="M24" i="1"/>
  <c r="N24" i="1"/>
  <c r="O24" i="1"/>
  <c r="Q24" i="1"/>
  <c r="R24" i="1"/>
  <c r="S24" i="1"/>
  <c r="T24" i="1"/>
  <c r="U24" i="1"/>
  <c r="V24" i="1"/>
  <c r="W24" i="1"/>
  <c r="X24" i="1"/>
  <c r="Y24" i="1"/>
  <c r="Z24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N46" i="2" l="1" a="1"/>
  <c r="N46" i="2" s="1"/>
  <c r="N45" i="2" a="1"/>
  <c r="N45" i="2" s="1"/>
  <c r="Q46" i="2" a="1"/>
  <c r="Q46" i="2" s="1"/>
  <c r="Q45" i="2" a="1"/>
  <c r="Q45" i="2" s="1"/>
  <c r="P46" i="2" a="1"/>
  <c r="P46" i="2" s="1"/>
  <c r="P45" i="2" a="1"/>
  <c r="P45" i="2" s="1"/>
  <c r="O46" i="2" a="1"/>
  <c r="O46" i="2" s="1"/>
  <c r="O45" i="2" a="1"/>
  <c r="O45" i="2" s="1"/>
  <c r="M46" i="2" a="1"/>
  <c r="M46" i="2" s="1"/>
  <c r="M45" i="2" a="1"/>
  <c r="M45" i="2" s="1"/>
  <c r="L46" i="2" a="1"/>
  <c r="L46" i="2" s="1"/>
  <c r="L45" i="2" a="1"/>
  <c r="L45" i="2" s="1"/>
  <c r="K46" i="2" a="1"/>
  <c r="K46" i="2" s="1"/>
  <c r="K45" i="2" a="1"/>
  <c r="K45" i="2" s="1"/>
  <c r="I45" i="2" a="1"/>
  <c r="I45" i="2" s="1"/>
  <c r="I46" i="2" a="1"/>
  <c r="I46" i="2" s="1"/>
  <c r="H45" i="2" a="1"/>
  <c r="H45" i="2" s="1"/>
  <c r="H46" i="2" a="1"/>
  <c r="H46" i="2" s="1"/>
  <c r="F45" i="2" a="1"/>
  <c r="F45" i="2" s="1"/>
  <c r="F46" i="2" a="1"/>
  <c r="F46" i="2" s="1"/>
  <c r="E46" i="2" a="1"/>
  <c r="E46" i="2" s="1"/>
  <c r="E45" i="2" a="1"/>
  <c r="E45" i="2" s="1"/>
  <c r="J45" i="2" a="1"/>
  <c r="J45" i="2" s="1"/>
  <c r="J46" i="2" a="1"/>
  <c r="J46" i="2" s="1"/>
  <c r="D48" i="4"/>
  <c r="AD23" i="1"/>
  <c r="F12" i="1"/>
  <c r="S23" i="1"/>
  <c r="AE23" i="1"/>
  <c r="AA23" i="1"/>
  <c r="AE25" i="1"/>
  <c r="R23" i="1"/>
  <c r="T23" i="1"/>
  <c r="U23" i="1"/>
  <c r="V23" i="1"/>
  <c r="U25" i="1"/>
  <c r="T25" i="1"/>
  <c r="Z25" i="1"/>
  <c r="S25" i="1"/>
  <c r="R25" i="1"/>
  <c r="AA25" i="1"/>
  <c r="W25" i="1"/>
  <c r="Y25" i="1"/>
  <c r="V25" i="1"/>
  <c r="X25" i="1"/>
  <c r="Q25" i="1"/>
  <c r="AD25" i="1"/>
  <c r="AC25" i="1"/>
  <c r="AB25" i="1"/>
  <c r="Q23" i="1"/>
  <c r="AC23" i="1"/>
  <c r="W23" i="1"/>
  <c r="X23" i="1"/>
  <c r="Y23" i="1"/>
  <c r="Z23" i="1"/>
  <c r="AB23" i="1"/>
  <c r="C7" i="1" l="1"/>
  <c r="B7" i="1"/>
  <c r="H3" i="1" l="1"/>
  <c r="I3" i="1"/>
  <c r="I2" i="1"/>
  <c r="H2" i="1"/>
  <c r="J3" i="1" l="1"/>
  <c r="K3" i="1" s="1"/>
  <c r="J2" i="1"/>
  <c r="J4" i="1" l="1"/>
  <c r="K4" i="1" s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<sst xmlns="http://schemas.openxmlformats.org/spreadsheetml/2006/main" count="311" uniqueCount="183">
  <si>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</si>
  <si>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</si>
  <si>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</si>
  <si>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</si>
  <si>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</si>
  <si>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</si>
  <si>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</si>
  <si>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</si>
  <si>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</si>
  <si>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</si>
  <si>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</si>
  <si>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</si>
  <si>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</si>
  <si>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</si>
  <si>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</si>
  <si>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</si>
  <si>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</si>
  <si>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</si>
  <si>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</si>
  <si>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</si>
  <si>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</si>
  <si>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</si>
  <si>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</si>
  <si>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</si>
  <si>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</si>
  <si>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</si>
  <si>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</si>
  <si>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</si>
  <si>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</si>
  <si>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</si>
  <si>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</si>
  <si>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</si>
  <si>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</si>
  <si>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</si>
  <si>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</si>
  <si>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</si>
  <si>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</si>
  <si>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</si>
  <si>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</si>
  <si>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</si>
  <si>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</si>
  <si>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</si>
  <si>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</si>
  <si>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</si>
  <si>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</si>
  <si>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</si>
  <si>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</si>
  <si>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</si>
  <si>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</si>
  <si>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</si>
  <si>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</si>
  <si>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</si>
  <si>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</si>
  <si>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</si>
  <si>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</si>
  <si>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</si>
  <si>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</si>
  <si>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</si>
  <si>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</si>
  <si>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</si>
  <si>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</si>
  <si>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</si>
  <si>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</si>
  <si>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</si>
  <si>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</si>
  <si>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</si>
  <si>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</si>
  <si>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</si>
  <si>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</si>
  <si>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</si>
  <si>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</si>
  <si>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</si>
  <si>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</si>
  <si>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</si>
  <si>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</si>
  <si>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</si>
  <si>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</si>
  <si>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</si>
  <si>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</si>
  <si>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</si>
  <si>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</si>
  <si>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</si>
  <si>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</si>
  <si>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Alphas directory is my personal directory where I store all the excel/csv files. It doesn't get git push so you may need to change directory output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</si>
  <si>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</si>
  <si>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</si>
  <si>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</si>
  <si>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</si>
  <si>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</si>
  <si>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</si>
  <si>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</si>
  <si>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</si>
  <si>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</si>
  <si>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</si>
  <si>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</si>
  <si>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</si>
  <si>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</si>
  <si>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</si>
  <si>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</si>
  <si>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</si>
  <si>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</si>
  <si>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</si>
  <si>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</si>
  <si>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</si>
  <si>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</si>
  <si>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</si>
  <si>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</si>
  <si>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</si>
  <si>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</si>
  <si>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</si>
  <si>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8.</t>
  </si>
  <si>
    <t>The predicted 2021Q2 Revenue is then:</t>
  </si>
  <si>
    <t>Acuuracy:</t>
  </si>
  <si>
    <t>off</t>
  </si>
  <si>
    <t xml:space="preserve">This methodology scored: </t>
  </si>
  <si>
    <t>I usually start this process at 2019Q1 and repeat this backtest for all dates</t>
  </si>
  <si>
    <t>Finding the best methodology in the previous quarter. (Do not put 2021Q3 data point into the pandas data frame in LR_adj.py)</t>
  </si>
  <si>
    <t>An example of of the methodology is found in cell P2</t>
  </si>
  <si>
    <t>9.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</si>
  <si>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</si>
  <si>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</si>
  <si>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</si>
  <si>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</si>
  <si>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</si>
  <si>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</si>
  <si>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</si>
  <si>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</si>
  <si>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</si>
  <si>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</si>
  <si>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</si>
  <si>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</si>
  <si>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</si>
  <si>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</si>
  <si>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</si>
  <si>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</si>
  <si>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</si>
  <si>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</si>
  <si>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</si>
  <si>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</si>
  <si>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</si>
  <si>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</si>
  <si>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</si>
  <si>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</si>
  <si>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</si>
  <si>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</si>
  <si>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</si>
  <si>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</si>
  <si>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</si>
  <si>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</si>
  <si>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</si>
  <si>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</si>
  <si>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</si>
  <si>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</si>
  <si>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C:\dev\da.research\personal\rxia\Alphas\TICKER</t>
    </r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</si>
  <si>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</si>
  <si>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</si>
  <si>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</si>
  <si>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</si>
  <si>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</si>
  <si>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</si>
  <si>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</si>
  <si>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</si>
  <si>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</si>
  <si>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</si>
  <si>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2022E</t>
  </si>
  <si>
    <t>Q1E</t>
  </si>
  <si>
    <t>Total Revenue</t>
  </si>
  <si>
    <t>Input those as projection into python script in step 3.</t>
  </si>
  <si>
    <t>It is an apple to apple comparison for each method. I removed 2020Q2 to be biased towards the projection that uses moa data.(12_12 projection)</t>
  </si>
  <si>
    <t>Consensus seemes to perform better than the other methodology</t>
  </si>
  <si>
    <t>Consensus average scored:</t>
  </si>
  <si>
    <t>These average are biased because it compares it to the relative the inputted reported revenue. Since we do not have 2021Q3, I input consensus in there. See Step 4 for the regression summary.</t>
  </si>
  <si>
    <t>Since CONSENSUS performed  the best in the 2021Q2 data (without 2021Q3) I look at predicted result for CONSENSUS 2021Q3</t>
  </si>
  <si>
    <t>Historical Average Beat\Miss:</t>
  </si>
  <si>
    <t>Improved Alpha Implied Beat/Miss:</t>
  </si>
  <si>
    <t>which is inline with the confidence interval in step1. If this value is unsatisfactory, use confidence interval.</t>
  </si>
  <si>
    <t>CSII US</t>
  </si>
  <si>
    <t>CORRELATION</t>
  </si>
  <si>
    <t>CSII</t>
  </si>
  <si>
    <t>U.S. SALES</t>
  </si>
  <si>
    <t>2017Q2</t>
  </si>
  <si>
    <t>2017Q3</t>
  </si>
  <si>
    <t>NSS_12_12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</si>
</sst>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3" xfId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9" fontId="0" fillId="0" borderId="0" xfId="1" applyFont="1" applyBorder="1"/>
    <xf numFmtId="9" fontId="0" fillId="0" borderId="9" xfId="1" applyFont="1" applyBorder="1"/>
    <xf numFmtId="9" fontId="0" fillId="0" borderId="8" xfId="1" applyFont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9" fontId="0" fillId="0" borderId="13" xfId="1" applyFont="1" applyFill="1" applyBorder="1" applyAlignment="1">
      <alignment horizontal="center"/>
    </xf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0" fillId="0" borderId="3" xfId="0" applyNumberFormat="1" applyBorder="1"/>
    <xf numFmtId="165" fontId="2" fillId="0" borderId="3" xfId="0" applyNumberFormat="1" applyFont="1" applyBorder="1"/>
    <xf numFmtId="165" fontId="4" fillId="0" borderId="3" xfId="0" applyNumberFormat="1" applyFont="1" applyBorder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center"/>
    </xf>
    <xf numFmtId="10" fontId="0" fillId="0" borderId="0" xfId="1" applyNumberFormat="1" applyFont="1"/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0" fontId="2" fillId="0" borderId="13" xfId="1" applyNumberFormat="1" applyFont="1" applyBorder="1"/>
    <xf numFmtId="10" fontId="2" fillId="0" borderId="15" xfId="1" applyNumberFormat="1" applyFont="1" applyBorder="1"/>
    <xf numFmtId="0" fontId="0" fillId="0" borderId="0" xfId="0" applyAlignment="1">
      <alignment horizontal="right"/>
    </xf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10" xfId="0" applyNumberFormat="1" applyBorder="1"/>
    <xf numFmtId="2" fontId="0" fillId="0" borderId="0" xfId="0" applyNumberFormat="1" applyBorder="1"/>
    <xf numFmtId="0" fontId="8" fillId="0" borderId="0" xfId="0" applyFont="1" applyBorder="1" applyAlignment="1">
      <alignment horizontal="center" vertical="top"/>
    </xf>
    <xf numFmtId="0" fontId="0" fillId="12" borderId="0" xfId="0" applyFill="1" applyAlignment="1"/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0" borderId="0" xfId="0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K29"/>
  <sheetViews>
    <sheetView zoomScale="70" zoomScaleNormal="70" workbookViewId="0">
      <selection activeCell="O21" sqref="O21:AE21"/>
    </sheetView>
  </sheetViews>
  <sheetFormatPr defaultRowHeight="12.75" x14ac:dyDescent="0.2"/>
  <cols>
    <col min="1" max="1" width="28.85546875" customWidth="1"/>
    <col min="7" max="7" width="14.140625" customWidth="1"/>
    <col min="11" max="11" width="11.42578125" customWidth="1"/>
    <col min="13" max="13" width="10.7109375" customWidth="1"/>
    <col min="15" max="15" width="10.42578125" customWidth="1"/>
    <col min="32" max="32" width="20.7109375" customWidth="1"/>
    <col min="33" max="33" width="17.85546875" customWidth="1"/>
  </cols>
  <sheetData>
    <row r="1" spans="1:37" x14ac:dyDescent="0.2">
      <c r="A1" s="109" t="s">
        <v>176</v>
      </c>
      <c r="B1" s="110"/>
      <c r="C1" s="111"/>
      <c r="F1" s="118" t="s">
        <v>35</v>
      </c>
      <c r="G1" s="119"/>
      <c r="H1" s="70" t="s">
        <v>31</v>
      </c>
      <c r="I1" s="70" t="s">
        <v>32</v>
      </c>
      <c r="J1" s="4" t="s">
        <v>39</v>
      </c>
      <c r="K1" s="120" t="s">
        <v>41</v>
      </c>
      <c r="L1" s="121"/>
    </row>
    <row r="2" spans="1:37" x14ac:dyDescent="0.2">
      <c r="A2" s="112"/>
      <c r="B2" s="113"/>
      <c r="C2" s="114"/>
      <c r="F2" s="68" t="s">
        <v>37</v>
      </c>
      <c r="G2" s="69"/>
      <c r="H2" s="71">
        <f>$B$7*($AG$27-2*$AG$28)</f>
        <v>45.603515380192178</v>
      </c>
      <c r="I2" s="71">
        <f>$B$7*($AG$27+2*$AG$28)</f>
        <v>82.102953862950827</v>
      </c>
      <c r="J2" s="73">
        <f>AVERAGE(H2:I2)</f>
        <v>63.853234621571502</v>
      </c>
      <c r="K2" s="122">
        <f>$J$2/AB16-1</f>
        <v>8.5939364312440647E-2</v>
      </c>
      <c r="L2" s="123"/>
    </row>
    <row r="3" spans="1:37" x14ac:dyDescent="0.2">
      <c r="A3" s="115"/>
      <c r="B3" s="116"/>
      <c r="C3" s="117"/>
      <c r="F3" s="53" t="s">
        <v>38</v>
      </c>
      <c r="G3" s="20"/>
      <c r="H3" s="72">
        <f>$C$7*($AG$27-2*$AG$28)</f>
        <v>47.149397257486825</v>
      </c>
      <c r="I3" s="72">
        <f>$C$7*($AG$27+2*$AG$28)</f>
        <v>84.88610484135593</v>
      </c>
      <c r="J3" s="74">
        <f>AVERAGE(H3:I3)</f>
        <v>66.017751049421378</v>
      </c>
      <c r="K3" s="124">
        <f>$J$3/AB17-1</f>
        <v>0.12275086818743852</v>
      </c>
      <c r="L3" s="125"/>
    </row>
    <row r="4" spans="1:37" x14ac:dyDescent="0.2">
      <c r="A4" s="59"/>
      <c r="B4" s="59"/>
      <c r="C4" s="59"/>
      <c r="I4" s="4" t="s">
        <v>40</v>
      </c>
      <c r="J4" s="74">
        <f>AVERAGE(J2:J3)</f>
        <v>64.935492835496433</v>
      </c>
      <c r="K4" s="124">
        <f>$J$4/AB17-1</f>
        <v>0.10434511624993936</v>
      </c>
      <c r="L4" s="125"/>
    </row>
    <row r="5" spans="1:37" x14ac:dyDescent="0.2">
      <c r="A5" s="67" t="s">
        <v>34</v>
      </c>
      <c r="B5" s="57" t="s">
        <v>31</v>
      </c>
      <c r="C5" s="58" t="s">
        <v>32</v>
      </c>
    </row>
    <row r="6" spans="1:37" ht="15.75" x14ac:dyDescent="0.25">
      <c r="A6" s="61" t="s">
        <v>33</v>
      </c>
      <c r="B6" s="65">
        <v>295</v>
      </c>
      <c r="C6" s="66">
        <v>305</v>
      </c>
    </row>
    <row r="7" spans="1:37" ht="14.25" x14ac:dyDescent="0.2">
      <c r="A7" s="62" t="s">
        <v>36</v>
      </c>
      <c r="B7" s="63">
        <f>B6*$AG$26</f>
        <v>274.68390577256156</v>
      </c>
      <c r="C7" s="64">
        <f>C6*$AG$26</f>
        <v>283.99522461230936</v>
      </c>
    </row>
    <row r="8" spans="1:37" x14ac:dyDescent="0.2">
      <c r="A8" s="59"/>
      <c r="B8" s="59"/>
      <c r="C8" s="59"/>
    </row>
    <row r="9" spans="1:37" x14ac:dyDescent="0.2">
      <c r="A9" s="59"/>
      <c r="B9" s="59"/>
      <c r="C9" s="59"/>
    </row>
    <row r="10" spans="1:37" x14ac:dyDescent="0.2">
      <c r="A10" s="59"/>
      <c r="B10" s="59"/>
      <c r="C10" s="59"/>
    </row>
    <row r="12" spans="1:37" x14ac:dyDescent="0.2">
      <c r="D12" s="108" t="s">
        <v>15</v>
      </c>
      <c r="E12" s="108"/>
      <c r="F12" s="40">
        <f>AVERAGE(F15:AF15)</f>
        <v>1.073464601594186</v>
      </c>
      <c r="AC12" s="108" t="s">
        <v>16</v>
      </c>
      <c r="AD12" s="108"/>
      <c r="AE12" s="108"/>
      <c r="AF12" s="96">
        <f>AVERAGE(AF15,AB15:AD15)</f>
        <v>0.96804371429334701</v>
      </c>
    </row>
    <row r="13" spans="1:37" x14ac:dyDescent="0.2">
      <c r="A13" s="60" t="s">
        <v>6</v>
      </c>
      <c r="B13" s="127">
        <v>2014</v>
      </c>
      <c r="C13" s="127"/>
      <c r="D13" s="127"/>
      <c r="E13" s="128"/>
      <c r="F13" s="135">
        <v>2015</v>
      </c>
      <c r="G13" s="136"/>
      <c r="H13" s="136"/>
      <c r="I13" s="137"/>
      <c r="J13" s="135">
        <v>2016</v>
      </c>
      <c r="K13" s="136"/>
      <c r="L13" s="136"/>
      <c r="M13" s="137"/>
      <c r="N13" s="138">
        <v>2017</v>
      </c>
      <c r="O13" s="139"/>
      <c r="P13" s="139"/>
      <c r="Q13" s="140"/>
      <c r="R13" s="145">
        <v>2018</v>
      </c>
      <c r="S13" s="146"/>
      <c r="T13" s="146"/>
      <c r="U13" s="147"/>
      <c r="V13" s="141">
        <v>2019</v>
      </c>
      <c r="W13" s="142"/>
      <c r="X13" s="142"/>
      <c r="Y13" s="143"/>
      <c r="Z13" s="126">
        <v>2020</v>
      </c>
      <c r="AA13" s="127"/>
      <c r="AB13" s="127"/>
      <c r="AC13" s="128"/>
      <c r="AD13" s="135">
        <v>2021</v>
      </c>
      <c r="AE13" s="136"/>
      <c r="AF13" s="136"/>
      <c r="AG13" s="137"/>
      <c r="AH13" s="126" t="s">
        <v>164</v>
      </c>
      <c r="AI13" s="127"/>
      <c r="AJ13" s="127"/>
      <c r="AK13" s="128"/>
    </row>
    <row r="14" spans="1:37" x14ac:dyDescent="0.2">
      <c r="A14" s="15" t="s">
        <v>19</v>
      </c>
      <c r="B14" s="21" t="s">
        <v>20</v>
      </c>
      <c r="C14" s="21" t="s">
        <v>3</v>
      </c>
      <c r="D14" s="21" t="s">
        <v>4</v>
      </c>
      <c r="E14" s="21" t="s">
        <v>5</v>
      </c>
      <c r="F14" s="22" t="s">
        <v>20</v>
      </c>
      <c r="G14" s="23" t="s">
        <v>3</v>
      </c>
      <c r="H14" s="23" t="s">
        <v>4</v>
      </c>
      <c r="I14" s="23" t="s">
        <v>5</v>
      </c>
      <c r="J14" s="22" t="s">
        <v>20</v>
      </c>
      <c r="K14" s="23" t="s">
        <v>3</v>
      </c>
      <c r="L14" s="23" t="s">
        <v>4</v>
      </c>
      <c r="M14" s="23" t="s">
        <v>5</v>
      </c>
      <c r="N14" s="24" t="s">
        <v>20</v>
      </c>
      <c r="O14" s="25" t="s">
        <v>3</v>
      </c>
      <c r="P14" s="25" t="s">
        <v>4</v>
      </c>
      <c r="Q14" s="25" t="s">
        <v>5</v>
      </c>
      <c r="R14" s="26" t="s">
        <v>20</v>
      </c>
      <c r="S14" s="27" t="s">
        <v>3</v>
      </c>
      <c r="T14" s="27" t="s">
        <v>4</v>
      </c>
      <c r="U14" s="27" t="s">
        <v>5</v>
      </c>
      <c r="V14" s="28" t="s">
        <v>20</v>
      </c>
      <c r="W14" s="29" t="s">
        <v>3</v>
      </c>
      <c r="X14" s="29" t="s">
        <v>4</v>
      </c>
      <c r="Y14" s="29" t="s">
        <v>5</v>
      </c>
      <c r="Z14" s="30" t="s">
        <v>20</v>
      </c>
      <c r="AA14" s="21" t="s">
        <v>3</v>
      </c>
      <c r="AB14" s="21" t="s">
        <v>4</v>
      </c>
      <c r="AC14" s="21" t="s">
        <v>5</v>
      </c>
      <c r="AD14" s="44" t="s">
        <v>20</v>
      </c>
      <c r="AE14" s="45" t="s">
        <v>3</v>
      </c>
      <c r="AF14" s="46" t="s">
        <v>21</v>
      </c>
      <c r="AG14" s="31" t="s">
        <v>22</v>
      </c>
      <c r="AH14" s="84" t="s">
        <v>165</v>
      </c>
      <c r="AI14" s="6"/>
      <c r="AJ14" s="6"/>
      <c r="AK14" s="11"/>
    </row>
    <row r="15" spans="1:37" x14ac:dyDescent="0.2">
      <c r="A15" s="39" t="s">
        <v>2</v>
      </c>
      <c r="B15" s="32"/>
      <c r="C15" s="32"/>
      <c r="D15" s="32"/>
      <c r="E15" s="32"/>
      <c r="F15" s="34"/>
      <c r="G15" s="35"/>
      <c r="H15" s="35">
        <f t="shared" ref="H15:AE15" si="0">H17/D17</f>
        <v>1.1256410256410256</v>
      </c>
      <c r="I15" s="35">
        <f t="shared" si="0"/>
        <v>0.93111638954869358</v>
      </c>
      <c r="J15" s="34">
        <f t="shared" si="0"/>
        <v>1.0136674259681093</v>
      </c>
      <c r="K15" s="35">
        <f t="shared" si="0"/>
        <v>1.0825892857142858</v>
      </c>
      <c r="L15" s="35">
        <f t="shared" si="0"/>
        <v>1.1343963553530751</v>
      </c>
      <c r="M15" s="35">
        <f t="shared" si="0"/>
        <v>1.2755102040816326</v>
      </c>
      <c r="N15" s="34">
        <f t="shared" si="0"/>
        <v>1.1707865168539326</v>
      </c>
      <c r="O15" s="35">
        <f t="shared" si="0"/>
        <v>1.090721649484536</v>
      </c>
      <c r="P15" s="35">
        <f t="shared" si="0"/>
        <v>0.99799196787148603</v>
      </c>
      <c r="Q15" s="35">
        <f t="shared" si="0"/>
        <v>1.052</v>
      </c>
      <c r="R15" s="34">
        <f t="shared" si="0"/>
        <v>1.0499040307101728</v>
      </c>
      <c r="S15" s="35">
        <f t="shared" si="0"/>
        <v>1.0907372400756143</v>
      </c>
      <c r="T15" s="35">
        <f t="shared" si="0"/>
        <v>1.1046277665995974</v>
      </c>
      <c r="U15" s="35">
        <f t="shared" si="0"/>
        <v>1.1140684410646389</v>
      </c>
      <c r="V15" s="34">
        <f t="shared" si="0"/>
        <v>1.1133455210237659</v>
      </c>
      <c r="W15" s="35">
        <f t="shared" si="0"/>
        <v>1.1386481802426343</v>
      </c>
      <c r="X15" s="35">
        <f t="shared" si="0"/>
        <v>1.1202185792349728</v>
      </c>
      <c r="Y15" s="35">
        <f t="shared" si="0"/>
        <v>1.1262798634812285</v>
      </c>
      <c r="Z15" s="34">
        <f t="shared" si="0"/>
        <v>0.95402298850574718</v>
      </c>
      <c r="AA15" s="35">
        <f t="shared" si="0"/>
        <v>0.61643835616438358</v>
      </c>
      <c r="AB15" s="35">
        <f t="shared" si="0"/>
        <v>0.95609756097560972</v>
      </c>
      <c r="AC15" s="35">
        <f t="shared" si="0"/>
        <v>0.93787878787878787</v>
      </c>
      <c r="AD15" s="34">
        <f t="shared" si="0"/>
        <v>1.0258175559380378</v>
      </c>
      <c r="AE15" s="36">
        <f t="shared" si="0"/>
        <v>1.6617283950617283</v>
      </c>
      <c r="AF15" s="52">
        <f>AF16/AB16</f>
        <v>0.95238095238095244</v>
      </c>
      <c r="AG15" s="33"/>
      <c r="AH15" s="10"/>
      <c r="AI15" s="6"/>
      <c r="AJ15" s="6"/>
      <c r="AK15" s="11"/>
    </row>
    <row r="16" spans="1:37" x14ac:dyDescent="0.2">
      <c r="A16" s="16" t="s">
        <v>0</v>
      </c>
      <c r="B16" s="8"/>
      <c r="C16" s="8"/>
      <c r="D16" s="8">
        <v>39</v>
      </c>
      <c r="E16" s="8">
        <v>42.1</v>
      </c>
      <c r="F16" s="10">
        <v>43.9</v>
      </c>
      <c r="G16" s="6">
        <v>44.8</v>
      </c>
      <c r="H16" s="6">
        <v>41.6</v>
      </c>
      <c r="I16" s="6">
        <v>39.200000000000003</v>
      </c>
      <c r="J16" s="10">
        <v>41.8</v>
      </c>
      <c r="K16" s="6">
        <v>45.5</v>
      </c>
      <c r="L16" s="6">
        <v>46.9</v>
      </c>
      <c r="M16" s="6">
        <v>46.9</v>
      </c>
      <c r="N16" s="10">
        <v>48.8</v>
      </c>
      <c r="O16" s="6">
        <v>49.7</v>
      </c>
      <c r="P16" s="6">
        <v>49.1</v>
      </c>
      <c r="Q16" s="6">
        <v>52</v>
      </c>
      <c r="R16" s="10">
        <v>54.3</v>
      </c>
      <c r="S16" s="6">
        <v>57.7</v>
      </c>
      <c r="T16" s="6">
        <v>54.9</v>
      </c>
      <c r="U16" s="6">
        <v>58.7</v>
      </c>
      <c r="V16" s="10">
        <v>60.9</v>
      </c>
      <c r="W16" s="6">
        <v>65.7</v>
      </c>
      <c r="X16" s="6">
        <v>61.3</v>
      </c>
      <c r="Y16" s="6">
        <v>66</v>
      </c>
      <c r="Z16" s="10">
        <v>58.1</v>
      </c>
      <c r="AA16" s="6">
        <v>40.5</v>
      </c>
      <c r="AB16" s="6">
        <v>58.8</v>
      </c>
      <c r="AC16" s="6">
        <v>61.9</v>
      </c>
      <c r="AD16" s="7">
        <v>59.6</v>
      </c>
      <c r="AE16" s="8">
        <v>67.3</v>
      </c>
      <c r="AF16" s="7">
        <v>56</v>
      </c>
      <c r="AG16" s="9">
        <v>69.099999999999994</v>
      </c>
      <c r="AH16" s="10">
        <v>72</v>
      </c>
      <c r="AI16" s="6"/>
      <c r="AJ16" s="6"/>
      <c r="AK16" s="11"/>
    </row>
    <row r="17" spans="1:37" x14ac:dyDescent="0.2">
      <c r="A17" s="16" t="s">
        <v>1</v>
      </c>
      <c r="B17" s="6"/>
      <c r="C17" s="6"/>
      <c r="D17" s="6">
        <v>39</v>
      </c>
      <c r="E17" s="6">
        <v>42.1</v>
      </c>
      <c r="F17" s="10">
        <v>43.9</v>
      </c>
      <c r="G17" s="6">
        <v>44.8</v>
      </c>
      <c r="H17" s="6">
        <v>43.9</v>
      </c>
      <c r="I17" s="6">
        <v>39.200000000000003</v>
      </c>
      <c r="J17" s="10">
        <v>44.5</v>
      </c>
      <c r="K17" s="6">
        <v>48.5</v>
      </c>
      <c r="L17" s="6">
        <v>49.8</v>
      </c>
      <c r="M17" s="6">
        <v>50</v>
      </c>
      <c r="N17" s="10">
        <v>52.1</v>
      </c>
      <c r="O17" s="6">
        <v>52.9</v>
      </c>
      <c r="P17" s="6">
        <v>49.7</v>
      </c>
      <c r="Q17" s="6">
        <v>52.6</v>
      </c>
      <c r="R17" s="10">
        <v>54.7</v>
      </c>
      <c r="S17" s="6">
        <v>57.7</v>
      </c>
      <c r="T17" s="6">
        <v>54.9</v>
      </c>
      <c r="U17" s="6">
        <v>58.6</v>
      </c>
      <c r="V17" s="10">
        <v>60.9</v>
      </c>
      <c r="W17" s="6">
        <v>65.7</v>
      </c>
      <c r="X17" s="6">
        <v>61.5</v>
      </c>
      <c r="Y17" s="6">
        <v>66</v>
      </c>
      <c r="Z17" s="10">
        <v>58.1</v>
      </c>
      <c r="AA17" s="6">
        <v>40.5</v>
      </c>
      <c r="AB17" s="6">
        <v>58.8</v>
      </c>
      <c r="AC17" s="6">
        <v>61.9</v>
      </c>
      <c r="AD17" s="10">
        <v>59.6</v>
      </c>
      <c r="AE17" s="6">
        <v>67.3</v>
      </c>
      <c r="AF17" s="10"/>
      <c r="AG17" s="11"/>
      <c r="AH17" s="10"/>
      <c r="AI17" s="6"/>
      <c r="AJ17" s="6"/>
      <c r="AK17" s="11"/>
    </row>
    <row r="18" spans="1:37" x14ac:dyDescent="0.2">
      <c r="A18" s="11" t="s">
        <v>166</v>
      </c>
      <c r="B18" s="10"/>
      <c r="C18" s="6"/>
      <c r="D18" s="6">
        <v>41.4</v>
      </c>
      <c r="E18" s="11">
        <v>44.7</v>
      </c>
      <c r="F18" s="10">
        <v>47</v>
      </c>
      <c r="G18" s="6">
        <v>48.5</v>
      </c>
      <c r="H18" s="6">
        <v>43.9</v>
      </c>
      <c r="I18" s="11">
        <v>41.4</v>
      </c>
      <c r="J18" s="10">
        <v>44.5</v>
      </c>
      <c r="K18" s="6">
        <v>48.5</v>
      </c>
      <c r="L18" s="6">
        <v>49.8</v>
      </c>
      <c r="M18" s="11">
        <v>50</v>
      </c>
      <c r="N18" s="10">
        <v>52.1</v>
      </c>
      <c r="O18" s="6">
        <v>52.9</v>
      </c>
      <c r="P18" s="6">
        <v>49.7</v>
      </c>
      <c r="Q18" s="11">
        <v>52.6</v>
      </c>
      <c r="R18" s="10">
        <v>55.6</v>
      </c>
      <c r="S18" s="6">
        <v>59.2</v>
      </c>
      <c r="T18" s="6">
        <v>56.3</v>
      </c>
      <c r="U18" s="11">
        <v>60.2</v>
      </c>
      <c r="V18" s="10">
        <v>63.3</v>
      </c>
      <c r="W18" s="6">
        <v>68.2</v>
      </c>
      <c r="X18" s="6">
        <v>64.5</v>
      </c>
      <c r="Y18" s="11">
        <v>68.3</v>
      </c>
      <c r="Z18" s="10">
        <v>61.2</v>
      </c>
      <c r="AA18" s="6">
        <v>42.5</v>
      </c>
      <c r="AB18" s="6">
        <v>60.5</v>
      </c>
      <c r="AC18" s="11">
        <v>64.2</v>
      </c>
      <c r="AD18" s="10">
        <v>63.3</v>
      </c>
      <c r="AE18" s="6">
        <v>71</v>
      </c>
      <c r="AF18" s="10">
        <v>64.3</v>
      </c>
      <c r="AG18" s="11"/>
      <c r="AH18" s="10"/>
      <c r="AI18" s="6"/>
      <c r="AJ18" s="6"/>
      <c r="AK18" s="11"/>
    </row>
    <row r="19" spans="1:37" x14ac:dyDescent="0.2">
      <c r="A19" s="16" t="s">
        <v>18</v>
      </c>
      <c r="B19" s="43"/>
      <c r="C19" s="41"/>
      <c r="D19" s="41">
        <f t="shared" ref="C19:AD19" si="1">D17/D18</f>
        <v>0.94202898550724645</v>
      </c>
      <c r="E19" s="42">
        <f t="shared" si="1"/>
        <v>0.94183445190156601</v>
      </c>
      <c r="F19" s="41">
        <f t="shared" si="1"/>
        <v>0.93404255319148932</v>
      </c>
      <c r="G19" s="41">
        <f t="shared" si="1"/>
        <v>0.9237113402061855</v>
      </c>
      <c r="H19" s="41">
        <f t="shared" si="1"/>
        <v>1</v>
      </c>
      <c r="I19" s="42">
        <f t="shared" si="1"/>
        <v>0.94685990338164261</v>
      </c>
      <c r="J19" s="41">
        <f t="shared" si="1"/>
        <v>1</v>
      </c>
      <c r="K19" s="41">
        <f t="shared" si="1"/>
        <v>1</v>
      </c>
      <c r="L19" s="41">
        <f t="shared" si="1"/>
        <v>1</v>
      </c>
      <c r="M19" s="42">
        <f t="shared" si="1"/>
        <v>1</v>
      </c>
      <c r="N19" s="41">
        <f t="shared" si="1"/>
        <v>1</v>
      </c>
      <c r="O19" s="41">
        <f t="shared" si="1"/>
        <v>1</v>
      </c>
      <c r="P19" s="41">
        <f t="shared" si="1"/>
        <v>1</v>
      </c>
      <c r="Q19" s="42">
        <f t="shared" si="1"/>
        <v>1</v>
      </c>
      <c r="R19" s="41">
        <f t="shared" si="1"/>
        <v>0.98381294964028776</v>
      </c>
      <c r="S19" s="41">
        <f t="shared" si="1"/>
        <v>0.97466216216216217</v>
      </c>
      <c r="T19" s="41">
        <f t="shared" si="1"/>
        <v>0.9751332149200711</v>
      </c>
      <c r="U19" s="42">
        <f t="shared" si="1"/>
        <v>0.97342192691029894</v>
      </c>
      <c r="V19" s="41">
        <f t="shared" si="1"/>
        <v>0.96208530805687209</v>
      </c>
      <c r="W19" s="41">
        <f t="shared" si="1"/>
        <v>0.96334310850439886</v>
      </c>
      <c r="X19" s="41">
        <f t="shared" si="1"/>
        <v>0.95348837209302328</v>
      </c>
      <c r="Y19" s="42">
        <f t="shared" si="1"/>
        <v>0.96632503660322111</v>
      </c>
      <c r="Z19" s="41">
        <f t="shared" si="1"/>
        <v>0.94934640522875813</v>
      </c>
      <c r="AA19" s="41">
        <f t="shared" si="1"/>
        <v>0.95294117647058818</v>
      </c>
      <c r="AB19" s="41">
        <f t="shared" si="1"/>
        <v>0.97190082644628095</v>
      </c>
      <c r="AC19" s="42">
        <f t="shared" si="1"/>
        <v>0.96417445482866038</v>
      </c>
      <c r="AD19" s="41">
        <f t="shared" si="1"/>
        <v>0.94154818325434442</v>
      </c>
      <c r="AE19" s="41">
        <f>AE17/AE18</f>
        <v>0.94788732394366193</v>
      </c>
      <c r="AF19" s="43">
        <f>AF16/AF18</f>
        <v>0.87091757387247282</v>
      </c>
      <c r="AG19" s="11"/>
      <c r="AH19" s="10"/>
      <c r="AI19" s="6"/>
      <c r="AJ19" s="6"/>
      <c r="AK19" s="11"/>
    </row>
    <row r="20" spans="1:37" x14ac:dyDescent="0.2">
      <c r="A20" s="16" t="s">
        <v>24</v>
      </c>
      <c r="B20" s="2"/>
      <c r="C20" s="19"/>
      <c r="D20" s="19">
        <f>D17/SUM(C17:F17)</f>
        <v>0.312</v>
      </c>
      <c r="E20" s="47">
        <f>E17/SUM(C17:F17)</f>
        <v>0.33679999999999999</v>
      </c>
      <c r="F20" s="2">
        <f>F17/SUM(C17:F17)</f>
        <v>0.35120000000000001</v>
      </c>
      <c r="G20" s="2">
        <f>G17/SUM(G17:J17)</f>
        <v>0.25986078886310909</v>
      </c>
      <c r="H20" s="2">
        <f>H17/SUM(G17:J17)</f>
        <v>0.2546403712296984</v>
      </c>
      <c r="I20" s="47">
        <f>I17/SUM(G17:J17)</f>
        <v>0.22737819025522046</v>
      </c>
      <c r="J20" s="2">
        <f>J17/SUM(G17:J17)</f>
        <v>0.25812064965197218</v>
      </c>
      <c r="K20" s="2">
        <f>K17/SUM(K17:N17)</f>
        <v>0.24201596806387224</v>
      </c>
      <c r="L20" s="2">
        <f>L17/SUM(K17:N17)</f>
        <v>0.24850299401197604</v>
      </c>
      <c r="M20" s="47">
        <f>M17/SUM(K17:N17)</f>
        <v>0.249500998003992</v>
      </c>
      <c r="N20" s="2">
        <f>N17/SUM(K17:N17)</f>
        <v>0.25998003992015967</v>
      </c>
      <c r="O20" s="2">
        <f>O17/SUM(O17:R17)</f>
        <v>0.25202477370176274</v>
      </c>
      <c r="P20" s="2">
        <f>P17/SUM(O17:R17)</f>
        <v>0.2367794187708433</v>
      </c>
      <c r="Q20" s="47">
        <f>Q17/SUM(O17:R17)</f>
        <v>0.25059552167698906</v>
      </c>
      <c r="R20" s="2">
        <f>R17/SUM(O17:R17)</f>
        <v>0.26060028585040501</v>
      </c>
      <c r="S20" s="2">
        <f>S17/SUM(S17:V17)</f>
        <v>0.24859974149073677</v>
      </c>
      <c r="T20" s="2">
        <f>T17/SUM(S17:V17)</f>
        <v>0.23653597587246877</v>
      </c>
      <c r="U20" s="47">
        <f>U17/SUM(S17:V17)</f>
        <v>0.25247738043946577</v>
      </c>
      <c r="V20" s="2">
        <f>V17/SUM(S17:V17)</f>
        <v>0.26238690219732874</v>
      </c>
      <c r="W20" s="2">
        <f>W17/SUM(W17:Z17)</f>
        <v>0.26144050935137286</v>
      </c>
      <c r="X20" s="2">
        <f>X17/SUM(W17:Z17)</f>
        <v>0.24472741742936729</v>
      </c>
      <c r="Y20" s="47">
        <f>Y17/SUM(W17:Z17)</f>
        <v>0.26263430163151613</v>
      </c>
      <c r="Z20" s="2">
        <f>Z17/SUM(W17:Z17)</f>
        <v>0.23119777158774377</v>
      </c>
      <c r="AA20" s="2"/>
      <c r="AB20" s="2"/>
      <c r="AC20" s="47"/>
      <c r="AD20" s="2"/>
      <c r="AE20" s="47">
        <f>AE17/SUM(AE17,AF16:AH16)</f>
        <v>0.25453857791225415</v>
      </c>
      <c r="AF20" s="2">
        <f>AF16/SUM(AE17,AF16:AH16)</f>
        <v>0.21180030257186083</v>
      </c>
      <c r="AG20" s="47">
        <f>AG16/SUM(AE17,AF16:AH16)</f>
        <v>0.2613464447806354</v>
      </c>
      <c r="AH20" s="2">
        <f>AH16/SUM(AE17,AF16:AH16)</f>
        <v>0.27231467473524962</v>
      </c>
      <c r="AI20" s="6"/>
      <c r="AJ20" s="6"/>
      <c r="AK20" s="11"/>
    </row>
    <row r="21" spans="1:37" x14ac:dyDescent="0.2">
      <c r="A21" s="17" t="s">
        <v>17</v>
      </c>
      <c r="B21" s="13"/>
      <c r="C21" s="13"/>
      <c r="D21" s="13"/>
      <c r="E21" s="13"/>
      <c r="F21" s="12"/>
      <c r="G21" s="13"/>
      <c r="H21" s="13"/>
      <c r="I21" s="13"/>
      <c r="J21" s="12"/>
      <c r="K21" s="13"/>
      <c r="L21" s="13"/>
      <c r="M21" s="6">
        <v>49.9</v>
      </c>
      <c r="N21" s="12">
        <v>51</v>
      </c>
      <c r="O21" s="13">
        <v>51.9</v>
      </c>
      <c r="P21" s="13">
        <v>53.3</v>
      </c>
      <c r="Q21" s="13">
        <v>54</v>
      </c>
      <c r="R21" s="12">
        <v>55.2</v>
      </c>
      <c r="S21" s="13">
        <v>35.5</v>
      </c>
      <c r="T21" s="13">
        <v>33.799999999999997</v>
      </c>
      <c r="U21" s="13">
        <v>54.5</v>
      </c>
      <c r="V21" s="12">
        <v>57.2</v>
      </c>
      <c r="W21" s="13">
        <v>60.9</v>
      </c>
      <c r="X21" s="13">
        <v>58.3</v>
      </c>
      <c r="Y21" s="13">
        <v>65.900000000000006</v>
      </c>
      <c r="Z21" s="12">
        <v>66.3</v>
      </c>
      <c r="AA21" s="13">
        <v>37.1</v>
      </c>
      <c r="AB21" s="13">
        <v>54.4</v>
      </c>
      <c r="AC21" s="13">
        <v>63.7</v>
      </c>
      <c r="AD21" s="12">
        <v>60.1</v>
      </c>
      <c r="AE21" s="13">
        <v>65.099999999999994</v>
      </c>
      <c r="AF21" s="162"/>
      <c r="AG21" s="14"/>
      <c r="AH21" s="12"/>
      <c r="AI21" s="13"/>
      <c r="AJ21" s="13"/>
      <c r="AK21" s="14"/>
    </row>
    <row r="22" spans="1:37" x14ac:dyDescent="0.2">
      <c r="I22" s="129" t="s">
        <v>7</v>
      </c>
      <c r="J22" s="144"/>
      <c r="K22" s="7"/>
      <c r="L22" s="8"/>
      <c r="M22" s="8">
        <f t="shared" ref="M22:AE22" si="2">IF(M17&gt;M21,1,0)</f>
        <v>1</v>
      </c>
      <c r="N22" s="8">
        <f t="shared" si="2"/>
        <v>1</v>
      </c>
      <c r="O22" s="8">
        <f t="shared" si="2"/>
        <v>1</v>
      </c>
      <c r="P22" s="8">
        <f t="shared" si="2"/>
        <v>0</v>
      </c>
      <c r="Q22" s="8">
        <f t="shared" si="2"/>
        <v>0</v>
      </c>
      <c r="R22" s="8">
        <f t="shared" si="2"/>
        <v>0</v>
      </c>
      <c r="S22" s="8">
        <f t="shared" si="2"/>
        <v>1</v>
      </c>
      <c r="T22" s="8">
        <f t="shared" si="2"/>
        <v>1</v>
      </c>
      <c r="U22" s="8">
        <f t="shared" si="2"/>
        <v>1</v>
      </c>
      <c r="V22" s="8">
        <f t="shared" si="2"/>
        <v>1</v>
      </c>
      <c r="W22" s="8">
        <f t="shared" si="2"/>
        <v>1</v>
      </c>
      <c r="X22" s="8">
        <f t="shared" si="2"/>
        <v>1</v>
      </c>
      <c r="Y22" s="8">
        <f t="shared" si="2"/>
        <v>1</v>
      </c>
      <c r="Z22" s="8">
        <f t="shared" si="2"/>
        <v>0</v>
      </c>
      <c r="AA22" s="8">
        <f t="shared" si="2"/>
        <v>1</v>
      </c>
      <c r="AB22" s="8">
        <f t="shared" si="2"/>
        <v>1</v>
      </c>
      <c r="AC22" s="8">
        <f t="shared" si="2"/>
        <v>0</v>
      </c>
      <c r="AD22" s="8">
        <f t="shared" si="2"/>
        <v>0</v>
      </c>
      <c r="AE22" s="9">
        <f t="shared" si="2"/>
        <v>1</v>
      </c>
      <c r="AF22" s="53" t="s">
        <v>8</v>
      </c>
      <c r="AG22" s="49">
        <f>AVERAGE(K22:AE22)</f>
        <v>0.68421052631578949</v>
      </c>
    </row>
    <row r="23" spans="1:37" x14ac:dyDescent="0.2">
      <c r="I23" s="97" t="s">
        <v>9</v>
      </c>
      <c r="J23" s="98"/>
      <c r="K23" s="10"/>
      <c r="L23" s="6"/>
      <c r="M23" s="6"/>
      <c r="N23" s="6"/>
      <c r="O23" s="6"/>
      <c r="P23" s="6">
        <f>AVERAGE(M22:P22)</f>
        <v>0.75</v>
      </c>
      <c r="Q23" s="6">
        <f t="shared" ref="P23:AE23" si="3">AVERAGE(N22:Q22)</f>
        <v>0.5</v>
      </c>
      <c r="R23" s="6">
        <f t="shared" si="3"/>
        <v>0.25</v>
      </c>
      <c r="S23" s="6">
        <f t="shared" si="3"/>
        <v>0.25</v>
      </c>
      <c r="T23" s="6">
        <f t="shared" si="3"/>
        <v>0.5</v>
      </c>
      <c r="U23" s="6">
        <f t="shared" si="3"/>
        <v>0.75</v>
      </c>
      <c r="V23" s="6">
        <f t="shared" si="3"/>
        <v>1</v>
      </c>
      <c r="W23" s="6">
        <f t="shared" si="3"/>
        <v>1</v>
      </c>
      <c r="X23" s="6">
        <f t="shared" si="3"/>
        <v>1</v>
      </c>
      <c r="Y23" s="6">
        <f t="shared" si="3"/>
        <v>1</v>
      </c>
      <c r="Z23" s="6">
        <f t="shared" si="3"/>
        <v>0.75</v>
      </c>
      <c r="AA23" s="6">
        <f t="shared" si="3"/>
        <v>0.75</v>
      </c>
      <c r="AB23" s="6">
        <f t="shared" si="3"/>
        <v>0.75</v>
      </c>
      <c r="AC23" s="6">
        <f t="shared" si="3"/>
        <v>0.5</v>
      </c>
      <c r="AD23" s="6">
        <f>AVERAGE(AA22:AD22)</f>
        <v>0.5</v>
      </c>
      <c r="AE23" s="11">
        <f t="shared" si="3"/>
        <v>0.5</v>
      </c>
      <c r="AF23" s="48" t="s">
        <v>10</v>
      </c>
      <c r="AG23" s="49">
        <f>AVERAGE(N23:AE23)</f>
        <v>0.671875</v>
      </c>
    </row>
    <row r="24" spans="1:37" x14ac:dyDescent="0.2">
      <c r="I24" s="133" t="s">
        <v>11</v>
      </c>
      <c r="J24" s="134"/>
      <c r="K24" s="54"/>
      <c r="L24" s="19"/>
      <c r="M24" s="19">
        <f t="shared" ref="K24:AE24" si="4">M17/M21-1</f>
        <v>2.0040080160321772E-3</v>
      </c>
      <c r="N24" s="19">
        <f t="shared" si="4"/>
        <v>2.1568627450980316E-2</v>
      </c>
      <c r="O24" s="19">
        <f t="shared" si="4"/>
        <v>1.9267822736030782E-2</v>
      </c>
      <c r="P24" s="19">
        <f>P17/P21-1</f>
        <v>-6.7542213883677205E-2</v>
      </c>
      <c r="Q24" s="19">
        <f t="shared" si="4"/>
        <v>-2.5925925925925908E-2</v>
      </c>
      <c r="R24" s="19">
        <f t="shared" si="4"/>
        <v>-9.0579710144927938E-3</v>
      </c>
      <c r="S24" s="19">
        <f t="shared" si="4"/>
        <v>0.62535211267605639</v>
      </c>
      <c r="T24" s="19">
        <f t="shared" si="4"/>
        <v>0.62426035502958599</v>
      </c>
      <c r="U24" s="19">
        <f t="shared" si="4"/>
        <v>7.5229357798165086E-2</v>
      </c>
      <c r="V24" s="19">
        <f t="shared" si="4"/>
        <v>6.4685314685314577E-2</v>
      </c>
      <c r="W24" s="19">
        <f t="shared" si="4"/>
        <v>7.8817733990147909E-2</v>
      </c>
      <c r="X24" s="19">
        <f t="shared" si="4"/>
        <v>5.4888507718696466E-2</v>
      </c>
      <c r="Y24" s="19">
        <f t="shared" si="4"/>
        <v>1.5174506828528056E-3</v>
      </c>
      <c r="Z24" s="19">
        <f t="shared" si="4"/>
        <v>-0.12368024132730004</v>
      </c>
      <c r="AA24" s="19">
        <f t="shared" si="4"/>
        <v>9.1644204851752065E-2</v>
      </c>
      <c r="AB24" s="19">
        <f t="shared" si="4"/>
        <v>8.0882352941176405E-2</v>
      </c>
      <c r="AC24" s="19">
        <f t="shared" si="4"/>
        <v>-2.8257456828885474E-2</v>
      </c>
      <c r="AD24" s="19">
        <f t="shared" si="4"/>
        <v>-8.3194675540765317E-3</v>
      </c>
      <c r="AE24" s="47">
        <f t="shared" si="4"/>
        <v>3.3794162826420893E-2</v>
      </c>
      <c r="AF24" s="48" t="s">
        <v>13</v>
      </c>
      <c r="AG24" s="50">
        <f>MEDIAN(K24:AE24)</f>
        <v>2.1568627450980316E-2</v>
      </c>
    </row>
    <row r="25" spans="1:37" x14ac:dyDescent="0.2">
      <c r="I25" s="97" t="s">
        <v>12</v>
      </c>
      <c r="J25" s="98"/>
      <c r="K25" s="12"/>
      <c r="L25" s="13"/>
      <c r="M25" s="13"/>
      <c r="N25" s="37"/>
      <c r="O25" s="37"/>
      <c r="P25" s="37">
        <f>AVERAGE(M24:P24)</f>
        <v>-6.1754389201584825E-3</v>
      </c>
      <c r="Q25" s="37">
        <f t="shared" ref="Q25:AE25" si="5">AVERAGE(N24:Q24)</f>
        <v>-1.3157922405648004E-2</v>
      </c>
      <c r="R25" s="37">
        <f t="shared" si="5"/>
        <v>-2.0814572022016281E-2</v>
      </c>
      <c r="S25" s="37">
        <f t="shared" si="5"/>
        <v>0.13070650046299012</v>
      </c>
      <c r="T25" s="37">
        <f t="shared" si="5"/>
        <v>0.30365714269130595</v>
      </c>
      <c r="U25" s="37">
        <f t="shared" si="5"/>
        <v>0.32894596362232864</v>
      </c>
      <c r="V25" s="37">
        <f t="shared" si="5"/>
        <v>0.34738178504728051</v>
      </c>
      <c r="W25" s="37">
        <f t="shared" si="5"/>
        <v>0.21074819037580339</v>
      </c>
      <c r="X25" s="37">
        <f t="shared" si="5"/>
        <v>6.840522854808101E-2</v>
      </c>
      <c r="Y25" s="37">
        <f t="shared" si="5"/>
        <v>4.9977251769252939E-2</v>
      </c>
      <c r="Z25" s="37">
        <f t="shared" si="5"/>
        <v>2.8858627660992842E-3</v>
      </c>
      <c r="AA25" s="37">
        <f t="shared" si="5"/>
        <v>6.0924804815003231E-3</v>
      </c>
      <c r="AB25" s="37">
        <f t="shared" si="5"/>
        <v>1.2590941787120308E-2</v>
      </c>
      <c r="AC25" s="37">
        <f t="shared" si="5"/>
        <v>5.1472149091857378E-3</v>
      </c>
      <c r="AD25" s="37">
        <f t="shared" si="5"/>
        <v>3.3987408352491616E-2</v>
      </c>
      <c r="AE25" s="38">
        <f t="shared" si="5"/>
        <v>1.9524897846158823E-2</v>
      </c>
      <c r="AF25" s="20" t="s">
        <v>14</v>
      </c>
      <c r="AG25" s="38">
        <f>MEDIAN(M25:AE25)</f>
        <v>2.6756153099325219E-2</v>
      </c>
    </row>
    <row r="26" spans="1:37" x14ac:dyDescent="0.2">
      <c r="I26" s="129" t="s">
        <v>25</v>
      </c>
      <c r="J26" s="130"/>
      <c r="K26" s="86">
        <f>AVERAGE(M24:O24,S24:Y24,AA24:AB24,AE24)</f>
        <v>0.13645477010793938</v>
      </c>
      <c r="L26" s="129" t="s">
        <v>29</v>
      </c>
      <c r="M26" s="130"/>
      <c r="N26" s="55">
        <f>MEDIAN(M24:O24,S24:Y24,AA24:AB24,AE24)</f>
        <v>6.4685314685314577E-2</v>
      </c>
      <c r="AC26" s="101" t="s">
        <v>23</v>
      </c>
      <c r="AD26" s="102"/>
      <c r="AE26" s="102"/>
      <c r="AF26" s="103"/>
      <c r="AG26" s="51">
        <f>AVERAGE(AC19:AF19)</f>
        <v>0.93113188397478486</v>
      </c>
    </row>
    <row r="27" spans="1:37" x14ac:dyDescent="0.2">
      <c r="I27" s="131" t="s">
        <v>26</v>
      </c>
      <c r="J27" s="132"/>
      <c r="K27" s="38">
        <f>AVERAGE(P24:R24,Z24,AC24,AD24)</f>
        <v>-4.3797212755726324E-2</v>
      </c>
      <c r="L27" s="131" t="s">
        <v>30</v>
      </c>
      <c r="M27" s="132"/>
      <c r="N27" s="38">
        <f>MEDIAN(P24:R24,Z24,AC24,AD24)</f>
        <v>-2.7091691377405691E-2</v>
      </c>
      <c r="AC27" s="104" t="s">
        <v>27</v>
      </c>
      <c r="AD27" s="105"/>
      <c r="AE27" s="105"/>
      <c r="AF27" s="105"/>
      <c r="AG27" s="55">
        <f>AVERAGE(T20,X20,AF20,P20)</f>
        <v>0.23246077866113504</v>
      </c>
      <c r="AH27" s="99"/>
      <c r="AI27" s="100"/>
      <c r="AJ27" s="100"/>
      <c r="AK27" s="100"/>
    </row>
    <row r="28" spans="1:37" x14ac:dyDescent="0.2">
      <c r="AC28" s="106" t="s">
        <v>28</v>
      </c>
      <c r="AD28" s="107"/>
      <c r="AE28" s="107"/>
      <c r="AF28" s="107"/>
      <c r="AG28" s="56">
        <f>_xlfn.STDEV.S(D20,H20,L20,P20,AF20,X20)</f>
        <v>3.321949130956748E-2</v>
      </c>
      <c r="AH28" s="99"/>
      <c r="AI28" s="100"/>
      <c r="AJ28" s="100"/>
      <c r="AK28" s="100"/>
    </row>
    <row r="29" spans="1:37" ht="18" customHeight="1" x14ac:dyDescent="0.2"/>
  </sheetData>
  <mergeCells count="30">
    <mergeCell ref="AH13:AK13"/>
    <mergeCell ref="L26:M26"/>
    <mergeCell ref="L27:M27"/>
    <mergeCell ref="I24:J24"/>
    <mergeCell ref="B13:E13"/>
    <mergeCell ref="F13:I13"/>
    <mergeCell ref="J13:M13"/>
    <mergeCell ref="N13:Q13"/>
    <mergeCell ref="V13:Y13"/>
    <mergeCell ref="Z13:AC13"/>
    <mergeCell ref="AD13:AG13"/>
    <mergeCell ref="I22:J22"/>
    <mergeCell ref="I23:J23"/>
    <mergeCell ref="R13:U13"/>
    <mergeCell ref="I26:J26"/>
    <mergeCell ref="I27:J27"/>
    <mergeCell ref="D12:E12"/>
    <mergeCell ref="AC12:AE12"/>
    <mergeCell ref="A1:C3"/>
    <mergeCell ref="F1:G1"/>
    <mergeCell ref="K1:L1"/>
    <mergeCell ref="K2:L2"/>
    <mergeCell ref="K3:L3"/>
    <mergeCell ref="K4:L4"/>
    <mergeCell ref="I25:J25"/>
    <mergeCell ref="AH27:AK27"/>
    <mergeCell ref="AH28:AK28"/>
    <mergeCell ref="AC26:AF26"/>
    <mergeCell ref="AC27:AF27"/>
    <mergeCell ref="AC28:AF28"/>
  </mergeCells>
  <conditionalFormatting sqref="K22:AE22 AG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:AE23 AG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AE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5:AE2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G24:AG2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2:AG2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2:AG23 AG2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K24:AE24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N25:AE25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AG24:AG25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 AG26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S48"/>
  <sheetViews>
    <sheetView zoomScale="85" zoomScaleNormal="85" workbookViewId="0">
      <selection activeCell="H38" sqref="H38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5703125" bestFit="1" customWidth="1"/>
    <col min="8" max="8" width="19.7109375" bestFit="1" customWidth="1"/>
    <col min="9" max="9" width="13.5703125" bestFit="1" customWidth="1"/>
    <col min="10" max="10" width="10.710937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19" x14ac:dyDescent="0.2">
      <c r="A1" t="s">
        <v>80</v>
      </c>
      <c r="B1" t="s">
        <v>81</v>
      </c>
    </row>
    <row r="4" spans="1:19" x14ac:dyDescent="0.2">
      <c r="A4" s="150" t="s">
        <v>76</v>
      </c>
      <c r="B4" s="150"/>
    </row>
    <row r="5" spans="1:19" x14ac:dyDescent="0.2">
      <c r="A5" s="18" t="s">
        <v>57</v>
      </c>
      <c r="B5" s="18" t="s">
        <v>58</v>
      </c>
      <c r="C5" s="18" t="s">
        <v>69</v>
      </c>
      <c r="D5" s="18" t="s">
        <v>59</v>
      </c>
      <c r="E5" s="18" t="s">
        <v>60</v>
      </c>
      <c r="F5" s="18" t="s">
        <v>70</v>
      </c>
      <c r="G5" s="18" t="s">
        <v>61</v>
      </c>
      <c r="H5" s="18" t="s">
        <v>62</v>
      </c>
      <c r="I5" s="18" t="s">
        <v>71</v>
      </c>
      <c r="J5" s="18" t="s">
        <v>63</v>
      </c>
      <c r="K5" s="18" t="s">
        <v>64</v>
      </c>
      <c r="L5" s="18" t="s">
        <v>74</v>
      </c>
      <c r="M5" s="18" t="s">
        <v>65</v>
      </c>
      <c r="N5" s="18" t="s">
        <v>66</v>
      </c>
      <c r="O5" s="18" t="s">
        <v>75</v>
      </c>
      <c r="P5" s="18" t="s">
        <v>67</v>
      </c>
      <c r="Q5" s="18" t="s">
        <v>68</v>
      </c>
      <c r="R5" s="18" t="s">
        <v>0</v>
      </c>
      <c r="S5" s="18" t="s">
        <v>73</v>
      </c>
    </row>
    <row r="6" spans="1:19" x14ac:dyDescent="0.2">
      <c r="A6" t="s">
        <v>178</v>
      </c>
      <c r="B6" t="s">
        <v>179</v>
      </c>
      <c r="C6" t="s">
        <v>180</v>
      </c>
      <c r="D6">
        <v>20170727</v>
      </c>
      <c r="E6" s="75">
        <v>61.121103734999998</v>
      </c>
      <c r="F6" s="75">
        <v>61.428540444523577</v>
      </c>
      <c r="G6" s="75"/>
      <c r="H6" s="75">
        <v>53.305366999999997</v>
      </c>
      <c r="I6" s="75">
        <v>41.133108</v>
      </c>
      <c r="J6" s="75">
        <v>58.618337059841188</v>
      </c>
      <c r="R6">
        <v>51.9</v>
      </c>
      <c r="S6" s="6">
        <v>52.9</v>
      </c>
    </row>
    <row r="7" spans="1:19" x14ac:dyDescent="0.2">
      <c r="A7" t="s">
        <v>178</v>
      </c>
      <c r="B7" t="s">
        <v>179</v>
      </c>
      <c r="C7" t="s">
        <v>181</v>
      </c>
      <c r="D7">
        <v>20171019</v>
      </c>
      <c r="E7" s="75">
        <v>49.071810923000001</v>
      </c>
      <c r="F7" s="75">
        <v>48.140851612413158</v>
      </c>
      <c r="G7" s="75"/>
      <c r="H7" s="75">
        <v>49.877791000000002</v>
      </c>
      <c r="I7" s="75">
        <v>36.327337999999997</v>
      </c>
      <c r="J7" s="75">
        <v>49.030151178471051</v>
      </c>
      <c r="K7">
        <f>(E7/E6)*$S$6</f>
        <v>42.471399225406998</v>
      </c>
      <c r="L7">
        <f t="shared" ref="L7:P7" si="0">(F7/F6)*$S$6</f>
        <v>41.45713103173189</v>
      </c>
      <c r="N7">
        <f t="shared" si="0"/>
        <v>49.498489409143367</v>
      </c>
      <c r="O7">
        <f t="shared" si="0"/>
        <v>46.719449942853821</v>
      </c>
      <c r="P7">
        <f t="shared" si="0"/>
        <v>44.247160998329171</v>
      </c>
      <c r="Q7">
        <f>AVERAGE(K7:P7)</f>
        <v>44.878726121493052</v>
      </c>
      <c r="R7">
        <v>53.3</v>
      </c>
      <c r="S7" s="6">
        <v>49.7</v>
      </c>
    </row>
    <row r="8" spans="1:19" x14ac:dyDescent="0.2">
      <c r="A8" t="s">
        <v>178</v>
      </c>
      <c r="B8" t="s">
        <v>179</v>
      </c>
      <c r="C8" s="6" t="s">
        <v>42</v>
      </c>
      <c r="D8" s="6">
        <v>20180301</v>
      </c>
      <c r="E8" s="163">
        <v>64.589633000000006</v>
      </c>
      <c r="F8" s="163">
        <v>63.170811999999998</v>
      </c>
      <c r="G8" s="163"/>
      <c r="H8" s="163">
        <v>51.862488999999997</v>
      </c>
      <c r="I8" s="163">
        <v>37.225160000000002</v>
      </c>
      <c r="J8" s="163">
        <v>59.874311333333331</v>
      </c>
      <c r="K8">
        <f t="shared" ref="K8:K23" si="1">(E8/E7)*$S$6</f>
        <v>69.628398085030668</v>
      </c>
      <c r="L8">
        <f t="shared" ref="L8:L23" si="2">(F8/F7)*$S$6</f>
        <v>69.415804724533174</v>
      </c>
      <c r="N8">
        <f t="shared" ref="N8:N23" si="3">(H8/H7)*$S$6</f>
        <v>55.004955373825588</v>
      </c>
      <c r="O8">
        <f t="shared" ref="O8:O23" si="4">(I8/I7)*$S$6</f>
        <v>54.207411619315465</v>
      </c>
      <c r="P8">
        <f t="shared" ref="P8:P23" si="5">(J8/J7)*$S$6</f>
        <v>64.600067374952417</v>
      </c>
      <c r="Q8">
        <f t="shared" ref="Q8:Q23" si="6">AVERAGE(K8:P8)</f>
        <v>62.571327435531465</v>
      </c>
      <c r="R8">
        <v>54</v>
      </c>
      <c r="S8" s="6">
        <v>52.6</v>
      </c>
    </row>
    <row r="9" spans="1:19" x14ac:dyDescent="0.2">
      <c r="A9" t="s">
        <v>178</v>
      </c>
      <c r="B9" t="s">
        <v>179</v>
      </c>
      <c r="C9" s="6" t="s">
        <v>43</v>
      </c>
      <c r="D9" s="6">
        <v>20180426</v>
      </c>
      <c r="E9" s="163">
        <v>60.837805000000003</v>
      </c>
      <c r="F9" s="163">
        <v>62.761876999999998</v>
      </c>
      <c r="G9" s="163"/>
      <c r="H9" s="163">
        <v>55.498578000000002</v>
      </c>
      <c r="I9" s="163">
        <v>39.440007000000001</v>
      </c>
      <c r="J9" s="163">
        <v>59.699420000000003</v>
      </c>
      <c r="K9">
        <f t="shared" si="1"/>
        <v>49.8271895197175</v>
      </c>
      <c r="L9">
        <f t="shared" si="2"/>
        <v>52.557552898006122</v>
      </c>
      <c r="N9">
        <f t="shared" si="3"/>
        <v>56.608829094184053</v>
      </c>
      <c r="O9">
        <f t="shared" si="4"/>
        <v>56.047478917484838</v>
      </c>
      <c r="P9">
        <f t="shared" si="5"/>
        <v>52.745480451844756</v>
      </c>
      <c r="Q9">
        <f t="shared" si="6"/>
        <v>53.557306176247451</v>
      </c>
      <c r="R9">
        <v>55.2</v>
      </c>
      <c r="S9" s="10">
        <v>54.7</v>
      </c>
    </row>
    <row r="10" spans="1:19" x14ac:dyDescent="0.2">
      <c r="A10" t="s">
        <v>178</v>
      </c>
      <c r="B10" t="s">
        <v>179</v>
      </c>
      <c r="C10" s="6" t="s">
        <v>44</v>
      </c>
      <c r="D10" s="6">
        <v>20180719</v>
      </c>
      <c r="E10" s="163">
        <v>55.016041999999999</v>
      </c>
      <c r="F10" s="163">
        <v>56.041330000000002</v>
      </c>
      <c r="G10" s="163"/>
      <c r="H10" s="163">
        <v>54.298037000000001</v>
      </c>
      <c r="I10" s="163">
        <v>39.406233999999998</v>
      </c>
      <c r="J10" s="163">
        <v>55.11846966666667</v>
      </c>
      <c r="K10">
        <f t="shared" si="1"/>
        <v>47.837830799451091</v>
      </c>
      <c r="L10">
        <f t="shared" si="2"/>
        <v>47.235463607947864</v>
      </c>
      <c r="N10">
        <f t="shared" si="3"/>
        <v>51.755671240801881</v>
      </c>
      <c r="O10">
        <f t="shared" si="4"/>
        <v>52.854701029845145</v>
      </c>
      <c r="P10">
        <f t="shared" si="5"/>
        <v>48.840793518038645</v>
      </c>
      <c r="Q10">
        <f t="shared" si="6"/>
        <v>49.704892039216929</v>
      </c>
      <c r="R10">
        <v>35.5</v>
      </c>
      <c r="S10" s="6">
        <v>57.7</v>
      </c>
    </row>
    <row r="11" spans="1:19" x14ac:dyDescent="0.2">
      <c r="A11" t="s">
        <v>178</v>
      </c>
      <c r="B11" t="s">
        <v>179</v>
      </c>
      <c r="C11" s="6" t="s">
        <v>45</v>
      </c>
      <c r="D11" s="6">
        <v>20181025</v>
      </c>
      <c r="E11" s="163">
        <v>63.137852596000002</v>
      </c>
      <c r="F11" s="163">
        <v>62.564218556999599</v>
      </c>
      <c r="G11" s="163"/>
      <c r="H11" s="163">
        <v>57.529834000000001</v>
      </c>
      <c r="I11" s="163">
        <v>38.74071</v>
      </c>
      <c r="J11" s="163">
        <v>61.077301717666529</v>
      </c>
      <c r="K11">
        <f t="shared" si="1"/>
        <v>60.709427303556296</v>
      </c>
      <c r="L11">
        <f t="shared" si="2"/>
        <v>59.057255808619786</v>
      </c>
      <c r="N11">
        <f t="shared" si="3"/>
        <v>56.048586408381574</v>
      </c>
      <c r="O11">
        <f t="shared" si="4"/>
        <v>52.006582486415731</v>
      </c>
      <c r="P11">
        <f t="shared" si="5"/>
        <v>58.618994329926494</v>
      </c>
      <c r="Q11">
        <f t="shared" si="6"/>
        <v>57.288169267379978</v>
      </c>
      <c r="R11">
        <v>33.799999999999997</v>
      </c>
      <c r="S11" s="6">
        <v>54.9</v>
      </c>
    </row>
    <row r="12" spans="1:19" x14ac:dyDescent="0.2">
      <c r="A12" t="s">
        <v>178</v>
      </c>
      <c r="B12" t="s">
        <v>179</v>
      </c>
      <c r="C12" s="6" t="s">
        <v>46</v>
      </c>
      <c r="D12" s="6">
        <v>20190124</v>
      </c>
      <c r="E12" s="163">
        <v>58.685457</v>
      </c>
      <c r="F12" s="163">
        <v>56.964281999999997</v>
      </c>
      <c r="G12" s="163"/>
      <c r="H12" s="163">
        <v>56.788314999999997</v>
      </c>
      <c r="I12" s="163">
        <v>39.156061999999999</v>
      </c>
      <c r="J12" s="163">
        <v>57.479351333333334</v>
      </c>
      <c r="K12">
        <f t="shared" si="1"/>
        <v>49.16956386154758</v>
      </c>
      <c r="L12">
        <f t="shared" si="2"/>
        <v>48.165078815051608</v>
      </c>
      <c r="N12">
        <f t="shared" si="3"/>
        <v>52.21815629608804</v>
      </c>
      <c r="O12">
        <f t="shared" si="4"/>
        <v>53.467158443921129</v>
      </c>
      <c r="P12">
        <f t="shared" si="5"/>
        <v>49.783759269342887</v>
      </c>
      <c r="Q12">
        <f t="shared" si="6"/>
        <v>50.560743337190253</v>
      </c>
      <c r="R12">
        <v>54.5</v>
      </c>
      <c r="S12" s="6">
        <v>58.6</v>
      </c>
    </row>
    <row r="13" spans="1:19" x14ac:dyDescent="0.2">
      <c r="A13" t="s">
        <v>178</v>
      </c>
      <c r="B13" t="s">
        <v>179</v>
      </c>
      <c r="C13" s="6" t="s">
        <v>47</v>
      </c>
      <c r="D13" s="6">
        <v>20190425</v>
      </c>
      <c r="E13" s="163">
        <v>68.282719999999998</v>
      </c>
      <c r="F13" s="163">
        <v>67.511488378311341</v>
      </c>
      <c r="G13" s="163"/>
      <c r="H13" s="163">
        <v>62.296040843999997</v>
      </c>
      <c r="I13" s="163">
        <v>44.777212024091092</v>
      </c>
      <c r="J13" s="163">
        <v>66.030083074103786</v>
      </c>
      <c r="K13">
        <f t="shared" si="1"/>
        <v>61.551124804225338</v>
      </c>
      <c r="L13">
        <f t="shared" si="2"/>
        <v>62.694685333042024</v>
      </c>
      <c r="N13">
        <f t="shared" si="3"/>
        <v>58.030610005730928</v>
      </c>
      <c r="O13">
        <f t="shared" si="4"/>
        <v>60.494196685928699</v>
      </c>
      <c r="P13">
        <f t="shared" si="5"/>
        <v>60.769499195695346</v>
      </c>
      <c r="Q13">
        <f t="shared" si="6"/>
        <v>60.708023204924459</v>
      </c>
      <c r="R13">
        <v>57.2</v>
      </c>
      <c r="S13" s="10">
        <v>60.9</v>
      </c>
    </row>
    <row r="14" spans="1:19" x14ac:dyDescent="0.2">
      <c r="A14" t="s">
        <v>178</v>
      </c>
      <c r="B14" t="s">
        <v>179</v>
      </c>
      <c r="C14" s="6" t="s">
        <v>48</v>
      </c>
      <c r="D14" s="6">
        <v>20190801</v>
      </c>
      <c r="E14" s="163">
        <v>66.803741369999997</v>
      </c>
      <c r="F14" s="163">
        <v>66.383174690000004</v>
      </c>
      <c r="G14" s="163"/>
      <c r="H14" s="163">
        <v>63.665699553000003</v>
      </c>
      <c r="I14" s="163">
        <v>45.883742117179153</v>
      </c>
      <c r="J14" s="163">
        <v>65.617538537666661</v>
      </c>
      <c r="K14">
        <f t="shared" si="1"/>
        <v>51.754205434010245</v>
      </c>
      <c r="L14">
        <f t="shared" si="2"/>
        <v>52.015886857993713</v>
      </c>
      <c r="N14">
        <f t="shared" si="3"/>
        <v>54.063074646871058</v>
      </c>
      <c r="O14">
        <f t="shared" si="4"/>
        <v>54.207259636729177</v>
      </c>
      <c r="P14">
        <f t="shared" si="5"/>
        <v>52.569489951223716</v>
      </c>
      <c r="Q14">
        <f t="shared" si="6"/>
        <v>52.921983305365586</v>
      </c>
      <c r="R14">
        <v>60.9</v>
      </c>
      <c r="S14" s="6">
        <v>65.7</v>
      </c>
    </row>
    <row r="15" spans="1:19" x14ac:dyDescent="0.2">
      <c r="A15" t="s">
        <v>178</v>
      </c>
      <c r="B15" t="s">
        <v>179</v>
      </c>
      <c r="C15" s="6" t="s">
        <v>49</v>
      </c>
      <c r="D15" s="6">
        <v>20191024</v>
      </c>
      <c r="E15" s="163">
        <v>63.935889248000002</v>
      </c>
      <c r="F15" s="163">
        <v>64.919169112785838</v>
      </c>
      <c r="G15" s="163"/>
      <c r="H15" s="163">
        <v>60.797599841999997</v>
      </c>
      <c r="I15" s="163">
        <v>42.782513037068938</v>
      </c>
      <c r="J15" s="163">
        <v>63.21755273426195</v>
      </c>
      <c r="K15">
        <f t="shared" si="1"/>
        <v>50.629028731885832</v>
      </c>
      <c r="L15">
        <f t="shared" si="2"/>
        <v>51.733350538049876</v>
      </c>
      <c r="N15">
        <f t="shared" si="3"/>
        <v>50.516888280861572</v>
      </c>
      <c r="O15">
        <f t="shared" si="4"/>
        <v>49.324550161604904</v>
      </c>
      <c r="P15">
        <f t="shared" si="5"/>
        <v>50.96516288435248</v>
      </c>
      <c r="Q15">
        <f t="shared" si="6"/>
        <v>50.633796119350926</v>
      </c>
      <c r="R15">
        <v>58.3</v>
      </c>
      <c r="S15" s="6">
        <v>61.5</v>
      </c>
    </row>
    <row r="16" spans="1:19" x14ac:dyDescent="0.2">
      <c r="A16" t="s">
        <v>178</v>
      </c>
      <c r="B16" t="s">
        <v>179</v>
      </c>
      <c r="C16" s="6" t="s">
        <v>50</v>
      </c>
      <c r="D16" s="6">
        <v>20200130</v>
      </c>
      <c r="E16" s="163">
        <v>66.593440430000001</v>
      </c>
      <c r="F16" s="163">
        <v>65.941291490856301</v>
      </c>
      <c r="G16" s="163"/>
      <c r="H16" s="163">
        <v>65.216826456999996</v>
      </c>
      <c r="I16" s="163">
        <v>44.459784794212247</v>
      </c>
      <c r="J16" s="163">
        <v>65.917186125952099</v>
      </c>
      <c r="K16">
        <f t="shared" si="1"/>
        <v>55.098834788744213</v>
      </c>
      <c r="L16">
        <f t="shared" si="2"/>
        <v>53.73288610342486</v>
      </c>
      <c r="N16">
        <f t="shared" si="3"/>
        <v>56.745169686649419</v>
      </c>
      <c r="O16">
        <f t="shared" si="4"/>
        <v>54.973923892128617</v>
      </c>
      <c r="P16">
        <f t="shared" si="5"/>
        <v>55.159034085370564</v>
      </c>
      <c r="Q16">
        <f t="shared" si="6"/>
        <v>55.141969711263542</v>
      </c>
      <c r="R16">
        <v>65.900000000000006</v>
      </c>
      <c r="S16" s="6">
        <v>66</v>
      </c>
    </row>
    <row r="17" spans="1:19" x14ac:dyDescent="0.2">
      <c r="A17" t="s">
        <v>178</v>
      </c>
      <c r="B17" t="s">
        <v>179</v>
      </c>
      <c r="C17" s="6" t="s">
        <v>51</v>
      </c>
      <c r="D17" s="6">
        <v>20200430</v>
      </c>
      <c r="E17" s="163">
        <v>62.401513362000003</v>
      </c>
      <c r="F17" s="163">
        <v>62.269913851418352</v>
      </c>
      <c r="G17" s="163"/>
      <c r="H17" s="163">
        <v>61.167992343999998</v>
      </c>
      <c r="I17" s="163">
        <v>43.386762469015238</v>
      </c>
      <c r="J17" s="163">
        <v>61.94647318580612</v>
      </c>
      <c r="K17">
        <f t="shared" si="1"/>
        <v>49.570048274044403</v>
      </c>
      <c r="L17">
        <f t="shared" si="2"/>
        <v>49.954715296966874</v>
      </c>
      <c r="N17">
        <f t="shared" si="3"/>
        <v>49.615827245612458</v>
      </c>
      <c r="O17">
        <f t="shared" si="4"/>
        <v>51.623275848822573</v>
      </c>
      <c r="P17">
        <f t="shared" si="5"/>
        <v>49.713415030605745</v>
      </c>
      <c r="Q17">
        <f t="shared" si="6"/>
        <v>50.095456339210408</v>
      </c>
      <c r="R17">
        <v>66.3</v>
      </c>
      <c r="S17" s="10">
        <v>58.1</v>
      </c>
    </row>
    <row r="18" spans="1:19" x14ac:dyDescent="0.2">
      <c r="A18" t="s">
        <v>178</v>
      </c>
      <c r="B18" t="s">
        <v>179</v>
      </c>
      <c r="C18" s="6" t="s">
        <v>52</v>
      </c>
      <c r="D18" s="6">
        <v>20200730</v>
      </c>
      <c r="E18" s="163">
        <v>46.504939985999997</v>
      </c>
      <c r="F18" s="163">
        <v>46.409437918892102</v>
      </c>
      <c r="G18" s="163"/>
      <c r="H18" s="163">
        <v>44.093329347000001</v>
      </c>
      <c r="I18" s="163">
        <v>31.799873555024259</v>
      </c>
      <c r="J18" s="163">
        <v>45.669235750630698</v>
      </c>
      <c r="K18">
        <f t="shared" si="1"/>
        <v>39.423904849678024</v>
      </c>
      <c r="L18">
        <f t="shared" si="2"/>
        <v>39.426090612031132</v>
      </c>
      <c r="N18">
        <f t="shared" si="3"/>
        <v>38.133295422521741</v>
      </c>
      <c r="O18">
        <f t="shared" si="4"/>
        <v>38.772501457377466</v>
      </c>
      <c r="P18">
        <f t="shared" si="5"/>
        <v>38.999840458422142</v>
      </c>
      <c r="Q18">
        <f t="shared" si="6"/>
        <v>38.951126560006102</v>
      </c>
      <c r="R18">
        <v>37.1</v>
      </c>
      <c r="S18" s="6">
        <v>40.5</v>
      </c>
    </row>
    <row r="19" spans="1:19" x14ac:dyDescent="0.2">
      <c r="A19" t="s">
        <v>178</v>
      </c>
      <c r="B19" t="s">
        <v>179</v>
      </c>
      <c r="C19" s="6" t="s">
        <v>53</v>
      </c>
      <c r="D19" s="6">
        <v>20201029</v>
      </c>
      <c r="E19" s="163">
        <v>54.497291535999999</v>
      </c>
      <c r="F19" s="163">
        <v>56.418436132577632</v>
      </c>
      <c r="G19" s="163"/>
      <c r="H19" s="163">
        <v>51.948580198000002</v>
      </c>
      <c r="I19" s="163">
        <v>39.86473301559225</v>
      </c>
      <c r="J19" s="163">
        <v>54.288102622192547</v>
      </c>
      <c r="K19">
        <f t="shared" si="1"/>
        <v>61.991408291727282</v>
      </c>
      <c r="L19">
        <f t="shared" si="2"/>
        <v>64.308800219242229</v>
      </c>
      <c r="N19">
        <f t="shared" si="3"/>
        <v>62.324164066807363</v>
      </c>
      <c r="O19">
        <f t="shared" si="4"/>
        <v>66.316124586968385</v>
      </c>
      <c r="P19">
        <f t="shared" si="5"/>
        <v>62.883483410915744</v>
      </c>
      <c r="Q19">
        <f t="shared" si="6"/>
        <v>63.564796115132211</v>
      </c>
      <c r="R19">
        <v>54.4</v>
      </c>
      <c r="S19" s="6">
        <v>58.8</v>
      </c>
    </row>
    <row r="20" spans="1:19" x14ac:dyDescent="0.2">
      <c r="A20" t="s">
        <v>178</v>
      </c>
      <c r="B20" t="s">
        <v>179</v>
      </c>
      <c r="C20" s="6" t="s">
        <v>54</v>
      </c>
      <c r="D20" s="6">
        <v>20210128</v>
      </c>
      <c r="E20" s="163">
        <v>59.903661188999997</v>
      </c>
      <c r="F20" s="163">
        <v>59.525764123495087</v>
      </c>
      <c r="G20" s="163"/>
      <c r="H20" s="163">
        <v>56.958576520000001</v>
      </c>
      <c r="I20" s="163">
        <v>40.508753164666977</v>
      </c>
      <c r="J20" s="163">
        <v>58.796000610831697</v>
      </c>
      <c r="K20">
        <f t="shared" si="1"/>
        <v>58.147911347204754</v>
      </c>
      <c r="L20">
        <f t="shared" si="2"/>
        <v>55.813544968408237</v>
      </c>
      <c r="N20">
        <f t="shared" si="3"/>
        <v>58.001752625839877</v>
      </c>
      <c r="O20">
        <f t="shared" si="4"/>
        <v>53.754606648757125</v>
      </c>
      <c r="P20">
        <f t="shared" si="5"/>
        <v>57.292634704118896</v>
      </c>
      <c r="Q20">
        <f t="shared" si="6"/>
        <v>56.602090058865784</v>
      </c>
      <c r="R20">
        <v>63.7</v>
      </c>
      <c r="S20" s="6">
        <v>61.9</v>
      </c>
    </row>
    <row r="21" spans="1:19" x14ac:dyDescent="0.2">
      <c r="A21" t="s">
        <v>178</v>
      </c>
      <c r="B21" t="s">
        <v>179</v>
      </c>
      <c r="C21" s="6" t="s">
        <v>55</v>
      </c>
      <c r="D21" s="6">
        <v>20210429</v>
      </c>
      <c r="E21" s="163">
        <v>62.283256668999996</v>
      </c>
      <c r="F21" s="163">
        <v>60.98638887598996</v>
      </c>
      <c r="G21" s="163"/>
      <c r="H21" s="163">
        <v>60.099190710000002</v>
      </c>
      <c r="I21" s="163">
        <v>40.563623143237471</v>
      </c>
      <c r="J21" s="163">
        <v>61.122945418329984</v>
      </c>
      <c r="K21">
        <f t="shared" si="1"/>
        <v>55.001384095620438</v>
      </c>
      <c r="L21">
        <f t="shared" si="2"/>
        <v>54.198043805816198</v>
      </c>
      <c r="N21">
        <f t="shared" si="3"/>
        <v>55.816830103587002</v>
      </c>
      <c r="O21">
        <f t="shared" si="4"/>
        <v>52.971654189270645</v>
      </c>
      <c r="P21">
        <f t="shared" si="5"/>
        <v>54.993601249027506</v>
      </c>
      <c r="Q21">
        <f t="shared" si="6"/>
        <v>54.596302688664352</v>
      </c>
      <c r="R21">
        <v>60.1</v>
      </c>
      <c r="S21" s="10">
        <v>59.6</v>
      </c>
    </row>
    <row r="22" spans="1:19" x14ac:dyDescent="0.2">
      <c r="A22" t="s">
        <v>178</v>
      </c>
      <c r="B22" t="s">
        <v>179</v>
      </c>
      <c r="C22" s="6" t="s">
        <v>56</v>
      </c>
      <c r="D22" s="6">
        <v>20210729</v>
      </c>
      <c r="E22" s="163">
        <v>68.816937086999999</v>
      </c>
      <c r="F22" s="163">
        <v>66.879160503976351</v>
      </c>
      <c r="G22" s="163"/>
      <c r="H22" s="163">
        <v>65.446970355999994</v>
      </c>
      <c r="I22" s="163">
        <v>42.626606629089082</v>
      </c>
      <c r="J22" s="163">
        <v>67.047689315658801</v>
      </c>
      <c r="K22">
        <f t="shared" si="1"/>
        <v>58.449351665232207</v>
      </c>
      <c r="L22">
        <f t="shared" si="2"/>
        <v>58.011429367532294</v>
      </c>
      <c r="N22">
        <f t="shared" si="3"/>
        <v>57.607177250330714</v>
      </c>
      <c r="O22">
        <f t="shared" si="4"/>
        <v>55.590386556846418</v>
      </c>
      <c r="P22">
        <f t="shared" si="5"/>
        <v>58.027680775584876</v>
      </c>
      <c r="Q22">
        <f t="shared" si="6"/>
        <v>57.537205123105295</v>
      </c>
      <c r="R22">
        <v>65.099999999999994</v>
      </c>
      <c r="S22" s="6">
        <v>67.3</v>
      </c>
    </row>
    <row r="23" spans="1:19" x14ac:dyDescent="0.2">
      <c r="A23" t="s">
        <v>178</v>
      </c>
      <c r="B23" t="s">
        <v>179</v>
      </c>
      <c r="C23" s="13" t="s">
        <v>72</v>
      </c>
      <c r="D23" s="13">
        <v>20211104</v>
      </c>
      <c r="E23">
        <v>61.421048999999996</v>
      </c>
      <c r="F23">
        <v>59.640127999999997</v>
      </c>
      <c r="G23">
        <v>53.034804999999999</v>
      </c>
      <c r="H23">
        <v>61.308892999999998</v>
      </c>
      <c r="I23">
        <v>39.817475000000002</v>
      </c>
      <c r="J23" s="72">
        <f>AVERAGE(H23,E23:F23)</f>
        <v>60.79002333333333</v>
      </c>
      <c r="K23">
        <f t="shared" si="1"/>
        <v>47.214735639749819</v>
      </c>
      <c r="L23">
        <f t="shared" si="2"/>
        <v>47.174078553399589</v>
      </c>
      <c r="N23">
        <f t="shared" si="3"/>
        <v>49.555241779082117</v>
      </c>
      <c r="O23">
        <f t="shared" si="4"/>
        <v>49.413842528637893</v>
      </c>
      <c r="P23">
        <f t="shared" si="5"/>
        <v>47.962760046710422</v>
      </c>
      <c r="Q23">
        <f t="shared" si="6"/>
        <v>48.264131709515972</v>
      </c>
      <c r="R23" s="13">
        <f>'1. Data &amp; Confidence Interval'!AF16</f>
        <v>56</v>
      </c>
      <c r="S23" s="11"/>
    </row>
    <row r="24" spans="1:19" x14ac:dyDescent="0.2">
      <c r="A24" s="148" t="s">
        <v>177</v>
      </c>
      <c r="B24" s="149"/>
      <c r="C24" s="149"/>
      <c r="D24" s="149"/>
      <c r="E24" s="76">
        <f t="shared" ref="E24:R24" si="7">CORREL(E$8:E$22,$S$8:$S$22)</f>
        <v>0.74951348080947278</v>
      </c>
      <c r="F24" s="76">
        <f t="shared" si="7"/>
        <v>0.76217486041947535</v>
      </c>
      <c r="G24" s="77"/>
      <c r="H24" s="77">
        <f t="shared" si="7"/>
        <v>0.89518677698558191</v>
      </c>
      <c r="I24" s="77">
        <f t="shared" si="7"/>
        <v>0.89577725477968384</v>
      </c>
      <c r="J24" s="77">
        <f t="shared" si="7"/>
        <v>0.82864272569551667</v>
      </c>
      <c r="K24" s="76">
        <f t="shared" si="7"/>
        <v>0.32946950928918972</v>
      </c>
      <c r="L24" s="76">
        <f t="shared" si="7"/>
        <v>0.30253240746553328</v>
      </c>
      <c r="M24" s="76"/>
      <c r="N24" s="78">
        <f t="shared" si="7"/>
        <v>0.66207298318699015</v>
      </c>
      <c r="O24" s="76">
        <f t="shared" si="7"/>
        <v>0.56762365332124898</v>
      </c>
      <c r="P24" s="78">
        <f t="shared" si="7"/>
        <v>0.432424568743078</v>
      </c>
      <c r="Q24" s="78">
        <f t="shared" si="7"/>
        <v>0.47161937314598013</v>
      </c>
      <c r="R24" s="77">
        <f t="shared" si="7"/>
        <v>0.68124221448779232</v>
      </c>
      <c r="S24" s="5"/>
    </row>
    <row r="26" spans="1:19" x14ac:dyDescent="0.2">
      <c r="A26" s="151" t="s">
        <v>77</v>
      </c>
      <c r="B26" s="152"/>
    </row>
    <row r="27" spans="1:19" x14ac:dyDescent="0.2">
      <c r="A27" s="18" t="s">
        <v>57</v>
      </c>
      <c r="B27" s="18" t="s">
        <v>58</v>
      </c>
      <c r="C27" s="18" t="s">
        <v>69</v>
      </c>
      <c r="D27" s="18" t="s">
        <v>59</v>
      </c>
      <c r="E27" s="18" t="s">
        <v>60</v>
      </c>
      <c r="F27" s="18" t="s">
        <v>70</v>
      </c>
      <c r="G27" s="18" t="s">
        <v>61</v>
      </c>
      <c r="H27" s="18" t="s">
        <v>62</v>
      </c>
      <c r="I27" s="18" t="s">
        <v>71</v>
      </c>
      <c r="J27" s="18" t="s">
        <v>63</v>
      </c>
      <c r="K27" s="18" t="s">
        <v>64</v>
      </c>
      <c r="L27" s="18" t="s">
        <v>74</v>
      </c>
      <c r="M27" s="18" t="s">
        <v>65</v>
      </c>
      <c r="N27" s="18" t="s">
        <v>66</v>
      </c>
      <c r="O27" s="18" t="s">
        <v>75</v>
      </c>
      <c r="P27" s="18" t="s">
        <v>67</v>
      </c>
      <c r="Q27" s="18" t="s">
        <v>68</v>
      </c>
      <c r="R27" s="18" t="s">
        <v>0</v>
      </c>
    </row>
    <row r="28" spans="1:19" x14ac:dyDescent="0.2">
      <c r="A28" s="10" t="str">
        <f>A6</f>
        <v>CSII</v>
      </c>
      <c r="B28" s="10" t="str">
        <f t="shared" ref="B28:C28" si="8">B6</f>
        <v>U.S. SALES</v>
      </c>
      <c r="C28" s="10" t="str">
        <f t="shared" si="8"/>
        <v>2017Q2</v>
      </c>
      <c r="D28" s="6">
        <f>D6</f>
        <v>20170727</v>
      </c>
      <c r="E28" s="19">
        <f>$S6/E6-1</f>
        <v>-0.13450515832704635</v>
      </c>
      <c r="F28" s="19">
        <f t="shared" ref="F28:J28" si="9">$S6/F6-1</f>
        <v>-0.13883677493893487</v>
      </c>
      <c r="G28" s="19" t="e">
        <f t="shared" si="9"/>
        <v>#DIV/0!</v>
      </c>
      <c r="H28" s="19">
        <f t="shared" si="9"/>
        <v>-7.604618874493374E-3</v>
      </c>
      <c r="I28" s="19">
        <f t="shared" si="9"/>
        <v>0.28606863356885159</v>
      </c>
      <c r="J28" s="19">
        <f t="shared" si="9"/>
        <v>-9.7552017792718382E-2</v>
      </c>
      <c r="K28" s="19"/>
      <c r="L28" s="19"/>
      <c r="M28" s="19"/>
      <c r="N28" s="19"/>
      <c r="O28" s="19"/>
      <c r="P28" s="19"/>
      <c r="Q28" s="19"/>
      <c r="R28" s="47">
        <f t="shared" ref="R28:R37" si="10">$S8/R8-1</f>
        <v>-2.5925925925925908E-2</v>
      </c>
    </row>
    <row r="29" spans="1:19" x14ac:dyDescent="0.2">
      <c r="A29" s="10" t="str">
        <f t="shared" ref="A29" si="11">A7</f>
        <v>CSII</v>
      </c>
      <c r="B29" s="10" t="str">
        <f t="shared" ref="B29:D29" si="12">B7</f>
        <v>U.S. SALES</v>
      </c>
      <c r="C29" s="10" t="str">
        <f t="shared" si="12"/>
        <v>2017Q3</v>
      </c>
      <c r="D29" s="6">
        <f t="shared" si="12"/>
        <v>20171019</v>
      </c>
      <c r="E29" s="19">
        <f>$S7/E7-1</f>
        <v>1.2801424385696869E-2</v>
      </c>
      <c r="F29" s="19">
        <f t="shared" ref="F29:Q29" si="13">$S7/F7-1</f>
        <v>3.2387220735929256E-2</v>
      </c>
      <c r="G29" s="19" t="e">
        <f t="shared" si="13"/>
        <v>#DIV/0!</v>
      </c>
      <c r="H29" s="19">
        <f t="shared" si="13"/>
        <v>-3.5645323587004674E-3</v>
      </c>
      <c r="I29" s="19">
        <f t="shared" si="13"/>
        <v>0.36811565989228301</v>
      </c>
      <c r="J29" s="19">
        <f t="shared" si="13"/>
        <v>1.3661977485867505E-2</v>
      </c>
      <c r="K29" s="19">
        <f t="shared" si="13"/>
        <v>0.17019926130120888</v>
      </c>
      <c r="L29" s="19">
        <f t="shared" si="13"/>
        <v>0.19882873616987395</v>
      </c>
      <c r="M29" s="19" t="e">
        <f t="shared" si="13"/>
        <v>#DIV/0!</v>
      </c>
      <c r="N29" s="19">
        <f t="shared" si="13"/>
        <v>4.0710452634422634E-3</v>
      </c>
      <c r="O29" s="19">
        <f t="shared" si="13"/>
        <v>6.3796771169008171E-2</v>
      </c>
      <c r="P29" s="19">
        <f t="shared" si="13"/>
        <v>0.12323590663538253</v>
      </c>
      <c r="Q29" s="19"/>
      <c r="R29" s="47">
        <f t="shared" si="10"/>
        <v>-9.0579710144927938E-3</v>
      </c>
    </row>
    <row r="30" spans="1:19" x14ac:dyDescent="0.2">
      <c r="A30" s="10" t="str">
        <f t="shared" ref="A30" si="14">A8</f>
        <v>CSII</v>
      </c>
      <c r="B30" s="10" t="str">
        <f t="shared" ref="B30:D30" si="15">B8</f>
        <v>U.S. SALES</v>
      </c>
      <c r="C30" s="10" t="str">
        <f t="shared" si="15"/>
        <v>2017Q4</v>
      </c>
      <c r="D30" s="6">
        <f t="shared" si="15"/>
        <v>20180301</v>
      </c>
      <c r="E30" s="19">
        <f>$S8/E8-1</f>
        <v>-0.18562782358586871</v>
      </c>
      <c r="F30" s="19">
        <f t="shared" ref="F30:Q30" si="16">$S8/F8-1</f>
        <v>-0.16733696568598799</v>
      </c>
      <c r="G30" s="19" t="e">
        <f t="shared" si="16"/>
        <v>#DIV/0!</v>
      </c>
      <c r="H30" s="19">
        <f t="shared" si="16"/>
        <v>1.4220509162219397E-2</v>
      </c>
      <c r="I30" s="19">
        <f t="shared" si="16"/>
        <v>0.41302280500607647</v>
      </c>
      <c r="J30" s="19">
        <f t="shared" si="16"/>
        <v>-0.12149302716545085</v>
      </c>
      <c r="K30" s="19">
        <f t="shared" si="16"/>
        <v>-0.24456110657946595</v>
      </c>
      <c r="L30" s="19">
        <f t="shared" si="16"/>
        <v>-0.24224749379862875</v>
      </c>
      <c r="M30" s="19" t="e">
        <f t="shared" si="16"/>
        <v>#DIV/0!</v>
      </c>
      <c r="N30" s="19">
        <f t="shared" si="16"/>
        <v>-4.3722522043350254E-2</v>
      </c>
      <c r="O30" s="19">
        <f t="shared" si="16"/>
        <v>-2.9652986027148831E-2</v>
      </c>
      <c r="P30" s="19">
        <f t="shared" si="16"/>
        <v>-0.18575936314898089</v>
      </c>
      <c r="Q30" s="19"/>
      <c r="R30" s="47">
        <f t="shared" si="10"/>
        <v>0.62535211267605639</v>
      </c>
    </row>
    <row r="31" spans="1:19" x14ac:dyDescent="0.2">
      <c r="A31" s="10" t="str">
        <f t="shared" ref="A31" si="17">A9</f>
        <v>CSII</v>
      </c>
      <c r="B31" s="10" t="str">
        <f t="shared" ref="B31:D31" si="18">B9</f>
        <v>U.S. SALES</v>
      </c>
      <c r="C31" s="10" t="str">
        <f t="shared" si="18"/>
        <v>2018Q1</v>
      </c>
      <c r="D31" s="6">
        <f t="shared" si="18"/>
        <v>20180426</v>
      </c>
      <c r="E31" s="19">
        <f>$S9/E9-1</f>
        <v>-0.10088800869788117</v>
      </c>
      <c r="F31" s="19">
        <f t="shared" ref="F31:Q31" si="19">$S9/F9-1</f>
        <v>-0.1284518147855902</v>
      </c>
      <c r="G31" s="19" t="e">
        <f t="shared" si="19"/>
        <v>#DIV/0!</v>
      </c>
      <c r="H31" s="19">
        <f t="shared" si="19"/>
        <v>-1.4389161466443312E-2</v>
      </c>
      <c r="I31" s="19">
        <f t="shared" si="19"/>
        <v>0.38691658954320163</v>
      </c>
      <c r="J31" s="19">
        <f t="shared" si="19"/>
        <v>-8.3743192144915324E-2</v>
      </c>
      <c r="K31" s="19">
        <f t="shared" si="19"/>
        <v>9.779420688285545E-2</v>
      </c>
      <c r="L31" s="19">
        <f t="shared" si="19"/>
        <v>4.0763829057101297E-2</v>
      </c>
      <c r="M31" s="19" t="e">
        <f t="shared" si="19"/>
        <v>#DIV/0!</v>
      </c>
      <c r="N31" s="19">
        <f t="shared" si="19"/>
        <v>-3.3719635695135031E-2</v>
      </c>
      <c r="O31" s="19">
        <f t="shared" si="19"/>
        <v>-2.4041740030245506E-2</v>
      </c>
      <c r="P31" s="19">
        <f t="shared" si="19"/>
        <v>3.7055678162599692E-2</v>
      </c>
      <c r="Q31" s="19">
        <f t="shared" si="19"/>
        <v>2.1335909240695505E-2</v>
      </c>
      <c r="R31" s="47">
        <f t="shared" si="10"/>
        <v>0.62426035502958599</v>
      </c>
    </row>
    <row r="32" spans="1:19" x14ac:dyDescent="0.2">
      <c r="A32" s="10" t="str">
        <f t="shared" ref="A32" si="20">A10</f>
        <v>CSII</v>
      </c>
      <c r="B32" s="10" t="str">
        <f t="shared" ref="B32:D32" si="21">B10</f>
        <v>U.S. SALES</v>
      </c>
      <c r="C32" s="10" t="str">
        <f t="shared" si="21"/>
        <v>2018Q2</v>
      </c>
      <c r="D32" s="6">
        <f t="shared" si="21"/>
        <v>20180719</v>
      </c>
      <c r="E32" s="19">
        <f>$S10/E10-1</f>
        <v>4.8785007107563283E-2</v>
      </c>
      <c r="F32" s="19">
        <f t="shared" ref="F32:Q32" si="22">$S10/F10-1</f>
        <v>2.9597263305492616E-2</v>
      </c>
      <c r="G32" s="19" t="e">
        <f t="shared" si="22"/>
        <v>#DIV/0!</v>
      </c>
      <c r="H32" s="19">
        <f t="shared" si="22"/>
        <v>6.2653517290137017E-2</v>
      </c>
      <c r="I32" s="19">
        <f t="shared" si="22"/>
        <v>0.46423532885685059</v>
      </c>
      <c r="J32" s="19">
        <f t="shared" si="22"/>
        <v>4.6836030625402758E-2</v>
      </c>
      <c r="K32" s="19">
        <f t="shared" si="22"/>
        <v>0.20615836955261924</v>
      </c>
      <c r="L32" s="19">
        <f t="shared" si="22"/>
        <v>0.22153982607024458</v>
      </c>
      <c r="M32" s="19" t="e">
        <f t="shared" si="22"/>
        <v>#DIV/0!</v>
      </c>
      <c r="N32" s="19">
        <f t="shared" si="22"/>
        <v>0.11485366949529352</v>
      </c>
      <c r="O32" s="19">
        <f t="shared" si="22"/>
        <v>9.1672053303619938E-2</v>
      </c>
      <c r="P32" s="19">
        <f t="shared" si="22"/>
        <v>0.18138948702152713</v>
      </c>
      <c r="Q32" s="19">
        <f t="shared" si="22"/>
        <v>0.16085153055910406</v>
      </c>
      <c r="R32" s="47">
        <f t="shared" si="10"/>
        <v>7.5229357798165086E-2</v>
      </c>
    </row>
    <row r="33" spans="1:18" x14ac:dyDescent="0.2">
      <c r="A33" s="10" t="str">
        <f t="shared" ref="A33" si="23">A11</f>
        <v>CSII</v>
      </c>
      <c r="B33" s="10" t="str">
        <f t="shared" ref="B33:D33" si="24">B11</f>
        <v>U.S. SALES</v>
      </c>
      <c r="C33" s="10" t="str">
        <f t="shared" si="24"/>
        <v>2018Q3</v>
      </c>
      <c r="D33" s="6">
        <f t="shared" si="24"/>
        <v>20181025</v>
      </c>
      <c r="E33" s="19">
        <f>$S11/E11-1</f>
        <v>-0.13047406994836408</v>
      </c>
      <c r="F33" s="19">
        <f t="shared" ref="F33:Q33" si="25">$S11/F11-1</f>
        <v>-0.12250162686867183</v>
      </c>
      <c r="G33" s="19" t="e">
        <f t="shared" si="25"/>
        <v>#DIV/0!</v>
      </c>
      <c r="H33" s="19">
        <f t="shared" si="25"/>
        <v>-4.5712525435063878E-2</v>
      </c>
      <c r="I33" s="19">
        <f t="shared" si="25"/>
        <v>0.41711393518600981</v>
      </c>
      <c r="J33" s="19">
        <f t="shared" si="25"/>
        <v>-0.1011390736647384</v>
      </c>
      <c r="K33" s="19">
        <f t="shared" si="25"/>
        <v>-9.5692342385446771E-2</v>
      </c>
      <c r="L33" s="19">
        <f t="shared" si="25"/>
        <v>-7.039365022465216E-2</v>
      </c>
      <c r="M33" s="19" t="e">
        <f t="shared" si="25"/>
        <v>#DIV/0!</v>
      </c>
      <c r="N33" s="19">
        <f t="shared" si="25"/>
        <v>-2.0492691822996845E-2</v>
      </c>
      <c r="O33" s="19">
        <f t="shared" si="25"/>
        <v>5.5635601788293521E-2</v>
      </c>
      <c r="P33" s="19">
        <f t="shared" si="25"/>
        <v>-6.3443502783326555E-2</v>
      </c>
      <c r="Q33" s="19">
        <f t="shared" si="25"/>
        <v>-4.1686953832190454E-2</v>
      </c>
      <c r="R33" s="47">
        <f t="shared" si="10"/>
        <v>6.4685314685314577E-2</v>
      </c>
    </row>
    <row r="34" spans="1:18" x14ac:dyDescent="0.2">
      <c r="A34" s="10" t="str">
        <f t="shared" ref="A34" si="26">A12</f>
        <v>CSII</v>
      </c>
      <c r="B34" s="10" t="str">
        <f t="shared" ref="B34:D34" si="27">B12</f>
        <v>U.S. SALES</v>
      </c>
      <c r="C34" s="10" t="str">
        <f t="shared" si="27"/>
        <v>2018Q4</v>
      </c>
      <c r="D34" s="6">
        <f t="shared" si="27"/>
        <v>20190124</v>
      </c>
      <c r="E34" s="19">
        <f>$S12/E12-1</f>
        <v>-1.4561870072852257E-3</v>
      </c>
      <c r="F34" s="19">
        <f t="shared" ref="F34:Q34" si="28">$S12/F12-1</f>
        <v>2.8714800618394598E-2</v>
      </c>
      <c r="G34" s="19" t="e">
        <f t="shared" si="28"/>
        <v>#DIV/0!</v>
      </c>
      <c r="H34" s="19">
        <f t="shared" si="28"/>
        <v>3.1902425701484605E-2</v>
      </c>
      <c r="I34" s="19">
        <f t="shared" si="28"/>
        <v>0.49657542170609514</v>
      </c>
      <c r="J34" s="19">
        <f t="shared" si="28"/>
        <v>1.9496543378992204E-2</v>
      </c>
      <c r="K34" s="19">
        <f t="shared" si="28"/>
        <v>0.19179417911874896</v>
      </c>
      <c r="L34" s="19">
        <f t="shared" si="28"/>
        <v>0.2166491043234311</v>
      </c>
      <c r="M34" s="19" t="e">
        <f t="shared" si="28"/>
        <v>#DIV/0!</v>
      </c>
      <c r="N34" s="19">
        <f t="shared" si="28"/>
        <v>0.12221503317209348</v>
      </c>
      <c r="O34" s="19">
        <f t="shared" si="28"/>
        <v>9.5999894242789097E-2</v>
      </c>
      <c r="P34" s="19">
        <f t="shared" si="28"/>
        <v>0.17709069905627239</v>
      </c>
      <c r="Q34" s="19">
        <f t="shared" si="28"/>
        <v>0.15900194760183495</v>
      </c>
      <c r="R34" s="47">
        <f t="shared" si="10"/>
        <v>7.8817733990147909E-2</v>
      </c>
    </row>
    <row r="35" spans="1:18" x14ac:dyDescent="0.2">
      <c r="A35" s="10" t="str">
        <f t="shared" ref="A35" si="29">A13</f>
        <v>CSII</v>
      </c>
      <c r="B35" s="10" t="str">
        <f t="shared" ref="B35:D35" si="30">B13</f>
        <v>U.S. SALES</v>
      </c>
      <c r="C35" s="10" t="str">
        <f t="shared" si="30"/>
        <v>2019Q1</v>
      </c>
      <c r="D35" s="6">
        <f t="shared" si="30"/>
        <v>20190425</v>
      </c>
      <c r="E35" s="19">
        <f>$S13/E13-1</f>
        <v>-0.10811988743272094</v>
      </c>
      <c r="F35" s="19">
        <f t="shared" ref="F35:Q35" si="31">$S13/F13-1</f>
        <v>-9.7931308242869997E-2</v>
      </c>
      <c r="G35" s="19" t="e">
        <f t="shared" si="31"/>
        <v>#DIV/0!</v>
      </c>
      <c r="H35" s="19">
        <f t="shared" si="31"/>
        <v>-2.240978439538277E-2</v>
      </c>
      <c r="I35" s="19">
        <f t="shared" si="31"/>
        <v>0.3600668118246062</v>
      </c>
      <c r="J35" s="19">
        <f t="shared" si="31"/>
        <v>-7.769311857969996E-2</v>
      </c>
      <c r="K35" s="19">
        <f t="shared" si="31"/>
        <v>-1.0578601224532691E-2</v>
      </c>
      <c r="L35" s="19">
        <f t="shared" si="31"/>
        <v>-2.8625796963625105E-2</v>
      </c>
      <c r="M35" s="19" t="e">
        <f t="shared" si="31"/>
        <v>#DIV/0!</v>
      </c>
      <c r="N35" s="19">
        <f t="shared" si="31"/>
        <v>4.9446145645990924E-2</v>
      </c>
      <c r="O35" s="19">
        <f t="shared" si="31"/>
        <v>6.7081362560796887E-3</v>
      </c>
      <c r="P35" s="19">
        <f t="shared" si="31"/>
        <v>2.1474721041290223E-3</v>
      </c>
      <c r="Q35" s="19">
        <f t="shared" si="31"/>
        <v>3.1622969245350685E-3</v>
      </c>
      <c r="R35" s="47">
        <f t="shared" si="10"/>
        <v>5.4888507718696466E-2</v>
      </c>
    </row>
    <row r="36" spans="1:18" x14ac:dyDescent="0.2">
      <c r="A36" s="10" t="str">
        <f t="shared" ref="A36" si="32">A14</f>
        <v>CSII</v>
      </c>
      <c r="B36" s="10" t="str">
        <f t="shared" ref="B36:D36" si="33">B14</f>
        <v>U.S. SALES</v>
      </c>
      <c r="C36" s="10" t="str">
        <f t="shared" si="33"/>
        <v>2019Q2</v>
      </c>
      <c r="D36" s="6">
        <f t="shared" si="33"/>
        <v>20190801</v>
      </c>
      <c r="E36" s="19">
        <f>$S14/E14-1</f>
        <v>-1.6522149019870036E-2</v>
      </c>
      <c r="F36" s="19">
        <f t="shared" ref="F36:Q36" si="34">$S14/F14-1</f>
        <v>-1.0291383218569039E-2</v>
      </c>
      <c r="G36" s="19" t="e">
        <f t="shared" si="34"/>
        <v>#DIV/0!</v>
      </c>
      <c r="H36" s="19">
        <f t="shared" si="34"/>
        <v>3.1952848414184221E-2</v>
      </c>
      <c r="I36" s="19">
        <f t="shared" si="34"/>
        <v>0.43187972402541952</v>
      </c>
      <c r="J36" s="19">
        <f t="shared" si="34"/>
        <v>1.2566985012094634E-3</v>
      </c>
      <c r="K36" s="19">
        <f t="shared" si="34"/>
        <v>0.26946205528691758</v>
      </c>
      <c r="L36" s="19">
        <f t="shared" si="34"/>
        <v>0.26307564801047589</v>
      </c>
      <c r="M36" s="19" t="e">
        <f t="shared" si="34"/>
        <v>#DIV/0!</v>
      </c>
      <c r="N36" s="19">
        <f t="shared" si="34"/>
        <v>0.21524719837225237</v>
      </c>
      <c r="O36" s="19">
        <f t="shared" si="34"/>
        <v>0.21201478252709349</v>
      </c>
      <c r="P36" s="19">
        <f t="shared" si="34"/>
        <v>0.24977434745818061</v>
      </c>
      <c r="Q36" s="19">
        <f t="shared" si="34"/>
        <v>0.24145007228666904</v>
      </c>
      <c r="R36" s="47">
        <f t="shared" si="10"/>
        <v>1.5174506828528056E-3</v>
      </c>
    </row>
    <row r="37" spans="1:18" x14ac:dyDescent="0.2">
      <c r="A37" s="10" t="str">
        <f t="shared" ref="A37" si="35">A15</f>
        <v>CSII</v>
      </c>
      <c r="B37" s="10" t="str">
        <f t="shared" ref="B37:D37" si="36">B15</f>
        <v>U.S. SALES</v>
      </c>
      <c r="C37" s="10" t="str">
        <f t="shared" si="36"/>
        <v>2019Q3</v>
      </c>
      <c r="D37" s="6">
        <f t="shared" si="36"/>
        <v>20191024</v>
      </c>
      <c r="E37" s="19">
        <f>$S15/E15-1</f>
        <v>-3.8098934364570569E-2</v>
      </c>
      <c r="F37" s="19">
        <f t="shared" ref="F37:Q37" si="37">$S15/F15-1</f>
        <v>-5.266809725869448E-2</v>
      </c>
      <c r="G37" s="19" t="e">
        <f t="shared" si="37"/>
        <v>#DIV/0!</v>
      </c>
      <c r="H37" s="19">
        <f t="shared" si="37"/>
        <v>1.1553090250690623E-2</v>
      </c>
      <c r="I37" s="19">
        <f t="shared" si="37"/>
        <v>0.4375032141453048</v>
      </c>
      <c r="J37" s="19">
        <f t="shared" si="37"/>
        <v>-2.716892160444373E-2</v>
      </c>
      <c r="K37" s="19">
        <f t="shared" si="37"/>
        <v>0.21471814767933117</v>
      </c>
      <c r="L37" s="19">
        <f t="shared" si="37"/>
        <v>0.18878826444397312</v>
      </c>
      <c r="M37" s="19" t="e">
        <f t="shared" si="37"/>
        <v>#DIV/0!</v>
      </c>
      <c r="N37" s="19">
        <f t="shared" si="37"/>
        <v>0.21741465266179905</v>
      </c>
      <c r="O37" s="19">
        <f t="shared" si="37"/>
        <v>0.24684360624686819</v>
      </c>
      <c r="P37" s="19">
        <f t="shared" si="37"/>
        <v>0.20670663095009867</v>
      </c>
      <c r="Q37" s="19">
        <f t="shared" si="37"/>
        <v>0.21460377679437492</v>
      </c>
      <c r="R37" s="47">
        <f t="shared" si="10"/>
        <v>-0.12368024132730004</v>
      </c>
    </row>
    <row r="38" spans="1:18" x14ac:dyDescent="0.2">
      <c r="A38" s="10" t="str">
        <f t="shared" ref="A38" si="38">A16</f>
        <v>CSII</v>
      </c>
      <c r="B38" s="10" t="str">
        <f t="shared" ref="B38:D38" si="39">B16</f>
        <v>U.S. SALES</v>
      </c>
      <c r="C38" s="10" t="str">
        <f t="shared" si="39"/>
        <v>2019Q4</v>
      </c>
      <c r="D38" s="6">
        <f t="shared" si="39"/>
        <v>20200130</v>
      </c>
      <c r="E38" s="19">
        <f>$S16/E16-1</f>
        <v>-8.9113946684252765E-3</v>
      </c>
      <c r="F38" s="19">
        <f t="shared" ref="F38:Q38" si="40">$S16/F16-1</f>
        <v>8.9031482120494054E-4</v>
      </c>
      <c r="G38" s="19" t="e">
        <f t="shared" si="40"/>
        <v>#DIV/0!</v>
      </c>
      <c r="H38" s="19">
        <f t="shared" si="40"/>
        <v>1.2008765000492305E-2</v>
      </c>
      <c r="I38" s="19">
        <f t="shared" si="40"/>
        <v>0.48448761741626445</v>
      </c>
      <c r="J38" s="19">
        <f t="shared" si="40"/>
        <v>1.2563320571612469E-3</v>
      </c>
      <c r="K38" s="19">
        <f t="shared" si="40"/>
        <v>0.19784747269252079</v>
      </c>
      <c r="L38" s="19">
        <f t="shared" si="40"/>
        <v>0.22829806448444701</v>
      </c>
      <c r="M38" s="19" t="e">
        <f t="shared" si="40"/>
        <v>#DIV/0!</v>
      </c>
      <c r="N38" s="19">
        <f t="shared" si="40"/>
        <v>0.16309459227025602</v>
      </c>
      <c r="O38" s="19">
        <f t="shared" si="40"/>
        <v>0.2005692031281423</v>
      </c>
      <c r="P38" s="19">
        <f t="shared" si="40"/>
        <v>0.19654016960940046</v>
      </c>
      <c r="Q38" s="19">
        <f t="shared" si="40"/>
        <v>0.19691045397166063</v>
      </c>
      <c r="R38" s="47">
        <f t="shared" ref="R38" si="41">$S18/R18-1</f>
        <v>9.1644204851752065E-2</v>
      </c>
    </row>
    <row r="39" spans="1:18" x14ac:dyDescent="0.2">
      <c r="A39" s="10" t="str">
        <f t="shared" ref="A39" si="42">A17</f>
        <v>CSII</v>
      </c>
      <c r="B39" s="10" t="str">
        <f t="shared" ref="B39:D39" si="43">B17</f>
        <v>U.S. SALES</v>
      </c>
      <c r="C39" s="10" t="str">
        <f t="shared" si="43"/>
        <v>2020Q1</v>
      </c>
      <c r="D39" s="6">
        <f t="shared" si="43"/>
        <v>20200430</v>
      </c>
      <c r="E39" s="19">
        <f>$S17/E17-1</f>
        <v>-6.8932837206147735E-2</v>
      </c>
      <c r="F39" s="19">
        <f t="shared" ref="F39:Q39" si="44">$S17/F17-1</f>
        <v>-6.6965145661966763E-2</v>
      </c>
      <c r="G39" s="19" t="e">
        <f t="shared" si="44"/>
        <v>#DIV/0!</v>
      </c>
      <c r="H39" s="19">
        <f t="shared" si="44"/>
        <v>-5.0156825922061499E-2</v>
      </c>
      <c r="I39" s="19">
        <f t="shared" si="44"/>
        <v>0.33911812483109927</v>
      </c>
      <c r="J39" s="19">
        <f t="shared" si="44"/>
        <v>-6.2093497627682015E-2</v>
      </c>
      <c r="K39" s="19">
        <f t="shared" si="44"/>
        <v>0.17207874559246705</v>
      </c>
      <c r="L39" s="19">
        <f t="shared" si="44"/>
        <v>0.16305337052992241</v>
      </c>
      <c r="M39" s="19" t="e">
        <f t="shared" si="44"/>
        <v>#DIV/0!</v>
      </c>
      <c r="N39" s="19">
        <f t="shared" si="44"/>
        <v>0.17099730520239986</v>
      </c>
      <c r="O39" s="19">
        <f t="shared" si="44"/>
        <v>0.1254613165221119</v>
      </c>
      <c r="P39" s="19">
        <f t="shared" si="44"/>
        <v>0.16869862921770928</v>
      </c>
      <c r="Q39" s="19">
        <f t="shared" si="44"/>
        <v>0.15978582182361167</v>
      </c>
      <c r="R39" s="47">
        <f>$S19/R19-1</f>
        <v>8.0882352941176405E-2</v>
      </c>
    </row>
    <row r="40" spans="1:18" x14ac:dyDescent="0.2">
      <c r="A40" s="10" t="str">
        <f t="shared" ref="A40" si="45">A18</f>
        <v>CSII</v>
      </c>
      <c r="B40" s="10" t="str">
        <f t="shared" ref="B40:D40" si="46">B18</f>
        <v>U.S. SALES</v>
      </c>
      <c r="C40" s="10" t="str">
        <f t="shared" si="46"/>
        <v>2020Q2</v>
      </c>
      <c r="D40" s="6">
        <f t="shared" si="46"/>
        <v>20200730</v>
      </c>
      <c r="E40" s="19">
        <f>$S18/E18-1</f>
        <v>-0.12912477658949228</v>
      </c>
      <c r="F40" s="19">
        <f t="shared" ref="F40:Q40" si="47">$S18/F18-1</f>
        <v>-0.12733267593586861</v>
      </c>
      <c r="G40" s="19" t="e">
        <f t="shared" si="47"/>
        <v>#DIV/0!</v>
      </c>
      <c r="H40" s="19">
        <f t="shared" si="47"/>
        <v>-8.1493717988988301E-2</v>
      </c>
      <c r="I40" s="19">
        <f t="shared" si="47"/>
        <v>0.2735899697815356</v>
      </c>
      <c r="J40" s="19">
        <f t="shared" si="47"/>
        <v>-0.11318857575932417</v>
      </c>
      <c r="K40" s="19">
        <f t="shared" si="47"/>
        <v>2.7295498871181989E-2</v>
      </c>
      <c r="L40" s="19">
        <f t="shared" si="47"/>
        <v>2.7238546132726471E-2</v>
      </c>
      <c r="M40" s="19" t="e">
        <f t="shared" si="47"/>
        <v>#DIV/0!</v>
      </c>
      <c r="N40" s="19">
        <f t="shared" si="47"/>
        <v>6.2063992929403788E-2</v>
      </c>
      <c r="O40" s="19">
        <f t="shared" si="47"/>
        <v>4.4554735384343624E-2</v>
      </c>
      <c r="P40" s="19">
        <f t="shared" si="47"/>
        <v>3.8465786627439824E-2</v>
      </c>
      <c r="Q40" s="19">
        <f t="shared" si="47"/>
        <v>3.9764535118330446E-2</v>
      </c>
      <c r="R40" s="47">
        <f>$S20/R20-1</f>
        <v>-2.8257456828885474E-2</v>
      </c>
    </row>
    <row r="41" spans="1:18" x14ac:dyDescent="0.2">
      <c r="A41" s="10" t="str">
        <f t="shared" ref="A41" si="48">A19</f>
        <v>CSII</v>
      </c>
      <c r="B41" s="10" t="str">
        <f t="shared" ref="B41:D41" si="49">B19</f>
        <v>U.S. SALES</v>
      </c>
      <c r="C41" s="10" t="str">
        <f t="shared" si="49"/>
        <v>2020Q3</v>
      </c>
      <c r="D41" s="6">
        <f t="shared" si="49"/>
        <v>20201029</v>
      </c>
      <c r="E41" s="19">
        <f>$S19/E19-1</f>
        <v>7.8952702835840993E-2</v>
      </c>
      <c r="F41" s="19">
        <f t="shared" ref="F41:Q41" si="50">$S19/F19-1</f>
        <v>4.2212511205130365E-2</v>
      </c>
      <c r="G41" s="19" t="e">
        <f t="shared" si="50"/>
        <v>#DIV/0!</v>
      </c>
      <c r="H41" s="19">
        <f t="shared" si="50"/>
        <v>0.13188849003930558</v>
      </c>
      <c r="I41" s="19">
        <f t="shared" si="50"/>
        <v>0.47498792923062139</v>
      </c>
      <c r="J41" s="19">
        <f t="shared" si="50"/>
        <v>8.3110242573904536E-2</v>
      </c>
      <c r="K41" s="19">
        <f t="shared" si="50"/>
        <v>-5.1481461377820947E-2</v>
      </c>
      <c r="L41" s="19">
        <f t="shared" si="50"/>
        <v>-8.5661685499676121E-2</v>
      </c>
      <c r="M41" s="19" t="e">
        <f t="shared" si="50"/>
        <v>#DIV/0!</v>
      </c>
      <c r="N41" s="19">
        <f t="shared" si="50"/>
        <v>-5.6545709350063533E-2</v>
      </c>
      <c r="O41" s="19">
        <f t="shared" si="50"/>
        <v>-0.11333781389941722</v>
      </c>
      <c r="P41" s="19">
        <f t="shared" si="50"/>
        <v>-6.4937296558970625E-2</v>
      </c>
      <c r="Q41" s="19">
        <f t="shared" si="50"/>
        <v>-7.4959669602368328E-2</v>
      </c>
      <c r="R41" s="47">
        <f>$S21/R21-1</f>
        <v>-8.3194675540765317E-3</v>
      </c>
    </row>
    <row r="42" spans="1:18" x14ac:dyDescent="0.2">
      <c r="A42" s="10" t="str">
        <f t="shared" ref="A42:D44" si="51">A20</f>
        <v>CSII</v>
      </c>
      <c r="B42" s="10" t="str">
        <f t="shared" ref="B42:D42" si="52">B20</f>
        <v>U.S. SALES</v>
      </c>
      <c r="C42" s="10" t="str">
        <f t="shared" si="52"/>
        <v>2020Q4</v>
      </c>
      <c r="D42" s="6">
        <f t="shared" si="52"/>
        <v>20210128</v>
      </c>
      <c r="E42" s="19">
        <f t="shared" ref="E42:J42" si="53">$S20/E20-1</f>
        <v>3.3325823019421552E-2</v>
      </c>
      <c r="F42" s="19">
        <f t="shared" ref="F42:Q42" si="54">$S20/F20-1</f>
        <v>3.9885852982570746E-2</v>
      </c>
      <c r="G42" s="19" t="e">
        <f t="shared" si="54"/>
        <v>#DIV/0!</v>
      </c>
      <c r="H42" s="19">
        <f t="shared" si="54"/>
        <v>8.6754687035847988E-2</v>
      </c>
      <c r="I42" s="19">
        <f t="shared" si="54"/>
        <v>0.52806480486768348</v>
      </c>
      <c r="J42" s="19">
        <f t="shared" si="54"/>
        <v>5.2792696049405619E-2</v>
      </c>
      <c r="K42" s="19">
        <f t="shared" si="54"/>
        <v>6.4526628143035003E-2</v>
      </c>
      <c r="L42" s="19">
        <f t="shared" si="54"/>
        <v>0.10904978415251776</v>
      </c>
      <c r="M42" s="19" t="e">
        <f t="shared" si="54"/>
        <v>#DIV/0!</v>
      </c>
      <c r="N42" s="19">
        <f t="shared" si="54"/>
        <v>6.7209130718981935E-2</v>
      </c>
      <c r="O42" s="19">
        <f t="shared" si="54"/>
        <v>0.15152921505809602</v>
      </c>
      <c r="P42" s="19">
        <f t="shared" si="54"/>
        <v>8.0418108185725812E-2</v>
      </c>
      <c r="Q42" s="19">
        <f t="shared" si="54"/>
        <v>9.3599192814689758E-2</v>
      </c>
      <c r="R42" s="47">
        <f>$S22/R22-1</f>
        <v>3.3794162826420893E-2</v>
      </c>
    </row>
    <row r="43" spans="1:18" x14ac:dyDescent="0.2">
      <c r="A43" s="10" t="str">
        <f t="shared" si="51"/>
        <v>CSII</v>
      </c>
      <c r="B43" s="10" t="str">
        <f t="shared" si="51"/>
        <v>U.S. SALES</v>
      </c>
      <c r="C43" s="10" t="str">
        <f t="shared" si="51"/>
        <v>2021Q1</v>
      </c>
      <c r="D43" s="6">
        <f t="shared" si="51"/>
        <v>20210429</v>
      </c>
      <c r="E43" s="19">
        <f t="shared" ref="E43:J43" si="55">$S21/E21-1</f>
        <v>-4.3081508779477806E-2</v>
      </c>
      <c r="F43" s="19">
        <f t="shared" ref="F43:Q43" si="56">$S21/F21-1</f>
        <v>-2.2732758924438823E-2</v>
      </c>
      <c r="G43" s="19" t="e">
        <f t="shared" si="56"/>
        <v>#DIV/0!</v>
      </c>
      <c r="H43" s="19">
        <f t="shared" si="56"/>
        <v>-8.306113678115512E-3</v>
      </c>
      <c r="I43" s="19">
        <f t="shared" si="56"/>
        <v>0.46929675856472808</v>
      </c>
      <c r="J43" s="19">
        <f t="shared" si="56"/>
        <v>-2.4916099967153604E-2</v>
      </c>
      <c r="K43" s="19">
        <f t="shared" si="56"/>
        <v>8.3609094207244494E-2</v>
      </c>
      <c r="L43" s="19">
        <f t="shared" si="56"/>
        <v>9.9670685782280888E-2</v>
      </c>
      <c r="M43" s="19" t="e">
        <f t="shared" si="56"/>
        <v>#DIV/0!</v>
      </c>
      <c r="N43" s="19">
        <f t="shared" si="56"/>
        <v>6.7778300727433738E-2</v>
      </c>
      <c r="O43" s="19">
        <f t="shared" si="56"/>
        <v>0.12513005138646238</v>
      </c>
      <c r="P43" s="19">
        <f t="shared" si="56"/>
        <v>8.3762449564147357E-2</v>
      </c>
      <c r="Q43" s="19">
        <f t="shared" si="56"/>
        <v>9.1649014034324905E-2</v>
      </c>
      <c r="R43" s="47"/>
    </row>
    <row r="44" spans="1:18" x14ac:dyDescent="0.2">
      <c r="A44" s="10" t="str">
        <f t="shared" si="51"/>
        <v>CSII</v>
      </c>
      <c r="B44" s="10" t="str">
        <f t="shared" si="51"/>
        <v>U.S. SALES</v>
      </c>
      <c r="C44" s="10" t="str">
        <f t="shared" si="51"/>
        <v>2021Q2</v>
      </c>
      <c r="D44" s="6">
        <f t="shared" si="51"/>
        <v>20210729</v>
      </c>
      <c r="E44" s="19">
        <f t="shared" ref="E44:J44" si="57">$S22/E22-1</f>
        <v>-2.2043077637736941E-2</v>
      </c>
      <c r="F44" s="19">
        <f t="shared" ref="F44:Q44" si="58">$S22/F22-1</f>
        <v>6.2925355649257053E-3</v>
      </c>
      <c r="G44" s="19" t="e">
        <f t="shared" si="58"/>
        <v>#DIV/0!</v>
      </c>
      <c r="H44" s="19">
        <f t="shared" si="58"/>
        <v>2.8313451851482485E-2</v>
      </c>
      <c r="I44" s="19">
        <f t="shared" si="58"/>
        <v>0.57882612110327814</v>
      </c>
      <c r="J44" s="19">
        <f t="shared" si="58"/>
        <v>3.7631525697079393E-3</v>
      </c>
      <c r="K44" s="19">
        <f t="shared" si="58"/>
        <v>0.15142423453145804</v>
      </c>
      <c r="L44" s="19">
        <f t="shared" si="58"/>
        <v>0.1601162173339985</v>
      </c>
      <c r="M44" s="19" t="e">
        <f t="shared" si="58"/>
        <v>#DIV/0!</v>
      </c>
      <c r="N44" s="19">
        <f t="shared" si="58"/>
        <v>0.16825720704122227</v>
      </c>
      <c r="O44" s="19">
        <f t="shared" si="58"/>
        <v>0.21064097892500522</v>
      </c>
      <c r="P44" s="19">
        <f t="shared" si="58"/>
        <v>0.15979131167200533</v>
      </c>
      <c r="Q44" s="19">
        <f t="shared" si="58"/>
        <v>0.16967794761678889</v>
      </c>
      <c r="R44" s="47"/>
    </row>
    <row r="45" spans="1:18" x14ac:dyDescent="0.2">
      <c r="A45" s="157" t="s">
        <v>78</v>
      </c>
      <c r="B45" s="157"/>
      <c r="C45" s="153"/>
      <c r="D45" s="154"/>
      <c r="E45" s="87" cm="1">
        <f t="array" ref="E45">SUM(ABS(E28:E37),ABS(E39:E42))/COUNT(E28:E37,E39:E42)</f>
        <v>7.7686770680554976E-2</v>
      </c>
      <c r="F45" s="87" cm="1">
        <f t="array" ref="F45">SUM(ABS(F28:F37),ABS(F39:F42))/COUNT(F28:F37,F39:F42)</f>
        <v>7.7508102960333655E-2</v>
      </c>
      <c r="G45" s="87"/>
      <c r="H45" s="89" cm="1">
        <f t="array" ref="H45">SUM(ABS(H28:H37),ABS(H39:H42))/COUNT(H28:H37,H39:H42)</f>
        <v>4.2589766738214505E-2</v>
      </c>
      <c r="I45" s="87" cm="1">
        <f t="array" ref="I45">SUM(ABS(I28:I37),ABS(I39:I42))/COUNT(I28:I37,I39:I42)</f>
        <v>0.40551849660468842</v>
      </c>
      <c r="J45" s="87" cm="1">
        <f t="array" ref="J45">SUM(ABS(J28:J37),ABS(J39:J42))/COUNT(J28:J37,J39:J42)</f>
        <v>6.4373258068125355E-2</v>
      </c>
      <c r="K45" s="87" cm="1">
        <f t="array" ref="K45">SUM(ABS(K28:K37),ABS(K39:K42))/COUNT(K28:K37,K39:K42)</f>
        <v>0.13971850799966398</v>
      </c>
      <c r="L45" s="87" cm="1">
        <f t="array" ref="L45">SUM(ABS(L28:L37),ABS(L39:L42))/COUNT(L28:L37,L39:L42)</f>
        <v>0.1427627488751422</v>
      </c>
      <c r="M45" s="87" t="e" cm="1">
        <f t="array" ref="M45">SUM(ABS(M28:M37),ABS(M39:M42))/COUNT(M28:M37,M39:M42)</f>
        <v>#DIV/0!</v>
      </c>
      <c r="N45" s="87" cm="1">
        <f t="array" ref="N45">SUM(ABS(N28:N37),ABS(N39:N42))/COUNT(N28:N37,N39:N42)</f>
        <v>9.0615287105630965E-2</v>
      </c>
      <c r="O45" s="87" cm="1">
        <f t="array" ref="O45">SUM(ABS(O28:O37),ABS(O39:O42))/COUNT(O28:O37,O39:O42)</f>
        <v>9.7019127111931933E-2</v>
      </c>
      <c r="P45" s="87" cm="1">
        <f t="array" ref="P45">SUM(ABS(P28:P37),ABS(P39:P42))/COUNT(P28:P37,P39:P42)</f>
        <v>0.12147099291618023</v>
      </c>
      <c r="Q45" s="87" cm="1">
        <f t="array" ref="Q45">SUM(ABS(Q28:Q37),ABS(Q39:Q42))/COUNT(Q28:Q37,Q39:Q42)</f>
        <v>0.11001833696349129</v>
      </c>
      <c r="R45" s="91" cm="1">
        <f t="array" ref="R45">SUM(ABS(R28:R37),ABS(R39:R42))/COUNT(R28:R37,R39:R42)</f>
        <v>0.13104774364279267</v>
      </c>
    </row>
    <row r="46" spans="1:18" x14ac:dyDescent="0.2">
      <c r="A46" s="158" t="s">
        <v>79</v>
      </c>
      <c r="B46" s="158"/>
      <c r="C46" s="155"/>
      <c r="D46" s="156"/>
      <c r="E46" s="88" cm="1">
        <f t="array" ref="E46">SQRT(SUM(POWER(E28:E37,2),POWER(E39:E42,2))/COUNT(E28:E37,E39:E42))</f>
        <v>9.4294628541574541E-2</v>
      </c>
      <c r="F46" s="88" cm="1">
        <f t="array" ref="F46">SQRT(SUM(POWER(F28:F37,2),POWER(F39:F42,2))/COUNT(F28:F37,F39:F42))</f>
        <v>9.1836188766745402E-2</v>
      </c>
      <c r="G46" s="88"/>
      <c r="H46" s="90" cm="1">
        <f t="array" ref="H46">SQRT(SUM(POWER(H28:H37,2),POWER(H39:H42,2))/COUNT(H28:H37,H39:H42))</f>
        <v>5.5579550184762155E-2</v>
      </c>
      <c r="I46" s="88" cm="1">
        <f t="array" ref="I46">SQRT(SUM(POWER(I28:I37,2),POWER(I39:I42,2))/COUNT(I28:I37,I39:I42))</f>
        <v>0.41193083022123006</v>
      </c>
      <c r="J46" s="88" cm="1">
        <f t="array" ref="J46">SQRT(SUM(POWER(J28:J37,2),POWER(J39:J42,2))/COUNT(J28:J37,J39:J42))</f>
        <v>7.4362506128888839E-2</v>
      </c>
      <c r="K46" s="88" cm="1">
        <f t="array" ref="K46">SQRT(SUM(POWER(K28:K37,2),POWER(K39:K42,2))/COUNT(K28:K37,K39:K42))</f>
        <v>0.16238148096970942</v>
      </c>
      <c r="L46" s="88" cm="1">
        <f t="array" ref="L46">SQRT(SUM(POWER(L28:L37,2),POWER(L39:L42,2))/COUNT(L28:L37,L39:L42))</f>
        <v>0.16480238999200583</v>
      </c>
      <c r="M46" s="88" t="e" cm="1">
        <f t="array" ref="M46">SQRT(SUM(POWER(M28:M37,2),POWER(M39:M42,2))/COUNT(M28:M37,M39:M42))</f>
        <v>#DIV/0!</v>
      </c>
      <c r="N46" s="88" cm="1">
        <f t="array" ref="N46">SQRT(SUM(POWER(N28:N37,2),POWER(N39:N42,2))/COUNT(N28:N37,N39:N42))</f>
        <v>0.11383692362452565</v>
      </c>
      <c r="O46" s="88" cm="1">
        <f t="array" ref="O46">SQRT(SUM(POWER(O28:O37,2),POWER(O39:O42,2))/COUNT(O28:O37,O39:O42))</f>
        <v>0.11951879820112137</v>
      </c>
      <c r="P46" s="88" cm="1">
        <f t="array" ref="P46">SQRT(SUM(POWER(P28:P37,2),POWER(P39:P42,2))/COUNT(P28:P37,P39:P42))</f>
        <v>0.14280091820382956</v>
      </c>
      <c r="Q46" s="88" cm="1">
        <f t="array" ref="Q46">SQRT(SUM(POWER(Q28:Q37,2),POWER(Q39:Q42,2))/COUNT(Q28:Q37,Q39:Q42))</f>
        <v>0.1345711248178941</v>
      </c>
      <c r="R46" s="92" cm="1">
        <f t="array" ref="R46">SQRT(SUM(POWER(R28:R37,2),POWER(R39:R42,2))/COUNT(R28:R37,R39:R42))</f>
        <v>0.24266965912860264</v>
      </c>
    </row>
    <row r="48" spans="1:18" x14ac:dyDescent="0.2">
      <c r="B48" t="s">
        <v>167</v>
      </c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AA41"/>
  <sheetViews>
    <sheetView zoomScale="85" zoomScaleNormal="85" workbookViewId="0">
      <selection activeCell="G12" sqref="G12"/>
    </sheetView>
  </sheetViews>
  <sheetFormatPr defaultRowHeight="12.75" x14ac:dyDescent="0.2"/>
  <cols>
    <col min="1" max="1" width="9.140625" style="79"/>
    <col min="3" max="3" width="12.7109375" bestFit="1" customWidth="1"/>
    <col min="4" max="4" width="8.85546875" customWidth="1"/>
    <col min="5" max="5" width="6.42578125" customWidth="1"/>
    <col min="6" max="6" width="8.28515625" bestFit="1" customWidth="1"/>
    <col min="7" max="7" width="14.28515625" bestFit="1" customWidth="1"/>
    <col min="8" max="8" width="8" bestFit="1" customWidth="1"/>
    <col min="9" max="9" width="7.28515625" bestFit="1" customWidth="1"/>
    <col min="10" max="10" width="11.7109375" bestFit="1" customWidth="1"/>
    <col min="11" max="11" width="12.28515625" bestFit="1" customWidth="1"/>
    <col min="12" max="12" width="6.28515625" bestFit="1" customWidth="1"/>
    <col min="13" max="13" width="6.5703125" bestFit="1" customWidth="1"/>
  </cols>
  <sheetData>
    <row r="1" spans="1:27" x14ac:dyDescent="0.2">
      <c r="A1" s="79" t="s">
        <v>105</v>
      </c>
      <c r="B1" t="s">
        <v>85</v>
      </c>
    </row>
    <row r="2" spans="1:27" x14ac:dyDescent="0.2">
      <c r="A2" s="79" t="s">
        <v>100</v>
      </c>
      <c r="B2" t="s">
        <v>82</v>
      </c>
    </row>
    <row r="3" spans="1:27" x14ac:dyDescent="0.2">
      <c r="A3" s="79" t="s">
        <v>101</v>
      </c>
      <c r="B3" t="s">
        <v>154</v>
      </c>
    </row>
    <row r="4" spans="1:27" x14ac:dyDescent="0.2">
      <c r="A4" s="79" t="s">
        <v>102</v>
      </c>
      <c r="B4" t="s">
        <v>153</v>
      </c>
      <c r="O4" s="93"/>
      <c r="AA4" s="6"/>
    </row>
    <row r="5" spans="1:27" x14ac:dyDescent="0.2">
      <c r="A5" s="79" t="s">
        <v>103</v>
      </c>
      <c r="B5" t="s">
        <v>83</v>
      </c>
      <c r="AA5" s="6"/>
    </row>
    <row r="6" spans="1:27" x14ac:dyDescent="0.2">
      <c r="AA6" s="6"/>
    </row>
    <row r="7" spans="1:27" x14ac:dyDescent="0.2">
      <c r="AA7" s="6"/>
    </row>
    <row r="8" spans="1:27" x14ac:dyDescent="0.2">
      <c r="A8" s="79" t="s">
        <v>104</v>
      </c>
      <c r="B8" s="100" t="s">
        <v>84</v>
      </c>
      <c r="C8" s="100"/>
      <c r="D8" s="100" t="s">
        <v>116</v>
      </c>
      <c r="E8" s="100"/>
      <c r="F8" s="100"/>
      <c r="G8" s="100"/>
      <c r="H8" s="100"/>
      <c r="I8" s="100"/>
      <c r="J8" s="100"/>
      <c r="K8" s="100"/>
      <c r="L8" s="100"/>
      <c r="M8" s="100"/>
      <c r="N8" s="100"/>
      <c r="AA8" s="6"/>
    </row>
    <row r="9" spans="1:27" ht="15" x14ac:dyDescent="0.2">
      <c r="A9" s="79" t="s">
        <v>182</v>
      </c>
      <c r="C9" s="82" t="s">
        <v>86</v>
      </c>
      <c r="D9" s="82" t="s">
        <v>87</v>
      </c>
      <c r="E9" s="82" t="s">
        <v>88</v>
      </c>
      <c r="F9" s="82" t="s">
        <v>89</v>
      </c>
      <c r="G9" s="82" t="s">
        <v>90</v>
      </c>
      <c r="H9" s="82" t="s">
        <v>91</v>
      </c>
      <c r="I9" s="82" t="s">
        <v>92</v>
      </c>
      <c r="J9" s="82" t="s">
        <v>93</v>
      </c>
      <c r="K9" s="82" t="s">
        <v>94</v>
      </c>
      <c r="L9" s="85"/>
      <c r="M9" s="85"/>
      <c r="AA9" s="6"/>
    </row>
    <row r="10" spans="1:27" ht="15" x14ac:dyDescent="0.2">
      <c r="B10" s="82" t="s">
        <v>97</v>
      </c>
      <c r="C10" s="2">
        <v>5.3622981204089641E-2</v>
      </c>
      <c r="D10" s="2">
        <v>3.7152442211869391E-2</v>
      </c>
      <c r="E10" s="2">
        <v>3.9402458247211371E-2</v>
      </c>
      <c r="F10" s="2">
        <v>0.1055949591274538</v>
      </c>
      <c r="G10" s="2">
        <v>3.9758549033784729E-2</v>
      </c>
      <c r="H10" s="2">
        <v>3.8446903631986863E-2</v>
      </c>
      <c r="I10" s="2">
        <v>4.0311194707733949E-2</v>
      </c>
      <c r="J10" s="2">
        <v>4.4297924060337057E-2</v>
      </c>
      <c r="K10" s="2">
        <v>5.064000011181205E-2</v>
      </c>
      <c r="L10" s="2"/>
      <c r="M10" s="2"/>
      <c r="AA10" s="6"/>
    </row>
    <row r="11" spans="1:27" ht="15" x14ac:dyDescent="0.2">
      <c r="B11" s="82" t="s">
        <v>98</v>
      </c>
      <c r="C11" s="2">
        <v>6.72393785493762E-2</v>
      </c>
      <c r="D11" s="2">
        <v>4.6669307542673351E-2</v>
      </c>
      <c r="E11" s="2">
        <v>5.1905164962027663E-2</v>
      </c>
      <c r="F11" s="2">
        <v>0.1404956248640816</v>
      </c>
      <c r="G11" s="2">
        <v>5.3225565626240132E-2</v>
      </c>
      <c r="H11" s="2">
        <v>5.1951376037227083E-2</v>
      </c>
      <c r="I11" s="2">
        <v>5.2110500605648952E-2</v>
      </c>
      <c r="J11" s="2">
        <v>5.6874479904896927E-2</v>
      </c>
      <c r="K11" s="2">
        <v>6.3694037896161293E-2</v>
      </c>
      <c r="L11" s="2"/>
      <c r="M11" s="2"/>
      <c r="AA11" s="6"/>
    </row>
    <row r="12" spans="1:27" ht="15" x14ac:dyDescent="0.2">
      <c r="B12" s="82" t="s">
        <v>99</v>
      </c>
      <c r="C12" s="2">
        <v>-3.268945022288261E-2</v>
      </c>
      <c r="D12" s="2">
        <v>-1.1421140813008161E-2</v>
      </c>
      <c r="E12" s="2">
        <v>-7.3337965383667436E-3</v>
      </c>
      <c r="F12" s="2">
        <v>-6.615068565389659E-2</v>
      </c>
      <c r="G12" s="2">
        <v>-4.9086434477733087E-3</v>
      </c>
      <c r="H12" s="2">
        <v>-7.3408026698128506E-3</v>
      </c>
      <c r="I12" s="2">
        <v>-1.109776156211406E-2</v>
      </c>
      <c r="J12" s="2">
        <v>-1.0329892183660981E-2</v>
      </c>
      <c r="K12" s="2">
        <v>-6.5924541779227566E-3</v>
      </c>
      <c r="L12" s="2"/>
      <c r="M12" s="2"/>
      <c r="AA12" s="6"/>
    </row>
    <row r="13" spans="1:27" x14ac:dyDescent="0.2">
      <c r="AA13" s="6"/>
    </row>
    <row r="14" spans="1:27" x14ac:dyDescent="0.2">
      <c r="AA14" s="6"/>
    </row>
    <row r="15" spans="1:27" x14ac:dyDescent="0.2">
      <c r="A15" s="79" t="s">
        <v>106</v>
      </c>
      <c r="B15" t="s">
        <v>107</v>
      </c>
      <c r="AA15" s="6"/>
    </row>
    <row r="16" spans="1:27" x14ac:dyDescent="0.2">
      <c r="B16" t="s">
        <v>145</v>
      </c>
      <c r="H16" s="80" t="s">
        <v>108</v>
      </c>
      <c r="AA16" s="6"/>
    </row>
    <row r="17" spans="1:27" x14ac:dyDescent="0.2">
      <c r="B17" t="s">
        <v>146</v>
      </c>
      <c r="H17" s="80"/>
      <c r="AA17" s="6"/>
    </row>
    <row r="18" spans="1:27" x14ac:dyDescent="0.2">
      <c r="AA18" s="6"/>
    </row>
    <row r="19" spans="1:27" x14ac:dyDescent="0.2">
      <c r="A19" s="79" t="s">
        <v>109</v>
      </c>
      <c r="B19" t="s">
        <v>117</v>
      </c>
      <c r="AA19" s="6"/>
    </row>
    <row r="20" spans="1:27" x14ac:dyDescent="0.2">
      <c r="AA20" s="6"/>
    </row>
    <row r="21" spans="1:27" x14ac:dyDescent="0.2">
      <c r="A21" s="79" t="s">
        <v>110</v>
      </c>
      <c r="B21" s="159" t="s">
        <v>111</v>
      </c>
      <c r="C21" s="159"/>
      <c r="D21" s="159"/>
      <c r="E21" s="159"/>
      <c r="F21" s="75">
        <f>Q15+Q16*'2. Past Proj &amp; Candidate Model'!R22</f>
        <v>0</v>
      </c>
      <c r="G21" s="81" t="s">
        <v>112</v>
      </c>
      <c r="H21" s="2" t="e">
        <f>'2. Past Proj &amp; Candidate Model'!S22/'3. Improved Alpha Model'!F21-1</f>
        <v>#DIV/0!</v>
      </c>
      <c r="AA21" s="6"/>
    </row>
    <row r="22" spans="1:27" x14ac:dyDescent="0.2">
      <c r="B22" t="s">
        <v>168</v>
      </c>
      <c r="AA22" s="6"/>
    </row>
    <row r="23" spans="1:27" x14ac:dyDescent="0.2">
      <c r="B23" t="s">
        <v>115</v>
      </c>
      <c r="AA23" s="6"/>
    </row>
    <row r="24" spans="1:27" x14ac:dyDescent="0.2">
      <c r="B24" t="s">
        <v>169</v>
      </c>
      <c r="AA24" s="6"/>
    </row>
    <row r="25" spans="1:27" x14ac:dyDescent="0.2">
      <c r="B25" s="160" t="s">
        <v>170</v>
      </c>
      <c r="C25" s="160"/>
      <c r="D25" s="160"/>
      <c r="E25" s="3">
        <f>C10</f>
        <v>5.3622981204089641E-2</v>
      </c>
      <c r="F25" t="s">
        <v>113</v>
      </c>
      <c r="G25" s="160" t="s">
        <v>114</v>
      </c>
      <c r="H25" s="160"/>
      <c r="I25" s="3">
        <f>F10</f>
        <v>0.1055949591274538</v>
      </c>
      <c r="AA25" s="6"/>
    </row>
    <row r="26" spans="1:27" x14ac:dyDescent="0.2">
      <c r="AA26" s="6"/>
    </row>
    <row r="27" spans="1:27" x14ac:dyDescent="0.2">
      <c r="AA27" s="6"/>
    </row>
    <row r="28" spans="1:27" x14ac:dyDescent="0.2">
      <c r="A28" s="79" t="s">
        <v>118</v>
      </c>
      <c r="B28" t="s">
        <v>119</v>
      </c>
      <c r="AA28" s="6"/>
    </row>
    <row r="29" spans="1:27" x14ac:dyDescent="0.2">
      <c r="B29" t="s">
        <v>120</v>
      </c>
      <c r="AA29" s="6"/>
    </row>
    <row r="30" spans="1:27" x14ac:dyDescent="0.2">
      <c r="B30" t="s">
        <v>121</v>
      </c>
      <c r="AA30" s="6"/>
    </row>
    <row r="31" spans="1:27" x14ac:dyDescent="0.2">
      <c r="B31" t="s">
        <v>122</v>
      </c>
      <c r="AA31" s="6"/>
    </row>
    <row r="32" spans="1:27" x14ac:dyDescent="0.2">
      <c r="B32" t="s">
        <v>123</v>
      </c>
      <c r="AA32" s="6"/>
    </row>
    <row r="33" spans="2:27" x14ac:dyDescent="0.2">
      <c r="B33" t="s">
        <v>124</v>
      </c>
      <c r="AA33" s="6"/>
    </row>
    <row r="34" spans="2:27" x14ac:dyDescent="0.2">
      <c r="B34" t="s">
        <v>125</v>
      </c>
      <c r="AA34" s="6"/>
    </row>
    <row r="35" spans="2:27" x14ac:dyDescent="0.2">
      <c r="B35" t="s">
        <v>126</v>
      </c>
      <c r="AA35" s="6"/>
    </row>
    <row r="36" spans="2:27" x14ac:dyDescent="0.2">
      <c r="B36" t="s">
        <v>127</v>
      </c>
      <c r="AA36" s="6"/>
    </row>
    <row r="37" spans="2:27" x14ac:dyDescent="0.2">
      <c r="B37" t="s">
        <v>128</v>
      </c>
      <c r="AA37" s="6"/>
    </row>
    <row r="38" spans="2:27" x14ac:dyDescent="0.2">
      <c r="AA38" s="6"/>
    </row>
    <row r="39" spans="2:27" x14ac:dyDescent="0.2">
      <c r="AA39" s="6"/>
    </row>
    <row r="40" spans="2:27" x14ac:dyDescent="0.2"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2:27" x14ac:dyDescent="0.2"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</sheetData>
  <mergeCells count="5">
    <mergeCell ref="D8:N8"/>
    <mergeCell ref="B8:C8"/>
    <mergeCell ref="B21:E21"/>
    <mergeCell ref="B25:D25"/>
    <mergeCell ref="G25:H25"/>
  </mergeCells>
  <conditionalFormatting sqref="C10:J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J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C45" sqref="C45"/>
    </sheetView>
  </sheetViews>
  <sheetFormatPr defaultRowHeight="12.75" x14ac:dyDescent="0.2"/>
  <cols>
    <col min="1" max="1" width="9.140625" style="79"/>
    <col min="3" max="3" width="18.5703125" customWidth="1"/>
    <col min="4" max="13" width="14.7109375" customWidth="1"/>
  </cols>
  <sheetData>
    <row r="1" spans="1:25" x14ac:dyDescent="0.2">
      <c r="A1" s="79" t="s">
        <v>130</v>
      </c>
      <c r="B1" t="s">
        <v>85</v>
      </c>
    </row>
    <row r="3" spans="1:25" x14ac:dyDescent="0.2">
      <c r="A3" s="79" t="s">
        <v>101</v>
      </c>
      <c r="B3" t="s">
        <v>129</v>
      </c>
    </row>
    <row r="4" spans="1:25" ht="15" x14ac:dyDescent="0.2">
      <c r="A4" s="79" t="s">
        <v>182</v>
      </c>
      <c r="C4" s="82" t="s">
        <v>86</v>
      </c>
      <c r="D4" s="82" t="s">
        <v>87</v>
      </c>
      <c r="E4" s="82" t="s">
        <v>88</v>
      </c>
      <c r="F4" s="82" t="s">
        <v>89</v>
      </c>
      <c r="G4" s="82" t="s">
        <v>90</v>
      </c>
      <c r="H4" s="82" t="s">
        <v>91</v>
      </c>
      <c r="I4" s="82" t="s">
        <v>92</v>
      </c>
      <c r="J4" s="82" t="s">
        <v>93</v>
      </c>
      <c r="K4" s="82" t="s">
        <v>94</v>
      </c>
      <c r="L4" s="82" t="s">
        <v>95</v>
      </c>
      <c r="M4" s="82" t="s">
        <v>96</v>
      </c>
    </row>
    <row r="5" spans="1:25" ht="15" x14ac:dyDescent="0.2">
      <c r="B5" s="82" t="s">
        <v>97</v>
      </c>
      <c r="C5" s="2">
        <v>4.8260683083680679E-2</v>
      </c>
      <c r="D5" s="2">
        <v>4.2917364062111017E-2</v>
      </c>
      <c r="E5" s="2">
        <v>4.6028966942692803E-2</v>
      </c>
      <c r="F5" s="2">
        <v>9.9102111501867235E-2</v>
      </c>
      <c r="G5" s="2">
        <v>4.6115573636456977E-2</v>
      </c>
      <c r="H5" s="2">
        <v>4.5168820858365141E-2</v>
      </c>
      <c r="I5" s="2">
        <v>4.684468735113341E-2</v>
      </c>
      <c r="J5" s="2">
        <v>4.9999907301198562E-2</v>
      </c>
      <c r="K5" s="2">
        <v>5.590690326397315E-2</v>
      </c>
      <c r="L5" s="2">
        <v>9.1310057414329612E-2</v>
      </c>
      <c r="M5" s="2">
        <v>0.10315787929084889</v>
      </c>
    </row>
    <row r="6" spans="1:25" ht="15" x14ac:dyDescent="0.2">
      <c r="B6" s="82" t="s">
        <v>98</v>
      </c>
      <c r="C6" s="2">
        <v>6.3788875401089185E-2</v>
      </c>
      <c r="D6" s="2">
        <v>5.3469218502611562E-2</v>
      </c>
      <c r="E6" s="2">
        <v>5.9508777047289317E-2</v>
      </c>
      <c r="F6" s="2">
        <v>0.1339047976297652</v>
      </c>
      <c r="G6" s="2">
        <v>6.0144399086494403E-2</v>
      </c>
      <c r="H6" s="2">
        <v>5.9544797291335973E-2</v>
      </c>
      <c r="I6" s="2">
        <v>5.9666273029773557E-2</v>
      </c>
      <c r="J6" s="2">
        <v>6.2751610302823765E-2</v>
      </c>
      <c r="K6" s="2">
        <v>6.8691433373233884E-2</v>
      </c>
      <c r="L6" s="2">
        <v>0.13204057907334149</v>
      </c>
      <c r="M6" s="2">
        <v>0.14459993949730821</v>
      </c>
    </row>
    <row r="7" spans="1:25" ht="15" x14ac:dyDescent="0.2">
      <c r="B7" s="82" t="s">
        <v>99</v>
      </c>
      <c r="C7" s="2">
        <v>-1.710230086901704E-2</v>
      </c>
      <c r="D7" s="2">
        <v>-1.5227288796584859E-3</v>
      </c>
      <c r="E7" s="2">
        <v>2.1089898266153928E-3</v>
      </c>
      <c r="F7" s="2">
        <v>-4.3361734154121152E-2</v>
      </c>
      <c r="G7" s="2">
        <v>1.303624676922299E-3</v>
      </c>
      <c r="H7" s="2">
        <v>-3.0281630999863811E-3</v>
      </c>
      <c r="I7" s="2">
        <v>-1.1028212281078481E-2</v>
      </c>
      <c r="J7" s="2">
        <v>-1.02495923479774E-2</v>
      </c>
      <c r="K7" s="2">
        <v>-5.7891543326638586E-3</v>
      </c>
      <c r="L7" s="2">
        <v>-7.8619945267617675E-2</v>
      </c>
      <c r="M7" s="2">
        <v>-4.0719805256885837E-2</v>
      </c>
    </row>
    <row r="9" spans="1:25" ht="15" x14ac:dyDescent="0.2">
      <c r="A9" s="79" t="s">
        <v>102</v>
      </c>
      <c r="B9" s="83" t="s">
        <v>171</v>
      </c>
    </row>
    <row r="11" spans="1:25" x14ac:dyDescent="0.2">
      <c r="A11" s="79" t="s">
        <v>103</v>
      </c>
      <c r="B11" t="s">
        <v>144</v>
      </c>
    </row>
    <row r="12" spans="1:25" ht="15" x14ac:dyDescent="0.2">
      <c r="B12" s="82" t="s">
        <v>131</v>
      </c>
      <c r="C12" s="82" t="s">
        <v>132</v>
      </c>
      <c r="D12" s="82" t="s">
        <v>86</v>
      </c>
      <c r="E12" s="82" t="s">
        <v>87</v>
      </c>
      <c r="F12" s="82" t="s">
        <v>88</v>
      </c>
      <c r="G12" s="82" t="s">
        <v>89</v>
      </c>
      <c r="H12" s="82" t="s">
        <v>90</v>
      </c>
      <c r="I12" s="82" t="s">
        <v>91</v>
      </c>
      <c r="J12" s="82" t="s">
        <v>92</v>
      </c>
      <c r="K12" s="82" t="s">
        <v>93</v>
      </c>
      <c r="L12" s="82" t="s">
        <v>94</v>
      </c>
      <c r="M12" s="82" t="s">
        <v>133</v>
      </c>
      <c r="N12" s="82" t="s">
        <v>134</v>
      </c>
      <c r="O12" s="82" t="s">
        <v>135</v>
      </c>
      <c r="P12" s="82" t="s">
        <v>136</v>
      </c>
      <c r="Q12" s="82" t="s">
        <v>137</v>
      </c>
      <c r="R12" s="82" t="s">
        <v>138</v>
      </c>
      <c r="S12" s="82" t="s">
        <v>139</v>
      </c>
      <c r="T12" s="82" t="s">
        <v>140</v>
      </c>
      <c r="U12" s="82" t="s">
        <v>141</v>
      </c>
      <c r="V12" s="82" t="s">
        <v>140</v>
      </c>
      <c r="W12" s="82" t="s">
        <v>141</v>
      </c>
      <c r="X12" s="82" t="s">
        <v>142</v>
      </c>
      <c r="Y12" s="82" t="s">
        <v>143</v>
      </c>
    </row>
    <row r="13" spans="1:25" ht="15" x14ac:dyDescent="0.2">
      <c r="B13" t="s">
        <v>180</v>
      </c>
      <c r="C13">
        <v>52.9</v>
      </c>
      <c r="D13">
        <v>51.9</v>
      </c>
      <c r="E13">
        <v>53.305366999999997</v>
      </c>
      <c r="N13" s="2">
        <f>E13/C13-1</f>
        <v>7.662892249527431E-3</v>
      </c>
      <c r="V13" s="164"/>
      <c r="W13" s="164"/>
      <c r="X13" s="164"/>
      <c r="Y13" s="164"/>
    </row>
    <row r="14" spans="1:25" ht="15" x14ac:dyDescent="0.2">
      <c r="B14" t="s">
        <v>181</v>
      </c>
      <c r="C14">
        <v>49.7</v>
      </c>
      <c r="D14">
        <v>53.3</v>
      </c>
      <c r="E14">
        <v>49.877791000000002</v>
      </c>
      <c r="N14" s="2">
        <f t="shared" ref="N14:N19" si="0">E14/C14-1</f>
        <v>3.5772837022132187E-3</v>
      </c>
      <c r="V14" s="164"/>
      <c r="W14" s="164"/>
      <c r="X14" s="164"/>
      <c r="Y14" s="164"/>
    </row>
    <row r="15" spans="1:25" x14ac:dyDescent="0.2">
      <c r="B15" t="s">
        <v>42</v>
      </c>
      <c r="C15">
        <v>52.6</v>
      </c>
      <c r="D15">
        <v>54</v>
      </c>
      <c r="E15">
        <v>51.862488999999997</v>
      </c>
      <c r="N15" s="2">
        <f t="shared" si="0"/>
        <v>-1.4021121673003845E-2</v>
      </c>
    </row>
    <row r="16" spans="1:25" x14ac:dyDescent="0.2">
      <c r="B16" t="s">
        <v>43</v>
      </c>
      <c r="C16">
        <v>54.7</v>
      </c>
      <c r="D16">
        <v>55.2</v>
      </c>
      <c r="E16">
        <v>55.498578000000002</v>
      </c>
      <c r="N16" s="2">
        <f t="shared" si="0"/>
        <v>1.459923217550263E-2</v>
      </c>
    </row>
    <row r="17" spans="2:25" x14ac:dyDescent="0.2">
      <c r="B17" t="s">
        <v>44</v>
      </c>
      <c r="C17">
        <v>57.7</v>
      </c>
      <c r="D17">
        <v>35.5</v>
      </c>
      <c r="E17">
        <v>54.298037000000001</v>
      </c>
      <c r="N17" s="2">
        <f t="shared" si="0"/>
        <v>-5.8959497400346672E-2</v>
      </c>
    </row>
    <row r="18" spans="2:25" x14ac:dyDescent="0.2">
      <c r="B18" t="s">
        <v>45</v>
      </c>
      <c r="C18">
        <v>54.9</v>
      </c>
      <c r="D18">
        <v>33.799999999999997</v>
      </c>
      <c r="E18">
        <v>57.529834000000001</v>
      </c>
      <c r="N18" s="2">
        <f t="shared" si="0"/>
        <v>4.7902258652094742E-2</v>
      </c>
    </row>
    <row r="19" spans="2:25" x14ac:dyDescent="0.2">
      <c r="B19" t="s">
        <v>46</v>
      </c>
      <c r="C19">
        <v>58.6</v>
      </c>
      <c r="D19">
        <v>54.5</v>
      </c>
      <c r="E19">
        <v>56.788314999999997</v>
      </c>
      <c r="N19" s="2">
        <f t="shared" si="0"/>
        <v>-3.0916126279863509E-2</v>
      </c>
    </row>
    <row r="20" spans="2:25" x14ac:dyDescent="0.2">
      <c r="B20" t="s">
        <v>47</v>
      </c>
      <c r="C20">
        <v>60.9</v>
      </c>
      <c r="D20">
        <v>57.2</v>
      </c>
      <c r="E20">
        <v>62.296040840000003</v>
      </c>
      <c r="F20">
        <v>61.603503170068286</v>
      </c>
      <c r="G20">
        <v>53.428927982940763</v>
      </c>
      <c r="H20">
        <v>61.357717871618533</v>
      </c>
      <c r="I20">
        <v>60.978224617013261</v>
      </c>
      <c r="J20">
        <v>60.232617423297377</v>
      </c>
      <c r="K20">
        <v>59.685774471342228</v>
      </c>
      <c r="L20">
        <v>54.442857142857143</v>
      </c>
      <c r="M20" s="2">
        <v>-6.0755336617405509E-2</v>
      </c>
      <c r="N20" s="2">
        <v>2.292349490968815E-2</v>
      </c>
      <c r="O20" s="2">
        <v>1.1551776191597529E-2</v>
      </c>
      <c r="P20" s="2">
        <v>-0.1226777014295443</v>
      </c>
      <c r="Q20" s="2">
        <v>7.5158928016179072E-3</v>
      </c>
      <c r="R20" s="2">
        <v>1.2844764698400899E-3</v>
      </c>
      <c r="S20" s="2">
        <v>-1.095866300004289E-2</v>
      </c>
      <c r="T20" s="2">
        <v>-1.9938021817040519E-2</v>
      </c>
      <c r="U20" s="2">
        <v>-0.1060286183438893</v>
      </c>
      <c r="V20" s="2">
        <v>6.6057944082597908E-2</v>
      </c>
      <c r="W20" s="2">
        <v>6.1678496867172861E-2</v>
      </c>
      <c r="X20" s="2">
        <v>-0.1063033124701428</v>
      </c>
      <c r="Y20" s="2">
        <v>-0.14626373021468289</v>
      </c>
    </row>
    <row r="21" spans="2:25" x14ac:dyDescent="0.2">
      <c r="B21" t="s">
        <v>48</v>
      </c>
      <c r="C21">
        <v>65.7</v>
      </c>
      <c r="D21">
        <v>60.9</v>
      </c>
      <c r="E21">
        <v>63.665699549999999</v>
      </c>
      <c r="F21">
        <v>62.306676320886517</v>
      </c>
      <c r="G21">
        <v>55.052140326009898</v>
      </c>
      <c r="H21">
        <v>62.101156037091947</v>
      </c>
      <c r="I21">
        <v>62.198634038366272</v>
      </c>
      <c r="J21">
        <v>62.300039355355914</v>
      </c>
      <c r="K21">
        <v>61.477159345509747</v>
      </c>
      <c r="L21">
        <v>62.034802898100097</v>
      </c>
      <c r="M21" s="2">
        <v>-7.3059360730593714E-2</v>
      </c>
      <c r="N21" s="2">
        <v>-3.0963477168949871E-2</v>
      </c>
      <c r="O21" s="2">
        <v>-5.1648762239170143E-2</v>
      </c>
      <c r="P21" s="2">
        <v>-0.1620678793605799</v>
      </c>
      <c r="Q21" s="2">
        <v>-5.4776924854003872E-2</v>
      </c>
      <c r="R21" s="2">
        <v>-5.3293241425171001E-2</v>
      </c>
      <c r="S21" s="2">
        <v>-5.1749781501432168E-2</v>
      </c>
      <c r="T21" s="2">
        <v>-6.4274591392545655E-2</v>
      </c>
      <c r="U21" s="2">
        <v>-5.5786866086756433E-2</v>
      </c>
      <c r="V21" s="2">
        <v>5.3681306249165228E-2</v>
      </c>
      <c r="W21" s="2">
        <v>3.4544689905365633E-2</v>
      </c>
      <c r="X21" s="2">
        <v>-0.34856267038944111</v>
      </c>
      <c r="Y21" s="2">
        <v>-0.32497593550189291</v>
      </c>
    </row>
    <row r="22" spans="2:25" x14ac:dyDescent="0.2">
      <c r="B22" t="s">
        <v>49</v>
      </c>
      <c r="C22">
        <v>61.5</v>
      </c>
      <c r="D22">
        <v>58.3</v>
      </c>
      <c r="E22">
        <v>60.797599839999997</v>
      </c>
      <c r="F22">
        <v>61.017352419174763</v>
      </c>
      <c r="G22">
        <v>57.431732832285363</v>
      </c>
      <c r="H22">
        <v>61.097415261401622</v>
      </c>
      <c r="I22">
        <v>61.017075343010077</v>
      </c>
      <c r="J22">
        <v>60.817487663929988</v>
      </c>
      <c r="K22">
        <v>60.874588510493929</v>
      </c>
      <c r="L22">
        <v>61.09456406805775</v>
      </c>
      <c r="M22" s="2">
        <v>-5.2032520325203342E-2</v>
      </c>
      <c r="N22" s="2">
        <v>-1.1421140813008161E-2</v>
      </c>
      <c r="O22" s="2">
        <v>-7.8479281434997716E-3</v>
      </c>
      <c r="P22" s="2">
        <v>-6.615068565389659E-2</v>
      </c>
      <c r="Q22" s="2">
        <v>-6.5460933105426777E-3</v>
      </c>
      <c r="R22" s="2">
        <v>-7.8524334469904922E-3</v>
      </c>
      <c r="S22" s="2">
        <v>-1.109776156211406E-2</v>
      </c>
      <c r="T22" s="2">
        <v>-1.016929251229381E-2</v>
      </c>
      <c r="U22" s="2">
        <v>-6.5924541779227566E-3</v>
      </c>
      <c r="V22" s="2">
        <v>6.8728691464245983E-3</v>
      </c>
      <c r="W22" s="2">
        <v>6.3302629331221114E-3</v>
      </c>
      <c r="X22" s="2">
        <v>5.6015718122008904E-3</v>
      </c>
      <c r="Y22" s="2">
        <v>-5.645907829840302E-2</v>
      </c>
    </row>
    <row r="23" spans="2:25" x14ac:dyDescent="0.2">
      <c r="B23" t="s">
        <v>50</v>
      </c>
      <c r="C23">
        <v>66</v>
      </c>
      <c r="D23">
        <v>65.900000000000006</v>
      </c>
      <c r="E23">
        <v>65.216826459999993</v>
      </c>
      <c r="F23">
        <v>65.515969428467798</v>
      </c>
      <c r="G23">
        <v>59.381906689701133</v>
      </c>
      <c r="H23">
        <v>65.676029532446961</v>
      </c>
      <c r="I23">
        <v>65.515507023792352</v>
      </c>
      <c r="J23">
        <v>65.167981978805386</v>
      </c>
      <c r="K23">
        <v>65.318227115878372</v>
      </c>
      <c r="L23">
        <v>65.670933603831273</v>
      </c>
      <c r="M23" s="2">
        <v>-1.515151515151469E-3</v>
      </c>
      <c r="N23" s="2">
        <v>-1.186626575757588E-2</v>
      </c>
      <c r="O23" s="2">
        <v>-7.3337965383667436E-3</v>
      </c>
      <c r="P23" s="2">
        <v>-0.1002741410651343</v>
      </c>
      <c r="Q23" s="2">
        <v>-4.9086434477733087E-3</v>
      </c>
      <c r="R23" s="2">
        <v>-7.3408026698128506E-3</v>
      </c>
      <c r="S23" s="2">
        <v>-1.260633365446384E-2</v>
      </c>
      <c r="T23" s="2">
        <v>-1.0329892183660981E-2</v>
      </c>
      <c r="U23" s="2">
        <v>-4.9858544874049624E-3</v>
      </c>
      <c r="V23" s="2">
        <v>-9.3622060427422937E-3</v>
      </c>
      <c r="W23" s="2">
        <v>-1.143344712410088E-2</v>
      </c>
      <c r="X23" s="2">
        <v>-6.7191102735460473E-2</v>
      </c>
      <c r="Y23" s="2">
        <v>-6.798687176167606E-3</v>
      </c>
    </row>
    <row r="24" spans="2:25" x14ac:dyDescent="0.2">
      <c r="B24" t="s">
        <v>51</v>
      </c>
      <c r="C24">
        <v>58.1</v>
      </c>
      <c r="D24">
        <v>66.3</v>
      </c>
      <c r="E24">
        <v>61.17</v>
      </c>
      <c r="F24">
        <v>61.583494037910057</v>
      </c>
      <c r="G24">
        <v>61.278152108742361</v>
      </c>
      <c r="H24">
        <v>61.789877424853508</v>
      </c>
      <c r="I24">
        <v>61.58334264943106</v>
      </c>
      <c r="J24">
        <v>61.581847831081177</v>
      </c>
      <c r="K24">
        <v>61.76092541944638</v>
      </c>
      <c r="L24">
        <v>61.788112039318207</v>
      </c>
      <c r="M24" s="2">
        <v>0.14113597246127349</v>
      </c>
      <c r="N24" s="2">
        <v>5.2839931153184187E-2</v>
      </c>
      <c r="O24" s="2">
        <v>5.9956868122376328E-2</v>
      </c>
      <c r="P24" s="2">
        <v>5.4701413231365903E-2</v>
      </c>
      <c r="Q24" s="2">
        <v>6.3509077880439024E-2</v>
      </c>
      <c r="R24" s="2">
        <v>5.9954262468692843E-2</v>
      </c>
      <c r="S24" s="2">
        <v>5.9928534097782871E-2</v>
      </c>
      <c r="T24" s="2">
        <v>6.3010764534361163E-2</v>
      </c>
      <c r="U24" s="2">
        <v>6.3478692587232599E-2</v>
      </c>
      <c r="V24" s="2">
        <v>6.936956535635197E-3</v>
      </c>
      <c r="W24" s="2">
        <v>4.4348614699241118E-3</v>
      </c>
      <c r="X24" s="2">
        <v>3.6984453051122301E-2</v>
      </c>
      <c r="Y24" s="2">
        <v>1.6413220141025638E-2</v>
      </c>
    </row>
    <row r="25" spans="2:25" x14ac:dyDescent="0.2">
      <c r="B25" t="s">
        <v>52</v>
      </c>
      <c r="C25">
        <v>40.5</v>
      </c>
      <c r="D25">
        <v>37.1</v>
      </c>
      <c r="E25">
        <v>44.09</v>
      </c>
      <c r="F25">
        <v>44.632568556095649</v>
      </c>
      <c r="G25">
        <v>53.975603907637698</v>
      </c>
      <c r="H25">
        <v>44.679183617616609</v>
      </c>
      <c r="I25">
        <v>44.633061304012507</v>
      </c>
      <c r="J25">
        <v>44.638688623320967</v>
      </c>
      <c r="K25">
        <v>45.126692929198249</v>
      </c>
      <c r="L25">
        <v>44.684759995512088</v>
      </c>
      <c r="M25" s="2">
        <v>-8.395061728395059E-2</v>
      </c>
      <c r="N25" s="2">
        <v>8.864197530864204E-2</v>
      </c>
      <c r="O25" s="2">
        <v>0.1020387297801395</v>
      </c>
      <c r="P25" s="2">
        <v>0.33273096068241248</v>
      </c>
      <c r="Q25" s="2">
        <v>0.1031897189534965</v>
      </c>
      <c r="R25" s="2">
        <v>0.10205089639537079</v>
      </c>
      <c r="S25" s="2">
        <v>0.1021898425511349</v>
      </c>
      <c r="T25" s="2">
        <v>0.114239331585142</v>
      </c>
      <c r="U25" s="2">
        <v>0.1033274072965948</v>
      </c>
      <c r="V25" s="2">
        <v>-1.218173477689832E-2</v>
      </c>
      <c r="W25" s="2">
        <v>-1.2403144669101749E-2</v>
      </c>
      <c r="X25" s="2">
        <v>-1.1120361278510569E-2</v>
      </c>
      <c r="Y25" s="2">
        <v>-2.4980532215368671E-2</v>
      </c>
    </row>
    <row r="26" spans="2:25" x14ac:dyDescent="0.2">
      <c r="B26" t="s">
        <v>54</v>
      </c>
      <c r="C26">
        <v>61.9</v>
      </c>
      <c r="D26">
        <v>63.7</v>
      </c>
      <c r="E26">
        <v>56.96</v>
      </c>
      <c r="F26">
        <v>56.786899908174789</v>
      </c>
      <c r="G26">
        <v>60.626544753696002</v>
      </c>
      <c r="H26">
        <v>56.668129291912578</v>
      </c>
      <c r="I26">
        <v>56.786892119790267</v>
      </c>
      <c r="J26">
        <v>56.786806571759271</v>
      </c>
      <c r="K26">
        <v>56.811986375157659</v>
      </c>
      <c r="L26">
        <v>56.782139750982338</v>
      </c>
      <c r="M26" s="2">
        <v>2.907915993537968E-2</v>
      </c>
      <c r="N26" s="2">
        <v>-7.9806138933764093E-2</v>
      </c>
      <c r="O26" s="2">
        <v>-8.2602586297660929E-2</v>
      </c>
      <c r="P26" s="2">
        <v>-2.05727826543457E-2</v>
      </c>
      <c r="Q26" s="2">
        <v>-8.4521336156501148E-2</v>
      </c>
      <c r="R26" s="2">
        <v>-8.2602712119704935E-2</v>
      </c>
      <c r="S26" s="2">
        <v>-8.2604094155746766E-2</v>
      </c>
      <c r="T26" s="2">
        <v>-8.2197312194545069E-2</v>
      </c>
      <c r="U26" s="2">
        <v>-8.267948706005912E-2</v>
      </c>
      <c r="V26" s="2">
        <v>-4.5870285576653513E-2</v>
      </c>
      <c r="W26" s="2">
        <v>-4.6132015657210812E-2</v>
      </c>
      <c r="X26" s="2">
        <v>-0.1025593209741418</v>
      </c>
      <c r="Y26" s="2">
        <v>-0.10773921119599821</v>
      </c>
    </row>
    <row r="27" spans="2:25" x14ac:dyDescent="0.2">
      <c r="B27" t="s">
        <v>55</v>
      </c>
      <c r="C27">
        <v>59.6</v>
      </c>
      <c r="D27">
        <v>60.1</v>
      </c>
      <c r="E27">
        <v>60.099190710000002</v>
      </c>
      <c r="F27">
        <v>60.569210019016808</v>
      </c>
      <c r="G27">
        <v>59.41932014400129</v>
      </c>
      <c r="H27">
        <v>60.694302045668508</v>
      </c>
      <c r="I27">
        <v>60.569124700927567</v>
      </c>
      <c r="J27">
        <v>60.56811236015411</v>
      </c>
      <c r="K27">
        <v>60.648601027656063</v>
      </c>
      <c r="L27">
        <v>60.693316973138302</v>
      </c>
      <c r="M27" s="2">
        <v>8.3892617449663476E-3</v>
      </c>
      <c r="N27" s="2">
        <v>8.3756830536911853E-3</v>
      </c>
      <c r="O27" s="2">
        <v>1.6261913070751751E-2</v>
      </c>
      <c r="P27" s="2">
        <v>-3.0315412080320629E-3</v>
      </c>
      <c r="Q27" s="2">
        <v>1.8360772578330579E-2</v>
      </c>
      <c r="R27" s="2">
        <v>1.626048155918736E-2</v>
      </c>
      <c r="S27" s="2">
        <v>1.6243495975740041E-2</v>
      </c>
      <c r="T27" s="2">
        <v>1.759397697409493E-2</v>
      </c>
      <c r="U27" s="2">
        <v>1.834424451574335E-2</v>
      </c>
      <c r="V27" s="2">
        <v>-6.2489498868262161E-2</v>
      </c>
      <c r="W27" s="2">
        <v>-6.688001118136333E-2</v>
      </c>
      <c r="X27" s="2">
        <v>-9.0048787799774876E-2</v>
      </c>
      <c r="Y27" s="2">
        <v>-0.1095633664730664</v>
      </c>
    </row>
    <row r="28" spans="2:25" x14ac:dyDescent="0.2">
      <c r="B28" t="s">
        <v>56</v>
      </c>
      <c r="C28">
        <v>67.3</v>
      </c>
      <c r="D28">
        <v>65.099999999999994</v>
      </c>
      <c r="E28">
        <v>65.446970359999995</v>
      </c>
      <c r="F28">
        <v>66.26494189347784</v>
      </c>
      <c r="G28">
        <v>61.367671442202692</v>
      </c>
      <c r="H28">
        <v>66.324252207072632</v>
      </c>
      <c r="I28">
        <v>66.264735801241599</v>
      </c>
      <c r="J28">
        <v>66.262082852871742</v>
      </c>
      <c r="K28">
        <v>66.160736625588783</v>
      </c>
      <c r="L28">
        <v>66.321701864867549</v>
      </c>
      <c r="M28" s="2">
        <v>-3.268945022288261E-2</v>
      </c>
      <c r="N28" s="2">
        <v>-2.753387280832098E-2</v>
      </c>
      <c r="O28" s="2">
        <v>-1.5379763841339661E-2</v>
      </c>
      <c r="P28" s="2">
        <v>-8.814752686177274E-2</v>
      </c>
      <c r="Q28" s="2">
        <v>-1.4498481321357559E-2</v>
      </c>
      <c r="R28" s="2">
        <v>-1.538282613311137E-2</v>
      </c>
      <c r="S28" s="2">
        <v>-1.5422245871147929E-2</v>
      </c>
      <c r="T28" s="2">
        <v>-1.6928133349349391E-2</v>
      </c>
      <c r="U28" s="2">
        <v>-1.453637645070505E-2</v>
      </c>
      <c r="V28" s="2">
        <v>-5.4901355440535649E-2</v>
      </c>
      <c r="W28" s="2">
        <v>-6.2544609731268741E-2</v>
      </c>
      <c r="X28" s="2">
        <v>-0.12898976675484231</v>
      </c>
      <c r="Y28" s="2">
        <v>5.3150892627842339E-3</v>
      </c>
    </row>
    <row r="29" spans="2:25" x14ac:dyDescent="0.2">
      <c r="B29" t="s">
        <v>72</v>
      </c>
      <c r="C29">
        <v>56</v>
      </c>
      <c r="D29">
        <v>56</v>
      </c>
      <c r="E29">
        <v>61.308892999999998</v>
      </c>
      <c r="F29">
        <v>61.917382531313443</v>
      </c>
      <c r="G29">
        <v>58.277323040808952</v>
      </c>
      <c r="H29">
        <v>61.786412523388407</v>
      </c>
      <c r="I29">
        <v>61.917300250163109</v>
      </c>
      <c r="J29">
        <v>61.916182783936797</v>
      </c>
      <c r="K29">
        <v>61.673794362261319</v>
      </c>
      <c r="L29">
        <v>61.785305771471691</v>
      </c>
      <c r="M29" s="2">
        <v>0</v>
      </c>
      <c r="N29" s="2">
        <v>9.480166071428564E-2</v>
      </c>
      <c r="O29" s="2">
        <v>0.1056675452020257</v>
      </c>
      <c r="P29" s="2">
        <v>4.0666482871588361E-2</v>
      </c>
      <c r="Q29" s="2">
        <v>0.10332879506050729</v>
      </c>
      <c r="R29" s="2">
        <v>0.10566607589576971</v>
      </c>
      <c r="S29" s="2">
        <v>0.1056461211417286</v>
      </c>
      <c r="T29" s="2">
        <v>0.101317756468952</v>
      </c>
      <c r="U29" s="2">
        <v>0.1033090316334231</v>
      </c>
      <c r="V29" s="2">
        <v>6.2707677231030878E-3</v>
      </c>
      <c r="W29" s="2">
        <v>-1.5140476758290779E-3</v>
      </c>
      <c r="X29" s="2">
        <v>1.5739226877659052E-2</v>
      </c>
      <c r="Y29" s="2">
        <v>0.23306994242909959</v>
      </c>
    </row>
    <row r="30" spans="2:25" x14ac:dyDescent="0.2">
      <c r="B30" s="171" t="s">
        <v>155</v>
      </c>
      <c r="C30" s="171"/>
      <c r="D30" s="171"/>
      <c r="E30">
        <f>E$29/(1+N30)</f>
        <v>61.381649012427864</v>
      </c>
      <c r="J30" s="166" t="s">
        <v>147</v>
      </c>
      <c r="K30" s="166"/>
      <c r="L30" s="166"/>
      <c r="M30" s="166"/>
      <c r="N30" s="1">
        <f>AVERAGE(N13:N28)</f>
        <v>-1.1853056018930885E-3</v>
      </c>
    </row>
    <row r="31" spans="2:25" x14ac:dyDescent="0.2">
      <c r="B31" s="167" t="s">
        <v>156</v>
      </c>
      <c r="C31" s="167"/>
      <c r="D31" s="167"/>
      <c r="E31">
        <f t="shared" ref="E31:E35" si="1">E$29/(1+N31)</f>
        <v>61.550288835376428</v>
      </c>
      <c r="J31" s="167" t="s">
        <v>149</v>
      </c>
      <c r="K31" s="167"/>
      <c r="L31" s="167"/>
      <c r="M31" s="167"/>
      <c r="N31" s="1">
        <f>MEDIAN(N13:N28)</f>
        <v>-3.9219285553974709E-3</v>
      </c>
    </row>
    <row r="32" spans="2:25" x14ac:dyDescent="0.2">
      <c r="B32" s="168" t="s">
        <v>157</v>
      </c>
      <c r="C32" s="168"/>
      <c r="D32" s="168"/>
      <c r="E32">
        <f t="shared" si="1"/>
        <v>63.41332474810855</v>
      </c>
      <c r="J32" s="168" t="s">
        <v>148</v>
      </c>
      <c r="K32" s="168"/>
      <c r="L32" s="168"/>
      <c r="M32" s="168"/>
      <c r="N32" s="1">
        <f>AVERAGE(N28,N26,N21:N23,N19,N17,N15)</f>
        <v>-3.3185955104354126E-2</v>
      </c>
    </row>
    <row r="33" spans="1:14" x14ac:dyDescent="0.2">
      <c r="B33" s="169" t="s">
        <v>158</v>
      </c>
      <c r="C33" s="169"/>
      <c r="D33" s="169"/>
      <c r="E33">
        <f t="shared" si="1"/>
        <v>63.154585739442545</v>
      </c>
      <c r="J33" s="169" t="s">
        <v>150</v>
      </c>
      <c r="K33" s="169"/>
      <c r="L33" s="169"/>
      <c r="M33" s="169"/>
      <c r="N33" s="1">
        <f>MEDIAN(N28,N26,N21:N23,N19,N17,N15)</f>
        <v>-2.9224999544092245E-2</v>
      </c>
    </row>
    <row r="34" spans="1:14" x14ac:dyDescent="0.2">
      <c r="B34" s="170" t="s">
        <v>159</v>
      </c>
      <c r="C34" s="170"/>
      <c r="D34" s="170"/>
      <c r="E34">
        <f t="shared" si="1"/>
        <v>59.476116030645564</v>
      </c>
      <c r="G34">
        <f>AVERAGE(E34,F35)</f>
        <v>57.896485850432782</v>
      </c>
      <c r="J34" s="170" t="s">
        <v>151</v>
      </c>
      <c r="K34" s="170"/>
      <c r="L34" s="170"/>
      <c r="M34" s="170"/>
      <c r="N34" s="1">
        <f>AVERAGE(N27,N24:N25,N20,N18,N16,N13:N14)</f>
        <v>3.0815343900567949E-2</v>
      </c>
    </row>
    <row r="35" spans="1:14" x14ac:dyDescent="0.2">
      <c r="B35" s="165" t="s">
        <v>160</v>
      </c>
      <c r="C35" s="165"/>
      <c r="D35" s="165"/>
      <c r="E35">
        <f t="shared" si="1"/>
        <v>60.179837196423691</v>
      </c>
      <c r="F35">
        <f>E29/(1+MAX(N13:N28))</f>
        <v>56.316855670220001</v>
      </c>
      <c r="J35" s="165" t="s">
        <v>152</v>
      </c>
      <c r="K35" s="165"/>
      <c r="L35" s="165"/>
      <c r="M35" s="165"/>
      <c r="N35" s="1">
        <f>MEDIAN(N27,N24:N25,N20,N18,N16,N13:N14)</f>
        <v>1.8761363542595388E-2</v>
      </c>
    </row>
    <row r="38" spans="1:14" x14ac:dyDescent="0.2">
      <c r="A38" s="79" t="s">
        <v>104</v>
      </c>
      <c r="B38" t="s">
        <v>172</v>
      </c>
    </row>
    <row r="39" spans="1:14" x14ac:dyDescent="0.2">
      <c r="B39" t="s">
        <v>161</v>
      </c>
    </row>
    <row r="40" spans="1:14" x14ac:dyDescent="0.2">
      <c r="B40" t="s">
        <v>162</v>
      </c>
    </row>
    <row r="45" spans="1:14" x14ac:dyDescent="0.2">
      <c r="A45" s="79" t="s">
        <v>106</v>
      </c>
      <c r="B45" s="94" t="s">
        <v>163</v>
      </c>
      <c r="C45" s="95">
        <f>G34</f>
        <v>57.896485850432782</v>
      </c>
      <c r="D45" t="s">
        <v>175</v>
      </c>
    </row>
    <row r="47" spans="1:14" x14ac:dyDescent="0.2">
      <c r="B47" s="161" t="s">
        <v>174</v>
      </c>
      <c r="C47" s="161"/>
      <c r="D47" s="2">
        <f>C45/D29-1</f>
        <v>3.3865818757728317E-2</v>
      </c>
    </row>
    <row r="48" spans="1:14" x14ac:dyDescent="0.2">
      <c r="B48" s="150" t="s">
        <v>173</v>
      </c>
      <c r="C48" s="150"/>
      <c r="D48" s="2">
        <f>'1. Data &amp; Confidence Interval'!N27</f>
        <v>-2.7091691377405691E-2</v>
      </c>
    </row>
  </sheetData>
  <mergeCells count="2">
    <mergeCell ref="B48:C48"/>
    <mergeCell ref="B47:C47"/>
  </mergeCells>
  <conditionalFormatting sqref="N30:N3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K5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6:K6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0:Y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2021-11-04T16:31:26Z</dcterms:modified>
</cp:coreProperties>
</file>