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EW\"/>
    </mc:Choice>
  </mc:AlternateContent>
  <xr:revisionPtr revIDLastSave="0" documentId="13_ncr:1_{397442AC-E305-4FE3-BF18-168D0A0C94E1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4" l="1"/>
  <c r="H34" i="4"/>
  <c r="H35" i="4" s="1"/>
  <c r="G35" i="4"/>
  <c r="G34" i="4"/>
  <c r="F36" i="4"/>
  <c r="F35" i="4"/>
  <c r="F34" i="4"/>
  <c r="P37" i="4"/>
  <c r="E37" i="4" s="1"/>
  <c r="P36" i="4"/>
  <c r="P35" i="4"/>
  <c r="P34" i="4"/>
  <c r="E34" i="4" s="1"/>
  <c r="P33" i="4"/>
  <c r="P32" i="4"/>
  <c r="E32" i="4"/>
  <c r="P15" i="4"/>
  <c r="P16" i="4"/>
  <c r="P17" i="4"/>
  <c r="P18" i="4"/>
  <c r="P19" i="4"/>
  <c r="P20" i="4"/>
  <c r="P14" i="4"/>
  <c r="E35" i="4"/>
  <c r="E33" i="4"/>
  <c r="AO24" i="1"/>
  <c r="AO23" i="1"/>
  <c r="AO22" i="1"/>
  <c r="AO21" i="1"/>
  <c r="AO20" i="1"/>
  <c r="AN17" i="1"/>
  <c r="AM17" i="1"/>
  <c r="AL17" i="1"/>
  <c r="AK17" i="1"/>
  <c r="AJ17" i="1"/>
  <c r="AI17" i="1"/>
  <c r="AH17" i="1"/>
  <c r="AG17" i="1"/>
  <c r="AF17" i="1"/>
  <c r="AE17" i="1"/>
  <c r="Q17" i="1"/>
  <c r="P17" i="1"/>
  <c r="AB17" i="1"/>
  <c r="AA17" i="1"/>
  <c r="Z17" i="1"/>
  <c r="Y17" i="1"/>
  <c r="X17" i="1"/>
  <c r="W17" i="1"/>
  <c r="V17" i="1"/>
  <c r="U17" i="1"/>
  <c r="T17" i="1"/>
  <c r="S17" i="1"/>
  <c r="R17" i="1"/>
  <c r="G48" i="2"/>
  <c r="G47" i="2"/>
  <c r="E36" i="4"/>
  <c r="R23" i="2"/>
  <c r="F45" i="2" a="1"/>
  <c r="F45" i="2" s="1"/>
  <c r="G45" i="2" a="1"/>
  <c r="G45" i="2" s="1"/>
  <c r="H45" i="2" a="1"/>
  <c r="H45" i="2" s="1"/>
  <c r="I45" i="2" a="1"/>
  <c r="I45" i="2" s="1"/>
  <c r="J45" i="2" a="1"/>
  <c r="J45" i="2"/>
  <c r="K45" i="2" a="1"/>
  <c r="K45" i="2"/>
  <c r="L45" i="2" a="1"/>
  <c r="L45" i="2" s="1"/>
  <c r="M45" i="2" a="1"/>
  <c r="M45" i="2" s="1"/>
  <c r="N45" i="2" a="1"/>
  <c r="N45" i="2" s="1"/>
  <c r="O45" i="2" a="1"/>
  <c r="O45" i="2" s="1"/>
  <c r="P45" i="2" a="1"/>
  <c r="P45" i="2"/>
  <c r="Q45" i="2" a="1"/>
  <c r="Q45" i="2"/>
  <c r="R45" i="2" a="1"/>
  <c r="R45" i="2" s="1"/>
  <c r="F46" i="2" a="1"/>
  <c r="F46" i="2" s="1"/>
  <c r="G46" i="2" a="1"/>
  <c r="G46" i="2" s="1"/>
  <c r="H46" i="2" a="1"/>
  <c r="H46" i="2" s="1"/>
  <c r="I46" i="2" a="1"/>
  <c r="I46" i="2"/>
  <c r="J46" i="2" a="1"/>
  <c r="J46" i="2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/>
  <c r="Q46" i="2" a="1"/>
  <c r="Q46" i="2" s="1"/>
  <c r="R46" i="2" a="1"/>
  <c r="R46" i="2" s="1"/>
  <c r="E46" i="2" a="1"/>
  <c r="E46" i="2" s="1"/>
  <c r="E45" i="2" a="1"/>
  <c r="E45" i="2" s="1"/>
  <c r="E44" i="2"/>
  <c r="E43" i="2"/>
  <c r="E42" i="2"/>
  <c r="E41" i="2"/>
  <c r="E40" i="2"/>
  <c r="E38" i="2"/>
  <c r="E37" i="2"/>
  <c r="E36" i="2"/>
  <c r="E35" i="2"/>
  <c r="E34" i="2"/>
  <c r="E33" i="2"/>
  <c r="E32" i="2"/>
  <c r="E31" i="2"/>
  <c r="E30" i="2"/>
  <c r="E29" i="2"/>
  <c r="E28" i="2"/>
  <c r="A28" i="2"/>
  <c r="B28" i="2"/>
  <c r="C28" i="2"/>
  <c r="D28" i="2"/>
  <c r="F28" i="2"/>
  <c r="G28" i="2"/>
  <c r="H28" i="2"/>
  <c r="I28" i="2"/>
  <c r="J28" i="2"/>
  <c r="R28" i="2"/>
  <c r="A29" i="2"/>
  <c r="B29" i="2"/>
  <c r="C29" i="2"/>
  <c r="D29" i="2"/>
  <c r="F29" i="2"/>
  <c r="G29" i="2"/>
  <c r="H29" i="2"/>
  <c r="I29" i="2"/>
  <c r="J29" i="2"/>
  <c r="L29" i="2"/>
  <c r="R29" i="2"/>
  <c r="A30" i="2"/>
  <c r="B30" i="2"/>
  <c r="C30" i="2"/>
  <c r="D30" i="2"/>
  <c r="F30" i="2"/>
  <c r="G30" i="2"/>
  <c r="H30" i="2"/>
  <c r="I30" i="2"/>
  <c r="J30" i="2"/>
  <c r="K30" i="2"/>
  <c r="M30" i="2"/>
  <c r="N30" i="2"/>
  <c r="O30" i="2"/>
  <c r="P30" i="2"/>
  <c r="Q30" i="2"/>
  <c r="R30" i="2"/>
  <c r="R24" i="2"/>
  <c r="J24" i="2"/>
  <c r="I24" i="2"/>
  <c r="H24" i="2"/>
  <c r="G24" i="2"/>
  <c r="F24" i="2"/>
  <c r="E24" i="2"/>
  <c r="Q8" i="2"/>
  <c r="Q10" i="2"/>
  <c r="Q18" i="2"/>
  <c r="Q20" i="2"/>
  <c r="Q22" i="2"/>
  <c r="K8" i="2"/>
  <c r="L8" i="2"/>
  <c r="L30" i="2" s="1"/>
  <c r="M8" i="2"/>
  <c r="N8" i="2"/>
  <c r="O8" i="2"/>
  <c r="P8" i="2"/>
  <c r="K9" i="2"/>
  <c r="L9" i="2"/>
  <c r="M9" i="2"/>
  <c r="N9" i="2"/>
  <c r="Q9" i="2" s="1"/>
  <c r="O9" i="2"/>
  <c r="P9" i="2"/>
  <c r="K10" i="2"/>
  <c r="L10" i="2"/>
  <c r="M10" i="2"/>
  <c r="N10" i="2"/>
  <c r="O10" i="2"/>
  <c r="P10" i="2"/>
  <c r="K11" i="2"/>
  <c r="Q11" i="2" s="1"/>
  <c r="L11" i="2"/>
  <c r="M11" i="2"/>
  <c r="N11" i="2"/>
  <c r="O11" i="2"/>
  <c r="P11" i="2"/>
  <c r="K12" i="2"/>
  <c r="Q12" i="2" s="1"/>
  <c r="L12" i="2"/>
  <c r="M12" i="2"/>
  <c r="N12" i="2"/>
  <c r="O12" i="2"/>
  <c r="P12" i="2"/>
  <c r="K13" i="2"/>
  <c r="Q13" i="2" s="1"/>
  <c r="L13" i="2"/>
  <c r="M13" i="2"/>
  <c r="N13" i="2"/>
  <c r="O13" i="2"/>
  <c r="P13" i="2"/>
  <c r="K14" i="2"/>
  <c r="L14" i="2"/>
  <c r="M14" i="2"/>
  <c r="Q14" i="2" s="1"/>
  <c r="N14" i="2"/>
  <c r="O14" i="2"/>
  <c r="P14" i="2"/>
  <c r="K15" i="2"/>
  <c r="Q15" i="2" s="1"/>
  <c r="L15" i="2"/>
  <c r="M15" i="2"/>
  <c r="N15" i="2"/>
  <c r="O15" i="2"/>
  <c r="P15" i="2"/>
  <c r="K16" i="2"/>
  <c r="L16" i="2"/>
  <c r="M16" i="2"/>
  <c r="Q16" i="2" s="1"/>
  <c r="N16" i="2"/>
  <c r="O16" i="2"/>
  <c r="P16" i="2"/>
  <c r="K17" i="2"/>
  <c r="Q17" i="2" s="1"/>
  <c r="L17" i="2"/>
  <c r="M17" i="2"/>
  <c r="N17" i="2"/>
  <c r="O17" i="2"/>
  <c r="P17" i="2"/>
  <c r="K18" i="2"/>
  <c r="L18" i="2"/>
  <c r="M18" i="2"/>
  <c r="N18" i="2"/>
  <c r="O18" i="2"/>
  <c r="P18" i="2"/>
  <c r="K19" i="2"/>
  <c r="L19" i="2"/>
  <c r="Q19" i="2" s="1"/>
  <c r="M19" i="2"/>
  <c r="N19" i="2"/>
  <c r="O19" i="2"/>
  <c r="P19" i="2"/>
  <c r="K20" i="2"/>
  <c r="L20" i="2"/>
  <c r="M20" i="2"/>
  <c r="N20" i="2"/>
  <c r="O20" i="2"/>
  <c r="P20" i="2"/>
  <c r="K21" i="2"/>
  <c r="L21" i="2"/>
  <c r="M21" i="2"/>
  <c r="N21" i="2"/>
  <c r="Q21" i="2" s="1"/>
  <c r="O21" i="2"/>
  <c r="P21" i="2"/>
  <c r="K22" i="2"/>
  <c r="L22" i="2"/>
  <c r="M22" i="2"/>
  <c r="N22" i="2"/>
  <c r="O22" i="2"/>
  <c r="P22" i="2"/>
  <c r="K23" i="2"/>
  <c r="L23" i="2"/>
  <c r="M23" i="2"/>
  <c r="N23" i="2"/>
  <c r="O23" i="2"/>
  <c r="P23" i="2"/>
  <c r="L7" i="2"/>
  <c r="M7" i="2"/>
  <c r="N7" i="2"/>
  <c r="O7" i="2"/>
  <c r="P7" i="2"/>
  <c r="P24" i="2" s="1"/>
  <c r="K7" i="2"/>
  <c r="K24" i="2" s="1"/>
  <c r="AN10" i="1"/>
  <c r="N10" i="1"/>
  <c r="P25" i="1"/>
  <c r="P24" i="1"/>
  <c r="M25" i="1"/>
  <c r="M24" i="1"/>
  <c r="AO26" i="1"/>
  <c r="AO25" i="1"/>
  <c r="AM20" i="1"/>
  <c r="F13" i="1"/>
  <c r="G13" i="1"/>
  <c r="H13" i="1"/>
  <c r="I13" i="1"/>
  <c r="J13" i="1"/>
  <c r="K13" i="1"/>
  <c r="L13" i="1"/>
  <c r="M13" i="1"/>
  <c r="I18" i="1"/>
  <c r="H18" i="1"/>
  <c r="G18" i="1"/>
  <c r="F18" i="1"/>
  <c r="E18" i="1"/>
  <c r="D18" i="1"/>
  <c r="C18" i="1"/>
  <c r="B18" i="1"/>
  <c r="B17" i="1"/>
  <c r="C17" i="1"/>
  <c r="D17" i="1"/>
  <c r="E17" i="1"/>
  <c r="F17" i="1"/>
  <c r="G17" i="1"/>
  <c r="H17" i="1"/>
  <c r="I17" i="1"/>
  <c r="P23" i="1"/>
  <c r="Q23" i="1"/>
  <c r="R23" i="1"/>
  <c r="M22" i="1"/>
  <c r="N22" i="1"/>
  <c r="O22" i="1"/>
  <c r="P21" i="1"/>
  <c r="Q21" i="1"/>
  <c r="R21" i="1"/>
  <c r="M20" i="1"/>
  <c r="N20" i="1"/>
  <c r="O20" i="1"/>
  <c r="J39" i="2"/>
  <c r="J42" i="2"/>
  <c r="C2" i="4"/>
  <c r="L18" i="1"/>
  <c r="K18" i="1"/>
  <c r="J18" i="1"/>
  <c r="S23" i="1"/>
  <c r="P22" i="1"/>
  <c r="Q22" i="1"/>
  <c r="T23" i="1" s="1"/>
  <c r="R22" i="1"/>
  <c r="S22" i="1"/>
  <c r="U23" i="1" s="1"/>
  <c r="T22" i="1"/>
  <c r="P20" i="1"/>
  <c r="Q20" i="1"/>
  <c r="T21" i="1" s="1"/>
  <c r="R20" i="1"/>
  <c r="U21" i="1" s="1"/>
  <c r="S20" i="1"/>
  <c r="V21" i="1" s="1"/>
  <c r="T20" i="1"/>
  <c r="J41" i="2"/>
  <c r="J40" i="2"/>
  <c r="G40" i="2"/>
  <c r="U22" i="1"/>
  <c r="V22" i="1"/>
  <c r="U20" i="1"/>
  <c r="V20" i="1"/>
  <c r="H39" i="2"/>
  <c r="H40" i="2"/>
  <c r="G44" i="2"/>
  <c r="G43" i="2"/>
  <c r="G42" i="2"/>
  <c r="G41" i="2"/>
  <c r="G39" i="2"/>
  <c r="G37" i="2"/>
  <c r="G36" i="2"/>
  <c r="E39" i="2"/>
  <c r="AN18" i="1"/>
  <c r="AO18" i="1"/>
  <c r="N17" i="1"/>
  <c r="M17" i="1"/>
  <c r="L17" i="1"/>
  <c r="K17" i="1"/>
  <c r="J17" i="1"/>
  <c r="Q18" i="1"/>
  <c r="P18" i="1"/>
  <c r="N18" i="1"/>
  <c r="M18" i="1"/>
  <c r="W20" i="1"/>
  <c r="W22" i="1"/>
  <c r="Q23" i="2" l="1"/>
  <c r="K29" i="2"/>
  <c r="O24" i="2"/>
  <c r="N24" i="2"/>
  <c r="L24" i="2"/>
  <c r="M24" i="2"/>
  <c r="P29" i="2"/>
  <c r="N29" i="2"/>
  <c r="O29" i="2"/>
  <c r="M29" i="2"/>
  <c r="Q7" i="2"/>
  <c r="W23" i="1"/>
  <c r="S21" i="1"/>
  <c r="V23" i="1"/>
  <c r="W21" i="1"/>
  <c r="A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N13" i="1"/>
  <c r="Q31" i="2"/>
  <c r="P31" i="2"/>
  <c r="O31" i="2"/>
  <c r="N31" i="2"/>
  <c r="M31" i="2"/>
  <c r="L31" i="2"/>
  <c r="K31" i="2"/>
  <c r="R31" i="2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AM18" i="1"/>
  <c r="AL18" i="1"/>
  <c r="W18" i="1"/>
  <c r="V18" i="1"/>
  <c r="U18" i="1"/>
  <c r="T18" i="1"/>
  <c r="S18" i="1"/>
  <c r="R18" i="1"/>
  <c r="O18" i="1"/>
  <c r="O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30" i="3"/>
  <c r="E30" i="3"/>
  <c r="Q24" i="2" l="1"/>
  <c r="Q29" i="2"/>
  <c r="C7" i="1"/>
  <c r="Y21" i="1"/>
  <c r="X21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AG18" i="1"/>
  <c r="AF18" i="1"/>
  <c r="AE18" i="1"/>
  <c r="AD18" i="1"/>
  <c r="AC18" i="1"/>
  <c r="AB18" i="1"/>
  <c r="AA18" i="1"/>
  <c r="Z18" i="1"/>
  <c r="Y18" i="1"/>
  <c r="X18" i="1"/>
  <c r="AC17" i="1"/>
  <c r="AD17" i="1"/>
  <c r="F26" i="3"/>
  <c r="D50" i="4" l="1"/>
  <c r="Y23" i="1"/>
  <c r="X23" i="1"/>
  <c r="B7" i="1"/>
  <c r="Q2" i="1" s="1"/>
  <c r="Z21" i="1"/>
  <c r="R44" i="2"/>
  <c r="R43" i="2"/>
  <c r="R42" i="2"/>
  <c r="R41" i="2"/>
  <c r="R39" i="2"/>
  <c r="R38" i="2"/>
  <c r="R37" i="2"/>
  <c r="R36" i="2"/>
  <c r="R35" i="2"/>
  <c r="R34" i="2"/>
  <c r="R33" i="2"/>
  <c r="R32" i="2"/>
  <c r="R2" i="1" l="1"/>
  <c r="S2" i="1" s="1"/>
  <c r="T2" i="1" s="1"/>
  <c r="R3" i="1"/>
  <c r="Q3" i="1"/>
  <c r="H26" i="3"/>
  <c r="S3" i="1" l="1"/>
  <c r="T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F42" i="2"/>
  <c r="H42" i="2"/>
  <c r="I42" i="2"/>
  <c r="F43" i="2"/>
  <c r="H43" i="2"/>
  <c r="I43" i="2"/>
  <c r="J43" i="2"/>
  <c r="F44" i="2"/>
  <c r="H44" i="2"/>
  <c r="I44" i="2"/>
  <c r="J44" i="2"/>
  <c r="D49" i="4" l="1"/>
  <c r="AL21" i="1"/>
  <c r="AA21" i="1"/>
  <c r="AM21" i="1"/>
  <c r="AI21" i="1"/>
  <c r="AM23" i="1"/>
  <c r="AB21" i="1"/>
  <c r="AC21" i="1"/>
  <c r="AD21" i="1"/>
  <c r="AC23" i="1"/>
  <c r="AB23" i="1"/>
  <c r="AH23" i="1"/>
  <c r="AA23" i="1"/>
  <c r="Z23" i="1"/>
  <c r="AI23" i="1"/>
  <c r="AE23" i="1"/>
  <c r="AG23" i="1"/>
  <c r="AD23" i="1"/>
  <c r="AF23" i="1"/>
  <c r="AL23" i="1"/>
  <c r="AK23" i="1"/>
  <c r="AJ23" i="1"/>
  <c r="AK21" i="1"/>
  <c r="AE21" i="1"/>
  <c r="AF21" i="1"/>
  <c r="AG21" i="1"/>
  <c r="AH21" i="1"/>
  <c r="AJ21" i="1"/>
  <c r="S4" i="1" l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<sst xmlns="http://schemas.openxmlformats.org/spreadsheetml/2006/main" count="333" uniqueCount="175">
  <si>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</si>
  <si>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</si>
  <si>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</si>
  <si>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</si>
  <si>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</si>
  <si>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</si>
  <si>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</si>
  <si>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</si>
  <si>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</si>
  <si>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</si>
  <si>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</si>
  <si>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</si>
  <si>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</si>
  <si>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</si>
  <si>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</si>
  <si>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</si>
  <si>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</si>
  <si>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</si>
  <si>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</si>
  <si>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</si>
  <si>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</si>
  <si>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</si>
  <si>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</si>
  <si>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</si>
  <si>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</si>
  <si>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</si>
  <si>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</si>
  <si>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</si>
  <si>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</si>
  <si>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</si>
  <si>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</si>
  <si>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</si>
  <si>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</si>
  <si>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</si>
  <si>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</si>
  <si>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</si>
  <si>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</si>
  <si>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</si>
  <si>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</si>
  <si>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</si>
  <si>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</si>
  <si>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</si>
  <si>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</si>
  <si>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</si>
  <si>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</si>
  <si>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</si>
  <si>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</si>
  <si>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</si>
  <si>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</si>
  <si>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</si>
  <si>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</si>
  <si>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</si>
  <si>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</si>
  <si>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</si>
  <si>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</si>
  <si>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</si>
  <si>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</si>
  <si>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</si>
  <si>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</si>
  <si>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</si>
  <si>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</si>
  <si>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</si>
  <si>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</si>
  <si>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</si>
  <si>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</si>
  <si>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</si>
  <si>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</si>
  <si>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</si>
  <si>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</si>
  <si>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</si>
  <si>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</si>
  <si>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</si>
  <si>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</si>
  <si>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</si>
  <si>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</si>
  <si>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</si>
  <si>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</si>
  <si>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</si>
  <si>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</si>
  <si>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</si>
  <si>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</si>
  <si>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</si>
  <si>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</si>
  <si>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</si>
  <si>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</si>
  <si>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</si>
  <si>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</si>
  <si>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</si>
  <si>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</si>
  <si>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</si>
  <si>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</si>
  <si>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</si>
  <si>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</si>
  <si>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</si>
  <si>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</si>
  <si>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</si>
  <si>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</si>
  <si>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</si>
  <si>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</si>
  <si>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</si>
  <si>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</si>
  <si>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</si>
  <si>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</si>
  <si>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</si>
  <si>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</si>
  <si>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</si>
  <si>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</si>
  <si>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</si>
  <si>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</si>
  <si>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</si>
  <si>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</si>
  <si>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</si>
  <si>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</si>
  <si>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</si>
  <si>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</si>
  <si>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</si>
  <si>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</si>
  <si>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</si>
  <si>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</si>
  <si>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</si>
  <si>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</si>
  <si>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</si>
  <si>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</si>
  <si>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</si>
  <si>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</si>
  <si>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</si>
  <si>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</si>
  <si>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</si>
  <si>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</si>
  <si>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</si>
  <si>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</si>
  <si>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</si>
  <si>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</si>
  <si>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</si>
  <si>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</si>
  <si>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</si>
  <si>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</si>
  <si>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</si>
  <si>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</si>
  <si>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</si>
  <si>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</si>
  <si>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</si>
  <si>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</si>
  <si>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</si>
  <si>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</si>
  <si>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</si>
  <si>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</si>
  <si>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</si>
  <si>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</si>
  <si>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</si>
  <si>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</si>
  <si>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</si>
  <si>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</si>
  <si>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</si>
  <si>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</si>
  <si>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</si>
  <si>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</si>
  <si>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</si>
  <si>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</si>
  <si>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</si>
  <si>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</si>
  <si>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</si>
  <si>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</si>
  <si>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</si>
  <si>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</si>
  <si>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</si>
  <si>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</si>
  <si>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</si>
  <si>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</si>
  <si>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EW_THV</t>
  </si>
  <si>
    <t>Transcatheter Heart Valve Therapies</t>
  </si>
  <si>
    <t>2017Q2</t>
  </si>
  <si>
    <t>2017Q3</t>
  </si>
  <si>
    <t>CORRELATION</t>
  </si>
  <si>
    <t>SS NO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</si>
</sst>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P29"/>
  <sheetViews>
    <sheetView topLeftCell="F1" zoomScale="70" zoomScaleNormal="70" workbookViewId="0">
      <selection activeCell="AN16" sqref="AN16"/>
    </sheetView>
  </sheetViews>
  <sheetFormatPr defaultRowHeight="12.75" x14ac:dyDescent="0.2"/>
  <cols>
    <col min="1" max="1" width="17.85546875" bestFit="1" customWidth="1"/>
    <col min="2" max="5" width="17.85546875" customWidth="1"/>
    <col min="6" max="39" width="10.7109375" customWidth="1"/>
    <col min="40" max="40" width="17.85546875" customWidth="1"/>
    <col min="41" max="42" width="10.7109375" customWidth="1"/>
  </cols>
  <sheetData>
    <row r="1" spans="1:41" x14ac:dyDescent="0.2">
      <c r="A1" s="136" t="s">
        <v>169</v>
      </c>
      <c r="B1" s="137"/>
      <c r="C1" s="138"/>
      <c r="O1" s="145" t="s">
        <v>35</v>
      </c>
      <c r="P1" s="146"/>
      <c r="Q1" s="61" t="s">
        <v>31</v>
      </c>
      <c r="R1" s="61" t="s">
        <v>32</v>
      </c>
      <c r="S1" s="4" t="s">
        <v>39</v>
      </c>
      <c r="T1" s="147" t="s">
        <v>41</v>
      </c>
      <c r="U1" s="148"/>
    </row>
    <row r="2" spans="1:41" x14ac:dyDescent="0.2">
      <c r="A2" s="139"/>
      <c r="B2" s="140"/>
      <c r="C2" s="141"/>
      <c r="O2" s="59" t="s">
        <v>37</v>
      </c>
      <c r="P2" s="60"/>
      <c r="Q2" s="62">
        <f>$B$7*($AO$25-2*$AO$26)</f>
        <v>479.7429956253082</v>
      </c>
      <c r="R2" s="62">
        <f>$B$7*($AO$25+2*$AO$26)</f>
        <v>609.89251752659538</v>
      </c>
      <c r="S2" s="64">
        <f>AVERAGE(Q2:R2)</f>
        <v>544.81775657595176</v>
      </c>
      <c r="T2" s="149">
        <f>$S$2/AJ14-1</f>
        <v>0.15500902390492222</v>
      </c>
      <c r="U2" s="150"/>
    </row>
    <row r="3" spans="1:41" x14ac:dyDescent="0.2">
      <c r="A3" s="142"/>
      <c r="B3" s="143"/>
      <c r="C3" s="144"/>
      <c r="O3" s="45" t="s">
        <v>38</v>
      </c>
      <c r="P3" s="19"/>
      <c r="Q3" s="63">
        <f>$C$7*($AO$25-2*$AO$26)</f>
        <v>507.96317183856155</v>
      </c>
      <c r="R3" s="63">
        <f>$C$7*($AO$25+2*$AO$26)</f>
        <v>645.76854796933628</v>
      </c>
      <c r="S3" s="65">
        <f>AVERAGE(Q3:R3)</f>
        <v>576.86585990394894</v>
      </c>
      <c r="T3" s="151">
        <f>$S$3/AJ15-1</f>
        <v>0.2229507311934471</v>
      </c>
      <c r="U3" s="152"/>
    </row>
    <row r="4" spans="1:41" x14ac:dyDescent="0.2">
      <c r="A4" s="50"/>
      <c r="B4" s="50"/>
      <c r="C4" s="50"/>
      <c r="R4" s="4" t="s">
        <v>40</v>
      </c>
      <c r="S4" s="65">
        <f>AVERAGE(S2:S3)</f>
        <v>560.8418082399503</v>
      </c>
      <c r="T4" s="151">
        <f>$S$4/AJ15-1</f>
        <v>0.18897987754918444</v>
      </c>
      <c r="U4" s="152"/>
    </row>
    <row r="5" spans="1:41" x14ac:dyDescent="0.2">
      <c r="A5" s="58" t="s">
        <v>34</v>
      </c>
      <c r="B5" s="48" t="s">
        <v>31</v>
      </c>
      <c r="C5" s="49" t="s">
        <v>32</v>
      </c>
      <c r="H5" s="89"/>
      <c r="I5" s="89"/>
    </row>
    <row r="6" spans="1:41" ht="15.75" x14ac:dyDescent="0.25">
      <c r="A6" s="52" t="s">
        <v>33</v>
      </c>
      <c r="B6" s="56">
        <v>3400</v>
      </c>
      <c r="C6" s="57">
        <v>3600</v>
      </c>
    </row>
    <row r="7" spans="1:41" ht="14.25" x14ac:dyDescent="0.2">
      <c r="A7" s="53" t="s">
        <v>36</v>
      </c>
      <c r="B7" s="54">
        <f>B6*$AO$24</f>
        <v>2123.8941985390024</v>
      </c>
      <c r="C7" s="55">
        <f>C6*$AO$24</f>
        <v>2248.8291513942377</v>
      </c>
    </row>
    <row r="8" spans="1:41" x14ac:dyDescent="0.2">
      <c r="J8" s="50"/>
    </row>
    <row r="9" spans="1:41" x14ac:dyDescent="0.2">
      <c r="J9" s="50"/>
      <c r="K9" s="50"/>
      <c r="L9" s="50"/>
    </row>
    <row r="10" spans="1:41" x14ac:dyDescent="0.2">
      <c r="L10" s="120" t="s">
        <v>15</v>
      </c>
      <c r="M10" s="120"/>
      <c r="N10" s="35">
        <f>AVERAGE(F13:AN13)</f>
        <v>1.3109005294460023</v>
      </c>
      <c r="AK10" s="120" t="s">
        <v>16</v>
      </c>
      <c r="AL10" s="120"/>
      <c r="AM10" s="120"/>
      <c r="AN10" s="81">
        <f>AVERAGE(AK13:AN13)</f>
        <v>1.1780794358131326</v>
      </c>
    </row>
    <row r="11" spans="1:41" x14ac:dyDescent="0.2">
      <c r="A11" s="51" t="s">
        <v>6</v>
      </c>
      <c r="B11" s="153">
        <v>2012</v>
      </c>
      <c r="C11" s="154"/>
      <c r="D11" s="154"/>
      <c r="E11" s="155"/>
      <c r="F11" s="161">
        <v>2013</v>
      </c>
      <c r="G11" s="162"/>
      <c r="H11" s="162"/>
      <c r="I11" s="163"/>
      <c r="J11" s="126">
        <v>2014</v>
      </c>
      <c r="K11" s="126"/>
      <c r="L11" s="126"/>
      <c r="M11" s="127"/>
      <c r="N11" s="128">
        <v>2015</v>
      </c>
      <c r="O11" s="129"/>
      <c r="P11" s="129"/>
      <c r="Q11" s="130"/>
      <c r="R11" s="128">
        <v>2016</v>
      </c>
      <c r="S11" s="129"/>
      <c r="T11" s="129"/>
      <c r="U11" s="130"/>
      <c r="V11" s="165">
        <v>2017</v>
      </c>
      <c r="W11" s="166"/>
      <c r="X11" s="166"/>
      <c r="Y11" s="167"/>
      <c r="Z11" s="158">
        <v>2018</v>
      </c>
      <c r="AA11" s="159"/>
      <c r="AB11" s="159"/>
      <c r="AC11" s="160"/>
      <c r="AD11" s="122">
        <v>2019</v>
      </c>
      <c r="AE11" s="123"/>
      <c r="AF11" s="123"/>
      <c r="AG11" s="124"/>
      <c r="AH11" s="125">
        <v>2020</v>
      </c>
      <c r="AI11" s="126"/>
      <c r="AJ11" s="126"/>
      <c r="AK11" s="127"/>
      <c r="AL11" s="128">
        <v>2021</v>
      </c>
      <c r="AM11" s="129"/>
      <c r="AN11" s="129"/>
      <c r="AO11" s="130"/>
    </row>
    <row r="12" spans="1:41" x14ac:dyDescent="0.2">
      <c r="A12" s="14" t="s">
        <v>19</v>
      </c>
      <c r="B12" s="109" t="s">
        <v>20</v>
      </c>
      <c r="C12" s="109" t="s">
        <v>3</v>
      </c>
      <c r="D12" s="109" t="s">
        <v>4</v>
      </c>
      <c r="E12" s="109" t="s">
        <v>5</v>
      </c>
      <c r="F12" s="82" t="s">
        <v>20</v>
      </c>
      <c r="G12" s="83" t="s">
        <v>3</v>
      </c>
      <c r="H12" s="83" t="s">
        <v>4</v>
      </c>
      <c r="I12" s="84" t="s">
        <v>5</v>
      </c>
      <c r="J12" s="20" t="s">
        <v>20</v>
      </c>
      <c r="K12" s="20" t="s">
        <v>3</v>
      </c>
      <c r="L12" s="20" t="s">
        <v>4</v>
      </c>
      <c r="M12" s="20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1" t="s">
        <v>20</v>
      </c>
      <c r="S12" s="22" t="s">
        <v>3</v>
      </c>
      <c r="T12" s="22" t="s">
        <v>4</v>
      </c>
      <c r="U12" s="22" t="s">
        <v>5</v>
      </c>
      <c r="V12" s="23" t="s">
        <v>20</v>
      </c>
      <c r="W12" s="24" t="s">
        <v>3</v>
      </c>
      <c r="X12" s="24" t="s">
        <v>4</v>
      </c>
      <c r="Y12" s="24" t="s">
        <v>5</v>
      </c>
      <c r="Z12" s="25" t="s">
        <v>20</v>
      </c>
      <c r="AA12" s="26" t="s">
        <v>3</v>
      </c>
      <c r="AB12" s="26" t="s">
        <v>4</v>
      </c>
      <c r="AC12" s="26" t="s">
        <v>5</v>
      </c>
      <c r="AD12" s="27" t="s">
        <v>20</v>
      </c>
      <c r="AE12" s="28" t="s">
        <v>3</v>
      </c>
      <c r="AF12" s="28" t="s">
        <v>4</v>
      </c>
      <c r="AG12" s="28" t="s">
        <v>5</v>
      </c>
      <c r="AH12" s="29" t="s">
        <v>20</v>
      </c>
      <c r="AI12" s="20" t="s">
        <v>3</v>
      </c>
      <c r="AJ12" s="20" t="s">
        <v>4</v>
      </c>
      <c r="AK12" s="20" t="s">
        <v>5</v>
      </c>
      <c r="AL12" s="37" t="s">
        <v>20</v>
      </c>
      <c r="AM12" s="38" t="s">
        <v>3</v>
      </c>
      <c r="AN12" s="39" t="s">
        <v>21</v>
      </c>
      <c r="AO12" s="30" t="s">
        <v>22</v>
      </c>
    </row>
    <row r="13" spans="1:41" x14ac:dyDescent="0.2">
      <c r="A13" s="34" t="s">
        <v>2</v>
      </c>
      <c r="B13" s="110"/>
      <c r="C13" s="110"/>
      <c r="D13" s="110"/>
      <c r="E13" s="110"/>
      <c r="F13" s="88">
        <f t="shared" ref="F13" si="0">F15/B15</f>
        <v>2.024390243902439</v>
      </c>
      <c r="G13" s="88">
        <f t="shared" ref="G13" si="1">G15/C15</f>
        <v>1.5517241379310345</v>
      </c>
      <c r="H13" s="88">
        <f t="shared" ref="H13" si="2">H15/D15</f>
        <v>1.5551537070524413</v>
      </c>
      <c r="I13" s="88">
        <f t="shared" ref="I13" si="3">I15/E15</f>
        <v>1.1961783439490448</v>
      </c>
      <c r="J13" s="88">
        <f t="shared" ref="J13:M13" si="4">J15/F15</f>
        <v>0.96265060240963862</v>
      </c>
      <c r="K13" s="88">
        <f t="shared" si="4"/>
        <v>0.96777777777777774</v>
      </c>
      <c r="L13" s="88">
        <f t="shared" si="4"/>
        <v>1.3453488372093023</v>
      </c>
      <c r="M13" s="88">
        <f t="shared" si="4"/>
        <v>1.2396166134185302</v>
      </c>
      <c r="N13" s="88">
        <f>N15/J15</f>
        <v>1.5118898623279098</v>
      </c>
      <c r="O13" s="88">
        <f t="shared" ref="O13:AM13" si="5">O15/K15</f>
        <v>1.5924225028702641</v>
      </c>
      <c r="P13" s="88">
        <f t="shared" si="5"/>
        <v>1.3578219533275713</v>
      </c>
      <c r="Q13" s="88">
        <f t="shared" si="5"/>
        <v>1.5154639175257731</v>
      </c>
      <c r="R13" s="88">
        <f t="shared" si="5"/>
        <v>1.6862582781456954</v>
      </c>
      <c r="S13" s="88">
        <f t="shared" si="5"/>
        <v>1.6683489545782266</v>
      </c>
      <c r="T13" s="88">
        <f t="shared" si="5"/>
        <v>1.5620623806492682</v>
      </c>
      <c r="U13" s="88">
        <f t="shared" si="5"/>
        <v>1.4450113378684808</v>
      </c>
      <c r="V13" s="88">
        <f t="shared" si="5"/>
        <v>1.4025527736867944</v>
      </c>
      <c r="W13" s="88">
        <f t="shared" si="5"/>
        <v>1.3046672428694899</v>
      </c>
      <c r="X13" s="88">
        <f t="shared" si="5"/>
        <v>1.213121434392828</v>
      </c>
      <c r="Y13" s="88">
        <f t="shared" si="5"/>
        <v>1.2275402118477834</v>
      </c>
      <c r="Z13" s="88">
        <f t="shared" si="5"/>
        <v>1.1599579978998951</v>
      </c>
      <c r="AA13" s="88">
        <f t="shared" si="5"/>
        <v>1.1596555150712158</v>
      </c>
      <c r="AB13" s="88">
        <f t="shared" si="5"/>
        <v>1.1548538797447094</v>
      </c>
      <c r="AC13" s="88">
        <f t="shared" si="5"/>
        <v>1.1415787791626719</v>
      </c>
      <c r="AD13" s="88">
        <f t="shared" si="5"/>
        <v>1.1107423053711529</v>
      </c>
      <c r="AE13" s="88">
        <f t="shared" si="5"/>
        <v>1.1939445872607826</v>
      </c>
      <c r="AF13" s="88">
        <f t="shared" si="5"/>
        <v>1.3036649214659686</v>
      </c>
      <c r="AG13" s="88">
        <f t="shared" si="5"/>
        <v>1.3866181410974245</v>
      </c>
      <c r="AH13" s="88">
        <f t="shared" si="5"/>
        <v>1.3058951371909806</v>
      </c>
      <c r="AI13" s="88">
        <f t="shared" si="5"/>
        <v>0.86985645933014355</v>
      </c>
      <c r="AJ13" s="88">
        <f t="shared" si="5"/>
        <v>1.0524319500223114</v>
      </c>
      <c r="AK13" s="88">
        <f t="shared" si="5"/>
        <v>0.96325459317585305</v>
      </c>
      <c r="AL13" s="88">
        <f t="shared" si="5"/>
        <v>0.99979197004368636</v>
      </c>
      <c r="AM13" s="88">
        <f t="shared" si="5"/>
        <v>1.5497799779977997</v>
      </c>
      <c r="AN13" s="88">
        <f>AN14/AJ14</f>
        <v>1.1994912020351918</v>
      </c>
      <c r="AO13" s="31"/>
    </row>
    <row r="14" spans="1:41" x14ac:dyDescent="0.2">
      <c r="A14" s="15" t="s">
        <v>0</v>
      </c>
      <c r="B14" s="6">
        <v>37.799999999999997</v>
      </c>
      <c r="C14" s="6">
        <v>58</v>
      </c>
      <c r="D14" s="6">
        <v>56.3</v>
      </c>
      <c r="E14" s="6">
        <v>78.5</v>
      </c>
      <c r="F14" s="7">
        <v>81.400000000000006</v>
      </c>
      <c r="G14" s="7">
        <v>89.1</v>
      </c>
      <c r="H14" s="7">
        <v>86.4</v>
      </c>
      <c r="I14" s="7">
        <v>93.9</v>
      </c>
      <c r="J14" s="7">
        <v>79.900000000000006</v>
      </c>
      <c r="K14" s="7">
        <v>87.1</v>
      </c>
      <c r="L14" s="7">
        <v>115.7</v>
      </c>
      <c r="M14" s="7">
        <v>116.2</v>
      </c>
      <c r="N14" s="9">
        <v>120.6</v>
      </c>
      <c r="O14" s="6">
        <v>136.19999999999999</v>
      </c>
      <c r="P14" s="6">
        <v>157.1</v>
      </c>
      <c r="Q14" s="6">
        <v>176.4</v>
      </c>
      <c r="R14" s="9">
        <v>202.5</v>
      </c>
      <c r="S14" s="6">
        <v>231.4</v>
      </c>
      <c r="T14" s="6">
        <v>245.4</v>
      </c>
      <c r="U14" s="6">
        <v>254.9</v>
      </c>
      <c r="V14" s="9">
        <v>285.7</v>
      </c>
      <c r="W14" s="6">
        <v>301.89999999999998</v>
      </c>
      <c r="X14" s="6">
        <v>297.7</v>
      </c>
      <c r="Y14" s="6">
        <v>312.89999999999998</v>
      </c>
      <c r="Z14" s="9">
        <v>331.4</v>
      </c>
      <c r="AA14" s="6">
        <v>350.1</v>
      </c>
      <c r="AB14" s="6">
        <v>343.8</v>
      </c>
      <c r="AC14" s="6">
        <v>357.2</v>
      </c>
      <c r="AD14" s="9">
        <v>368.1</v>
      </c>
      <c r="AE14" s="6">
        <v>418</v>
      </c>
      <c r="AF14" s="6">
        <v>448.2</v>
      </c>
      <c r="AG14" s="6">
        <v>495.3</v>
      </c>
      <c r="AH14" s="9">
        <v>480.7</v>
      </c>
      <c r="AI14" s="6">
        <v>363.6</v>
      </c>
      <c r="AJ14" s="6">
        <v>471.7</v>
      </c>
      <c r="AK14" s="6">
        <v>477.1</v>
      </c>
      <c r="AL14" s="6">
        <v>480.6</v>
      </c>
      <c r="AM14" s="6">
        <v>563.5</v>
      </c>
      <c r="AN14" s="6">
        <v>565.79999999999995</v>
      </c>
      <c r="AO14" s="6">
        <v>604</v>
      </c>
    </row>
    <row r="15" spans="1:41" x14ac:dyDescent="0.2">
      <c r="A15" s="15" t="s">
        <v>1</v>
      </c>
      <c r="B15" s="6">
        <v>41</v>
      </c>
      <c r="C15" s="6">
        <v>58</v>
      </c>
      <c r="D15" s="6">
        <v>55.3</v>
      </c>
      <c r="E15" s="6">
        <v>78.5</v>
      </c>
      <c r="F15" s="6">
        <v>83</v>
      </c>
      <c r="G15" s="6">
        <v>90</v>
      </c>
      <c r="H15" s="6">
        <v>86</v>
      </c>
      <c r="I15" s="6">
        <v>93.9</v>
      </c>
      <c r="J15" s="6">
        <v>79.900000000000006</v>
      </c>
      <c r="K15" s="6">
        <v>87.1</v>
      </c>
      <c r="L15" s="6">
        <v>115.7</v>
      </c>
      <c r="M15" s="6">
        <v>116.4</v>
      </c>
      <c r="N15" s="9">
        <v>120.8</v>
      </c>
      <c r="O15" s="6">
        <v>138.69999999999999</v>
      </c>
      <c r="P15" s="6">
        <v>157.1</v>
      </c>
      <c r="Q15" s="6">
        <v>176.4</v>
      </c>
      <c r="R15" s="9">
        <v>203.7</v>
      </c>
      <c r="S15" s="6">
        <v>231.4</v>
      </c>
      <c r="T15" s="6">
        <v>245.4</v>
      </c>
      <c r="U15" s="6">
        <v>254.9</v>
      </c>
      <c r="V15" s="9">
        <v>285.7</v>
      </c>
      <c r="W15" s="6">
        <v>301.89999999999998</v>
      </c>
      <c r="X15" s="6">
        <v>297.7</v>
      </c>
      <c r="Y15" s="6">
        <v>312.89999999999998</v>
      </c>
      <c r="Z15" s="9">
        <v>331.4</v>
      </c>
      <c r="AA15" s="6">
        <v>350.1</v>
      </c>
      <c r="AB15" s="6">
        <v>343.8</v>
      </c>
      <c r="AC15" s="6">
        <v>357.2</v>
      </c>
      <c r="AD15" s="9">
        <v>368.1</v>
      </c>
      <c r="AE15" s="6">
        <v>418</v>
      </c>
      <c r="AF15" s="6">
        <v>448.2</v>
      </c>
      <c r="AG15" s="6">
        <v>495.3</v>
      </c>
      <c r="AH15" s="9">
        <v>480.7</v>
      </c>
      <c r="AI15" s="6">
        <v>363.6</v>
      </c>
      <c r="AJ15" s="6">
        <v>471.7</v>
      </c>
      <c r="AK15" s="6">
        <v>477.1</v>
      </c>
      <c r="AL15" s="9">
        <v>480.6</v>
      </c>
      <c r="AM15" s="6">
        <v>563.5</v>
      </c>
      <c r="AN15" s="9"/>
      <c r="AO15" s="10"/>
    </row>
    <row r="16" spans="1:41" x14ac:dyDescent="0.2">
      <c r="A16" s="15" t="s">
        <v>157</v>
      </c>
      <c r="B16" s="9">
        <v>121.5</v>
      </c>
      <c r="C16" s="9">
        <v>145.80000000000001</v>
      </c>
      <c r="D16" s="9">
        <v>123.8</v>
      </c>
      <c r="E16" s="9">
        <v>161</v>
      </c>
      <c r="F16" s="9">
        <v>169.7</v>
      </c>
      <c r="G16" s="6">
        <v>182.1</v>
      </c>
      <c r="H16" s="6">
        <v>172</v>
      </c>
      <c r="I16" s="10">
        <v>198</v>
      </c>
      <c r="J16" s="9">
        <v>195.3</v>
      </c>
      <c r="K16" s="6">
        <v>221.7</v>
      </c>
      <c r="L16" s="6">
        <v>248.8</v>
      </c>
      <c r="M16" s="10">
        <v>263.7</v>
      </c>
      <c r="N16" s="9">
        <v>268.5</v>
      </c>
      <c r="O16" s="6">
        <v>286.39999999999998</v>
      </c>
      <c r="P16" s="6">
        <v>297.3</v>
      </c>
      <c r="Q16" s="10">
        <v>329.8</v>
      </c>
      <c r="R16" s="9">
        <v>366.1</v>
      </c>
      <c r="S16" s="6">
        <v>418.6</v>
      </c>
      <c r="T16" s="6">
        <v>410.1</v>
      </c>
      <c r="U16" s="10">
        <v>432</v>
      </c>
      <c r="V16" s="9">
        <v>476.4</v>
      </c>
      <c r="W16" s="6">
        <v>510</v>
      </c>
      <c r="X16" s="6">
        <v>498.2</v>
      </c>
      <c r="Y16" s="10">
        <v>540.20000000000005</v>
      </c>
      <c r="Z16" s="9">
        <v>559.1</v>
      </c>
      <c r="AA16" s="6">
        <v>583.9</v>
      </c>
      <c r="AB16" s="6">
        <v>556.79999999999995</v>
      </c>
      <c r="AC16" s="10">
        <v>591.4</v>
      </c>
      <c r="AD16" s="9">
        <v>597.70000000000005</v>
      </c>
      <c r="AE16" s="6">
        <v>677.7</v>
      </c>
      <c r="AF16" s="6">
        <v>700</v>
      </c>
      <c r="AG16" s="10">
        <v>762.5</v>
      </c>
      <c r="AH16" s="6">
        <v>742.2</v>
      </c>
      <c r="AI16" s="6">
        <v>594.29999999999995</v>
      </c>
      <c r="AJ16" s="10">
        <v>744.6</v>
      </c>
      <c r="AK16" s="9">
        <v>776.2</v>
      </c>
      <c r="AL16">
        <v>791.7</v>
      </c>
      <c r="AM16" s="85">
        <v>901.5</v>
      </c>
      <c r="AN16">
        <v>879.8</v>
      </c>
      <c r="AO16" s="10"/>
    </row>
    <row r="17" spans="1:42" x14ac:dyDescent="0.2">
      <c r="A17" s="90" t="s">
        <v>18</v>
      </c>
      <c r="B17" s="91">
        <f t="shared" ref="B17:I17" si="6">B15/B16</f>
        <v>0.33744855967078191</v>
      </c>
      <c r="C17" s="91">
        <f t="shared" si="6"/>
        <v>0.39780521262002738</v>
      </c>
      <c r="D17" s="91">
        <f t="shared" si="6"/>
        <v>0.44668820678513732</v>
      </c>
      <c r="E17" s="91">
        <f t="shared" si="6"/>
        <v>0.48757763975155277</v>
      </c>
      <c r="F17" s="91">
        <f t="shared" si="6"/>
        <v>0.48909840895698292</v>
      </c>
      <c r="G17" s="91">
        <f t="shared" si="6"/>
        <v>0.49423393739703464</v>
      </c>
      <c r="H17" s="91">
        <f t="shared" si="6"/>
        <v>0.5</v>
      </c>
      <c r="I17" s="91">
        <f t="shared" si="6"/>
        <v>0.4742424242424243</v>
      </c>
      <c r="J17" s="91">
        <f t="shared" ref="J17:O17" si="7">J15/J16</f>
        <v>0.40911418330773169</v>
      </c>
      <c r="K17" s="91">
        <f t="shared" si="7"/>
        <v>0.39287325214253493</v>
      </c>
      <c r="L17" s="91">
        <f t="shared" si="7"/>
        <v>0.465032154340836</v>
      </c>
      <c r="M17" s="91">
        <f t="shared" si="7"/>
        <v>0.44141069397042099</v>
      </c>
      <c r="N17" s="91">
        <f t="shared" si="7"/>
        <v>0.44990689013035379</v>
      </c>
      <c r="O17" s="91">
        <f t="shared" si="7"/>
        <v>0.48428770949720668</v>
      </c>
      <c r="P17" s="91">
        <f t="shared" ref="P17:AB17" si="8">P15/P16</f>
        <v>0.52842246888664646</v>
      </c>
      <c r="Q17" s="91">
        <f t="shared" si="8"/>
        <v>0.53486961795027288</v>
      </c>
      <c r="R17" s="91">
        <f t="shared" si="8"/>
        <v>0.55640535372848943</v>
      </c>
      <c r="S17" s="91">
        <f t="shared" si="8"/>
        <v>0.55279503105590055</v>
      </c>
      <c r="T17" s="91">
        <f t="shared" si="8"/>
        <v>0.59839063643013901</v>
      </c>
      <c r="U17" s="91">
        <f t="shared" si="8"/>
        <v>0.59004629629629635</v>
      </c>
      <c r="V17" s="91">
        <f t="shared" si="8"/>
        <v>0.59970612930310663</v>
      </c>
      <c r="W17" s="91">
        <f t="shared" si="8"/>
        <v>0.59196078431372545</v>
      </c>
      <c r="X17" s="91">
        <f t="shared" si="8"/>
        <v>0.59755118426334808</v>
      </c>
      <c r="Y17" s="91">
        <f t="shared" si="8"/>
        <v>0.57922991484635311</v>
      </c>
      <c r="Z17" s="91">
        <f t="shared" si="8"/>
        <v>0.59273832945805749</v>
      </c>
      <c r="AA17" s="91">
        <f t="shared" si="8"/>
        <v>0.59958897071416339</v>
      </c>
      <c r="AB17" s="91">
        <f t="shared" si="8"/>
        <v>0.6174568965517242</v>
      </c>
      <c r="AC17" s="91">
        <f t="shared" ref="AC17:AD17" si="9">AC15/AC16</f>
        <v>0.60399053094352384</v>
      </c>
      <c r="AD17" s="91">
        <f t="shared" si="9"/>
        <v>0.61586079973230712</v>
      </c>
      <c r="AE17" s="91">
        <f>AE15/AE16</f>
        <v>0.61679209089567655</v>
      </c>
      <c r="AF17" s="91">
        <f>AF15/AF16</f>
        <v>0.64028571428571424</v>
      </c>
      <c r="AG17" s="91">
        <f>AG15/AG16</f>
        <v>0.64957377049180332</v>
      </c>
      <c r="AH17" s="91">
        <f>AH15/AH16</f>
        <v>0.6476690918889787</v>
      </c>
      <c r="AI17" s="91">
        <f t="shared" ref="AI17" si="10">AI15/AI16</f>
        <v>0.6118122160524988</v>
      </c>
      <c r="AJ17" s="91">
        <f>AJ15/AJ16</f>
        <v>0.63349449368788613</v>
      </c>
      <c r="AK17" s="91">
        <f>AK15/AK16</f>
        <v>0.61466116980159757</v>
      </c>
      <c r="AL17" s="91">
        <f>AL15/AL16</f>
        <v>0.60704812428950361</v>
      </c>
      <c r="AM17" s="91">
        <f>AM15/AM16</f>
        <v>0.62506932889628397</v>
      </c>
      <c r="AN17" s="92">
        <f>AN14/AN16</f>
        <v>0.64310070470561487</v>
      </c>
      <c r="AO17" s="93"/>
    </row>
    <row r="18" spans="1:42" x14ac:dyDescent="0.2">
      <c r="A18" s="90" t="s">
        <v>24</v>
      </c>
      <c r="B18" s="91">
        <f>B15/SUM(B15:E15)</f>
        <v>0.17611683848797249</v>
      </c>
      <c r="C18" s="91">
        <f>C15/SUM(B15:E15)</f>
        <v>0.24914089347079035</v>
      </c>
      <c r="D18" s="91">
        <f>D15/SUM(B15:E15)</f>
        <v>0.23754295532646047</v>
      </c>
      <c r="E18" s="94">
        <f>E15/SUM(B15:E15)</f>
        <v>0.3371993127147766</v>
      </c>
      <c r="F18" s="91">
        <f>F15/SUM(F15:I15)</f>
        <v>0.2351941059790309</v>
      </c>
      <c r="G18" s="91">
        <f>G15/SUM(F15:I15)</f>
        <v>0.25502975347123835</v>
      </c>
      <c r="H18" s="91">
        <f>H15/SUM(F15:I15)</f>
        <v>0.24369509776140552</v>
      </c>
      <c r="I18" s="94">
        <f>I15/SUM(F15:I15)</f>
        <v>0.26608104278832534</v>
      </c>
      <c r="J18" s="91">
        <f>J15/SUM(J15:M15)</f>
        <v>0.20020045101478326</v>
      </c>
      <c r="K18" s="91">
        <f>K15/SUM(J15:M15)</f>
        <v>0.21824104234527686</v>
      </c>
      <c r="L18" s="91">
        <f>L15/SUM(J15:M15)</f>
        <v>0.28990228013029318</v>
      </c>
      <c r="M18" s="94">
        <f>M15/SUM(J15:M15)</f>
        <v>0.29165622650964668</v>
      </c>
      <c r="N18" s="91">
        <f>N15/SUM(N15:Q15)</f>
        <v>0.20370994940978077</v>
      </c>
      <c r="O18" s="91">
        <f>O15/SUM(N15:Q15)</f>
        <v>0.23389544688026981</v>
      </c>
      <c r="P18" s="91">
        <f>P15/SUM(N15:Q15)</f>
        <v>0.26492411467116356</v>
      </c>
      <c r="Q18" s="94">
        <f>Q15/SUM(N15:Q15)</f>
        <v>0.29747048903878587</v>
      </c>
      <c r="R18" s="91">
        <f>R15/SUM(R15:U15)</f>
        <v>0.21776779987171263</v>
      </c>
      <c r="S18" s="91">
        <f>S15/SUM(R15:U15)</f>
        <v>0.24738079965790039</v>
      </c>
      <c r="T18" s="91">
        <f>T15/SUM(R15:U15)</f>
        <v>0.26234765875561261</v>
      </c>
      <c r="U18" s="94">
        <f>U15/SUM(R15:U15)</f>
        <v>0.27250374171477443</v>
      </c>
      <c r="V18" s="91">
        <f>V15/SUM(V15:Y15)</f>
        <v>0.23844099482557171</v>
      </c>
      <c r="W18" s="91">
        <f>W15/SUM(V15:Y15)</f>
        <v>0.25196127524620265</v>
      </c>
      <c r="X18" s="91">
        <f>X15/SUM(V15:Y15)</f>
        <v>0.24845601735937242</v>
      </c>
      <c r="Y18" s="94">
        <f>Y15/SUM(V15:Y15)</f>
        <v>0.26114171256885332</v>
      </c>
      <c r="Z18" s="91">
        <f>Z15/SUM(Z15:AC15)</f>
        <v>0.23971066907775768</v>
      </c>
      <c r="AA18" s="91">
        <f>AA15/SUM(Z15:AC15)</f>
        <v>0.2532368896925859</v>
      </c>
      <c r="AB18" s="91">
        <f>AB15/SUM(Z15:AC15)</f>
        <v>0.24867992766726946</v>
      </c>
      <c r="AC18" s="94">
        <f>AC15/SUM(Z15:AC15)</f>
        <v>0.258372513562387</v>
      </c>
      <c r="AD18" s="91">
        <f>AD15/SUM(AD15:AG15)</f>
        <v>0.21282377428307125</v>
      </c>
      <c r="AE18" s="91">
        <f>AE15/SUM(AD15:AG15)</f>
        <v>0.24167437557816837</v>
      </c>
      <c r="AF18" s="91">
        <f>AF15/SUM(AD15:AG15)</f>
        <v>0.25913506012950971</v>
      </c>
      <c r="AG18" s="94">
        <f>AG15/SUM(AD15:AG15)</f>
        <v>0.28636679000925069</v>
      </c>
      <c r="AH18" s="91"/>
      <c r="AI18" s="91"/>
      <c r="AJ18" s="91"/>
      <c r="AK18" s="94"/>
      <c r="AL18" s="91">
        <f>AL15/SUM(AL15:AM15,AN14:AO14)</f>
        <v>0.21708297574416194</v>
      </c>
      <c r="AM18" s="91">
        <f>AM15/SUM(AL15:AM15,AN14:AO14)</f>
        <v>0.2545282081394824</v>
      </c>
      <c r="AN18" s="91">
        <f>AN14/SUM(AL15:AM15,AN14:AO14)</f>
        <v>0.25556709878494965</v>
      </c>
      <c r="AO18" s="94">
        <f>AO14/SUM(AL15:AM15,AN14:AO14)</f>
        <v>0.27282171733140614</v>
      </c>
      <c r="AP18" s="3"/>
    </row>
    <row r="19" spans="1:42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>
        <v>106.8</v>
      </c>
      <c r="N19" s="11">
        <v>114.5</v>
      </c>
      <c r="O19" s="12">
        <v>119.4</v>
      </c>
      <c r="P19" s="12">
        <v>145.19999999999999</v>
      </c>
      <c r="Q19" s="6">
        <v>161.69999999999999</v>
      </c>
      <c r="R19" s="9">
        <v>180.3</v>
      </c>
      <c r="S19" s="12">
        <v>210.8</v>
      </c>
      <c r="T19" s="12">
        <v>250.3</v>
      </c>
      <c r="U19" s="6">
        <v>250.2</v>
      </c>
      <c r="V19" s="86">
        <v>254.8</v>
      </c>
      <c r="W19" s="86">
        <v>295.2</v>
      </c>
      <c r="X19" s="86">
        <v>297.39999999999998</v>
      </c>
      <c r="Y19" s="86">
        <v>305</v>
      </c>
      <c r="Z19" s="86">
        <v>339.1</v>
      </c>
      <c r="AA19" s="63">
        <v>348.4</v>
      </c>
      <c r="AB19" s="63">
        <v>348.4</v>
      </c>
      <c r="AC19" s="63">
        <v>358.9</v>
      </c>
      <c r="AD19" s="86">
        <v>370.5</v>
      </c>
      <c r="AE19" s="63">
        <v>389.6</v>
      </c>
      <c r="AF19" s="63">
        <v>400</v>
      </c>
      <c r="AG19" s="63">
        <v>447.1</v>
      </c>
      <c r="AH19" s="86">
        <v>463.2</v>
      </c>
      <c r="AI19" s="63">
        <v>275.2</v>
      </c>
      <c r="AJ19" s="63">
        <v>451.3</v>
      </c>
      <c r="AK19" s="63">
        <v>501.1</v>
      </c>
      <c r="AL19" s="86">
        <v>479.4</v>
      </c>
      <c r="AM19" s="63">
        <v>538.5</v>
      </c>
      <c r="AN19" s="87"/>
      <c r="AO19" s="13"/>
    </row>
    <row r="20" spans="1:42" x14ac:dyDescent="0.2">
      <c r="K20" s="131" t="s">
        <v>7</v>
      </c>
      <c r="L20" s="132"/>
      <c r="M20" s="7">
        <f t="shared" ref="M20:O20" si="11">IF(M15&gt;M19,1,0)</f>
        <v>1</v>
      </c>
      <c r="N20" s="7">
        <f t="shared" si="11"/>
        <v>1</v>
      </c>
      <c r="O20" s="7">
        <f t="shared" si="11"/>
        <v>1</v>
      </c>
      <c r="P20" s="7">
        <f t="shared" ref="P20:T20" si="12">IF(P15&gt;P19,1,0)</f>
        <v>1</v>
      </c>
      <c r="Q20" s="7">
        <f t="shared" si="12"/>
        <v>1</v>
      </c>
      <c r="R20" s="7">
        <f t="shared" si="12"/>
        <v>1</v>
      </c>
      <c r="S20" s="7">
        <f t="shared" si="12"/>
        <v>1</v>
      </c>
      <c r="T20" s="7">
        <f t="shared" si="12"/>
        <v>0</v>
      </c>
      <c r="U20" s="7">
        <f t="shared" ref="U20:AL20" si="13">IF(U15&gt;U19,1,0)</f>
        <v>1</v>
      </c>
      <c r="V20" s="7">
        <f t="shared" si="13"/>
        <v>1</v>
      </c>
      <c r="W20" s="7">
        <f t="shared" si="13"/>
        <v>1</v>
      </c>
      <c r="X20" s="7">
        <f t="shared" si="13"/>
        <v>1</v>
      </c>
      <c r="Y20" s="7">
        <f t="shared" si="13"/>
        <v>1</v>
      </c>
      <c r="Z20" s="7">
        <f t="shared" si="13"/>
        <v>0</v>
      </c>
      <c r="AA20" s="7">
        <f t="shared" si="13"/>
        <v>1</v>
      </c>
      <c r="AB20" s="7">
        <f t="shared" si="13"/>
        <v>0</v>
      </c>
      <c r="AC20" s="7">
        <f t="shared" si="13"/>
        <v>0</v>
      </c>
      <c r="AD20" s="7">
        <f t="shared" si="13"/>
        <v>0</v>
      </c>
      <c r="AE20" s="7">
        <f t="shared" si="13"/>
        <v>1</v>
      </c>
      <c r="AF20" s="7">
        <f t="shared" si="13"/>
        <v>1</v>
      </c>
      <c r="AG20" s="7">
        <f t="shared" si="13"/>
        <v>1</v>
      </c>
      <c r="AH20" s="7">
        <f t="shared" si="13"/>
        <v>1</v>
      </c>
      <c r="AI20" s="7">
        <f t="shared" si="13"/>
        <v>1</v>
      </c>
      <c r="AJ20" s="7">
        <f t="shared" si="13"/>
        <v>1</v>
      </c>
      <c r="AK20" s="7">
        <f t="shared" si="13"/>
        <v>0</v>
      </c>
      <c r="AL20" s="7">
        <f t="shared" si="13"/>
        <v>1</v>
      </c>
      <c r="AM20" s="8">
        <f>IF(AM15&gt;AM19,1,0)</f>
        <v>1</v>
      </c>
      <c r="AN20" s="45" t="s">
        <v>8</v>
      </c>
      <c r="AO20" s="42">
        <f>AVERAGE(M20:AM20)</f>
        <v>0.77777777777777779</v>
      </c>
    </row>
    <row r="21" spans="1:42" x14ac:dyDescent="0.2">
      <c r="K21" s="156" t="s">
        <v>9</v>
      </c>
      <c r="L21" s="157"/>
      <c r="P21" s="6">
        <f t="shared" ref="P21" si="14">AVERAGE(M20:P20)</f>
        <v>1</v>
      </c>
      <c r="Q21" s="6">
        <f t="shared" ref="Q21" si="15">AVERAGE(N20:Q20)</f>
        <v>1</v>
      </c>
      <c r="R21" s="6">
        <f t="shared" ref="R21" si="16">AVERAGE(O20:R20)</f>
        <v>1</v>
      </c>
      <c r="S21" s="6">
        <f t="shared" ref="S21" si="17">AVERAGE(P20:S20)</f>
        <v>1</v>
      </c>
      <c r="T21" s="6">
        <f t="shared" ref="T21" si="18">AVERAGE(Q20:T20)</f>
        <v>0.75</v>
      </c>
      <c r="U21" s="6">
        <f t="shared" ref="U21" si="19">AVERAGE(R20:U20)</f>
        <v>0.75</v>
      </c>
      <c r="V21" s="6">
        <f t="shared" ref="V21" si="20">AVERAGE(S20:V20)</f>
        <v>0.75</v>
      </c>
      <c r="W21" s="6">
        <f t="shared" ref="W21" si="21">AVERAGE(T20:W20)</f>
        <v>0.75</v>
      </c>
      <c r="X21" s="6">
        <f t="shared" ref="X21" si="22">AVERAGE(U20:X20)</f>
        <v>1</v>
      </c>
      <c r="Y21" s="6">
        <f t="shared" ref="Y21" si="23">AVERAGE(V20:Y20)</f>
        <v>1</v>
      </c>
      <c r="Z21" s="6">
        <f t="shared" ref="Z21:AM21" si="24">AVERAGE(W20:Z20)</f>
        <v>0.75</v>
      </c>
      <c r="AA21" s="6">
        <f t="shared" si="24"/>
        <v>0.75</v>
      </c>
      <c r="AB21" s="6">
        <f t="shared" si="24"/>
        <v>0.5</v>
      </c>
      <c r="AC21" s="6">
        <f t="shared" si="24"/>
        <v>0.25</v>
      </c>
      <c r="AD21" s="6">
        <f t="shared" si="24"/>
        <v>0.25</v>
      </c>
      <c r="AE21" s="6">
        <f t="shared" si="24"/>
        <v>0.25</v>
      </c>
      <c r="AF21" s="6">
        <f t="shared" si="24"/>
        <v>0.5</v>
      </c>
      <c r="AG21" s="6">
        <f t="shared" si="24"/>
        <v>0.75</v>
      </c>
      <c r="AH21" s="6">
        <f t="shared" si="24"/>
        <v>1</v>
      </c>
      <c r="AI21" s="6">
        <f t="shared" si="24"/>
        <v>1</v>
      </c>
      <c r="AJ21" s="6">
        <f t="shared" si="24"/>
        <v>1</v>
      </c>
      <c r="AK21" s="6">
        <f t="shared" si="24"/>
        <v>0.75</v>
      </c>
      <c r="AL21" s="6">
        <f>AVERAGE(AI20:AL20)</f>
        <v>0.75</v>
      </c>
      <c r="AM21" s="10">
        <f t="shared" si="24"/>
        <v>0.75</v>
      </c>
      <c r="AN21" s="41" t="s">
        <v>10</v>
      </c>
      <c r="AO21" s="42">
        <f>AVERAGE(P21:AM21)</f>
        <v>0.76041666666666663</v>
      </c>
    </row>
    <row r="22" spans="1:42" x14ac:dyDescent="0.2">
      <c r="K22" s="116" t="s">
        <v>11</v>
      </c>
      <c r="L22" s="164"/>
      <c r="M22" s="18">
        <f t="shared" ref="M22:O22" si="25">M15/M19-1</f>
        <v>8.98876404494382E-2</v>
      </c>
      <c r="N22" s="18">
        <f t="shared" si="25"/>
        <v>5.5021834061135255E-2</v>
      </c>
      <c r="O22" s="18">
        <f t="shared" si="25"/>
        <v>0.1616415410385259</v>
      </c>
      <c r="P22" s="18">
        <f t="shared" ref="P22:T22" si="26">P15/P19-1</f>
        <v>8.1955922865013742E-2</v>
      </c>
      <c r="Q22" s="18">
        <f t="shared" si="26"/>
        <v>9.090909090909105E-2</v>
      </c>
      <c r="R22" s="18">
        <f t="shared" si="26"/>
        <v>0.12978369384359389</v>
      </c>
      <c r="S22" s="18">
        <f t="shared" si="26"/>
        <v>9.7722960151802596E-2</v>
      </c>
      <c r="T22" s="18">
        <f t="shared" si="26"/>
        <v>-1.9576508190171871E-2</v>
      </c>
      <c r="U22" s="18">
        <f t="shared" ref="U22:AM22" si="27">U15/U19-1</f>
        <v>1.8784972022382274E-2</v>
      </c>
      <c r="V22" s="18">
        <f t="shared" si="27"/>
        <v>0.12127158555729967</v>
      </c>
      <c r="W22" s="18">
        <f t="shared" si="27"/>
        <v>2.2696476964769507E-2</v>
      </c>
      <c r="X22" s="18">
        <f t="shared" si="27"/>
        <v>1.0087424344318308E-3</v>
      </c>
      <c r="Y22" s="18">
        <f t="shared" si="27"/>
        <v>2.5901639344262151E-2</v>
      </c>
      <c r="Z22" s="18">
        <f t="shared" si="27"/>
        <v>-2.2707166027720604E-2</v>
      </c>
      <c r="AA22" s="18">
        <f t="shared" si="27"/>
        <v>4.8794489092998106E-3</v>
      </c>
      <c r="AB22" s="18">
        <f t="shared" si="27"/>
        <v>-1.3203214695751919E-2</v>
      </c>
      <c r="AC22" s="18">
        <f t="shared" si="27"/>
        <v>-4.736695458344875E-3</v>
      </c>
      <c r="AD22" s="18">
        <f t="shared" si="27"/>
        <v>-6.4777327935221507E-3</v>
      </c>
      <c r="AE22" s="18">
        <f t="shared" si="27"/>
        <v>7.2895277207392084E-2</v>
      </c>
      <c r="AF22" s="18">
        <f t="shared" si="27"/>
        <v>0.12050000000000005</v>
      </c>
      <c r="AG22" s="18">
        <f t="shared" si="27"/>
        <v>0.1078058599865801</v>
      </c>
      <c r="AH22" s="18">
        <f t="shared" si="27"/>
        <v>3.7780656303972426E-2</v>
      </c>
      <c r="AI22" s="18">
        <f t="shared" si="27"/>
        <v>0.32122093023255838</v>
      </c>
      <c r="AJ22" s="18">
        <f t="shared" si="27"/>
        <v>4.5202747617992367E-2</v>
      </c>
      <c r="AK22" s="18">
        <f t="shared" si="27"/>
        <v>-4.7894631810017962E-2</v>
      </c>
      <c r="AL22" s="18">
        <f t="shared" si="27"/>
        <v>2.5031289111390187E-3</v>
      </c>
      <c r="AM22" s="40">
        <f t="shared" si="27"/>
        <v>4.6425255338904403E-2</v>
      </c>
      <c r="AN22" s="41" t="s">
        <v>13</v>
      </c>
      <c r="AO22" s="43">
        <f>MEDIAN(M22:AM22)</f>
        <v>4.5202747617992367E-2</v>
      </c>
    </row>
    <row r="23" spans="1:42" x14ac:dyDescent="0.2">
      <c r="K23" s="156" t="s">
        <v>12</v>
      </c>
      <c r="L23" s="157"/>
      <c r="P23" s="32">
        <f t="shared" ref="P23" si="28">AVERAGE(M22:P22)</f>
        <v>9.7126734603528275E-2</v>
      </c>
      <c r="Q23" s="32">
        <f t="shared" ref="Q23" si="29">AVERAGE(N22:Q22)</f>
        <v>9.7382097218441488E-2</v>
      </c>
      <c r="R23" s="32">
        <f t="shared" ref="R23" si="30">AVERAGE(O22:R22)</f>
        <v>0.11607256216405615</v>
      </c>
      <c r="S23" s="32">
        <f t="shared" ref="S23" si="31">AVERAGE(P22:S22)</f>
        <v>0.10009291694237532</v>
      </c>
      <c r="T23" s="32">
        <f t="shared" ref="T23" si="32">AVERAGE(Q22:T22)</f>
        <v>7.4709809178578918E-2</v>
      </c>
      <c r="U23" s="32">
        <f t="shared" ref="U23" si="33">AVERAGE(R22:U22)</f>
        <v>5.6678779456901723E-2</v>
      </c>
      <c r="V23" s="32">
        <f t="shared" ref="V23" si="34">AVERAGE(S22:V22)</f>
        <v>5.4550752385328166E-2</v>
      </c>
      <c r="W23" s="32">
        <f t="shared" ref="W23" si="35">AVERAGE(T22:W22)</f>
        <v>3.5794131588569894E-2</v>
      </c>
      <c r="X23" s="32">
        <f t="shared" ref="X23" si="36">AVERAGE(U22:X22)</f>
        <v>4.0940444244720819E-2</v>
      </c>
      <c r="Y23" s="32">
        <f t="shared" ref="Y23" si="37">AVERAGE(V22:Y22)</f>
        <v>4.2719611075190789E-2</v>
      </c>
      <c r="Z23" s="32">
        <f t="shared" ref="Z23:AM23" si="38">AVERAGE(W22:Z22)</f>
        <v>6.7249231789357211E-3</v>
      </c>
      <c r="AA23" s="32">
        <f t="shared" si="38"/>
        <v>2.2706661650682969E-3</v>
      </c>
      <c r="AB23" s="32">
        <f t="shared" si="38"/>
        <v>-1.2823231174776406E-3</v>
      </c>
      <c r="AC23" s="32">
        <f t="shared" si="38"/>
        <v>-8.941906818129397E-3</v>
      </c>
      <c r="AD23" s="32">
        <f t="shared" si="38"/>
        <v>-4.8845485095797836E-3</v>
      </c>
      <c r="AE23" s="32">
        <f t="shared" si="38"/>
        <v>1.2119408564943285E-2</v>
      </c>
      <c r="AF23" s="32">
        <f t="shared" si="38"/>
        <v>4.5545212238881277E-2</v>
      </c>
      <c r="AG23" s="32">
        <f t="shared" si="38"/>
        <v>7.3680851100112521E-2</v>
      </c>
      <c r="AH23" s="32">
        <f t="shared" si="38"/>
        <v>8.4745448374486165E-2</v>
      </c>
      <c r="AI23" s="32">
        <f t="shared" si="38"/>
        <v>0.14682686163077774</v>
      </c>
      <c r="AJ23" s="32">
        <f t="shared" si="38"/>
        <v>0.12800254853527582</v>
      </c>
      <c r="AK23" s="32">
        <f t="shared" si="38"/>
        <v>8.9077425586126302E-2</v>
      </c>
      <c r="AL23" s="32">
        <f t="shared" si="38"/>
        <v>8.025804373791795E-2</v>
      </c>
      <c r="AM23" s="33">
        <f t="shared" si="38"/>
        <v>1.1559125014504457E-2</v>
      </c>
      <c r="AN23" s="19" t="s">
        <v>14</v>
      </c>
      <c r="AO23" s="33">
        <f>MEDIAN(P23:AM23)</f>
        <v>5.5614765921114945E-2</v>
      </c>
    </row>
    <row r="24" spans="1:42" x14ac:dyDescent="0.2">
      <c r="K24" s="131" t="s">
        <v>25</v>
      </c>
      <c r="L24" s="132"/>
      <c r="M24" s="105">
        <f>AVERAGE(M22:S22,U22:Y22,AE22:AJ22,AA22,AL22:AM22)</f>
        <v>7.8847590673789741E-2</v>
      </c>
      <c r="N24" s="116" t="s">
        <v>29</v>
      </c>
      <c r="O24" s="117"/>
      <c r="P24" s="46">
        <f>MEDIAN(M22:S22,U22:Y22,AE22:AJ22,AA22,AL22:AM22)</f>
        <v>7.2895277207392084E-2</v>
      </c>
      <c r="AJ24" s="3"/>
      <c r="AK24" s="133" t="s">
        <v>23</v>
      </c>
      <c r="AL24" s="134"/>
      <c r="AM24" s="134"/>
      <c r="AN24" s="135"/>
      <c r="AO24" s="44">
        <f>AVERAGE(AJ17:AN17)</f>
        <v>0.62467476427617719</v>
      </c>
    </row>
    <row r="25" spans="1:42" x14ac:dyDescent="0.2">
      <c r="K25" s="118" t="s">
        <v>26</v>
      </c>
      <c r="L25" s="121"/>
      <c r="M25" s="104">
        <f>AVERAGE(T22,Z22,AB22:AD22,AK22)</f>
        <v>-1.9099324829254898E-2</v>
      </c>
      <c r="N25" s="118" t="s">
        <v>30</v>
      </c>
      <c r="O25" s="119"/>
      <c r="P25" s="33">
        <f>MEDIAN(T22,Z22,AB22:AD22,AK22)</f>
        <v>-1.6389861442961895E-2</v>
      </c>
      <c r="AK25" s="112" t="s">
        <v>27</v>
      </c>
      <c r="AL25" s="113"/>
      <c r="AM25" s="113"/>
      <c r="AN25" s="113"/>
      <c r="AO25" s="46">
        <f>AVERAGE(AN18,AF18,AB18,X18,T18,P18)</f>
        <v>0.25651831289464627</v>
      </c>
    </row>
    <row r="26" spans="1:42" x14ac:dyDescent="0.2">
      <c r="AK26" s="114" t="s">
        <v>28</v>
      </c>
      <c r="AL26" s="115"/>
      <c r="AM26" s="115"/>
      <c r="AN26" s="115"/>
      <c r="AO26" s="47">
        <f>_xlfn.STDEV.S(AN18,AF18,X18,T18,P18,L18,D18,H18,AB18)</f>
        <v>1.5319680470761597E-2</v>
      </c>
    </row>
    <row r="29" spans="1:42" ht="18" customHeight="1" x14ac:dyDescent="0.2"/>
  </sheetData>
  <mergeCells count="29">
    <mergeCell ref="T4:U4"/>
    <mergeCell ref="B11:E11"/>
    <mergeCell ref="K21:L21"/>
    <mergeCell ref="Z11:AC11"/>
    <mergeCell ref="K24:L24"/>
    <mergeCell ref="F11:I11"/>
    <mergeCell ref="K23:L23"/>
    <mergeCell ref="K22:L22"/>
    <mergeCell ref="J11:M11"/>
    <mergeCell ref="N11:Q11"/>
    <mergeCell ref="R11:U11"/>
    <mergeCell ref="V11:Y11"/>
    <mergeCell ref="A1:C3"/>
    <mergeCell ref="O1:P1"/>
    <mergeCell ref="T1:U1"/>
    <mergeCell ref="T2:U2"/>
    <mergeCell ref="T3:U3"/>
    <mergeCell ref="AK25:AN25"/>
    <mergeCell ref="AK26:AN26"/>
    <mergeCell ref="N24:O24"/>
    <mergeCell ref="N25:O25"/>
    <mergeCell ref="L10:M10"/>
    <mergeCell ref="AK10:AM10"/>
    <mergeCell ref="K25:L25"/>
    <mergeCell ref="AD11:AG11"/>
    <mergeCell ref="AH11:AK11"/>
    <mergeCell ref="AL11:AO11"/>
    <mergeCell ref="K20:L20"/>
    <mergeCell ref="AK24:AN24"/>
  </mergeCells>
  <conditionalFormatting sqref="M20:AM20 AO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:AM21 AO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AM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P23:AM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O22:AO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O20:AO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O20:AO21 AO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M22:AM22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P23:AM23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AO22:AO23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 AO24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topLeftCell="A4" zoomScale="85" zoomScaleNormal="85" workbookViewId="0">
      <selection activeCell="G23" sqref="G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79</v>
      </c>
      <c r="B1" t="s">
        <v>80</v>
      </c>
    </row>
    <row r="4" spans="1:21" x14ac:dyDescent="0.2">
      <c r="A4" s="170" t="s">
        <v>75</v>
      </c>
      <c r="B4" s="170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169</v>
      </c>
      <c r="B6" s="111" t="s">
        <v>170</v>
      </c>
      <c r="C6" t="s">
        <v>171</v>
      </c>
      <c r="D6">
        <v>20170720</v>
      </c>
      <c r="E6">
        <v>326.71201300000001</v>
      </c>
      <c r="F6">
        <v>336.96888000000001</v>
      </c>
      <c r="G6">
        <v>292.05651799999998</v>
      </c>
      <c r="H6">
        <v>293.179441</v>
      </c>
      <c r="I6">
        <v>380.40264300000001</v>
      </c>
      <c r="J6">
        <v>312.22921299999996</v>
      </c>
      <c r="R6">
        <v>295.2</v>
      </c>
      <c r="S6">
        <v>301.89999999999998</v>
      </c>
    </row>
    <row r="7" spans="1:21" x14ac:dyDescent="0.2">
      <c r="A7" t="s">
        <v>169</v>
      </c>
      <c r="B7" s="111" t="s">
        <v>170</v>
      </c>
      <c r="C7" t="s">
        <v>172</v>
      </c>
      <c r="D7">
        <v>20171019</v>
      </c>
      <c r="E7">
        <v>315.70403700000003</v>
      </c>
      <c r="F7">
        <v>313.42974199999998</v>
      </c>
      <c r="G7">
        <v>305.33368400000001</v>
      </c>
      <c r="H7">
        <v>303.24399599999998</v>
      </c>
      <c r="I7">
        <v>367.98938199999998</v>
      </c>
      <c r="J7">
        <v>309.42786474999997</v>
      </c>
      <c r="K7">
        <f>(E7/E6)*$S6</f>
        <v>291.72802032932896</v>
      </c>
      <c r="L7">
        <f t="shared" ref="L7:P7" si="0">(F7/F6)*$S6</f>
        <v>280.81061702136998</v>
      </c>
      <c r="M7">
        <f t="shared" si="0"/>
        <v>315.62466001734634</v>
      </c>
      <c r="N7">
        <f t="shared" si="0"/>
        <v>312.26392300952642</v>
      </c>
      <c r="O7">
        <f t="shared" si="0"/>
        <v>292.04842939485042</v>
      </c>
      <c r="P7">
        <f t="shared" si="0"/>
        <v>299.19132636709747</v>
      </c>
      <c r="Q7">
        <f>AVERAGE(K7:P7)</f>
        <v>298.61116268991992</v>
      </c>
      <c r="R7">
        <v>297.39999999999998</v>
      </c>
      <c r="S7">
        <v>297.7</v>
      </c>
      <c r="T7" s="96"/>
      <c r="U7" s="95"/>
    </row>
    <row r="8" spans="1:21" x14ac:dyDescent="0.2">
      <c r="A8" t="s">
        <v>169</v>
      </c>
      <c r="B8" s="111" t="s">
        <v>170</v>
      </c>
      <c r="C8" t="s">
        <v>167</v>
      </c>
      <c r="D8">
        <v>20180125</v>
      </c>
      <c r="E8">
        <v>337.09827799999999</v>
      </c>
      <c r="F8">
        <v>329.36594000000002</v>
      </c>
      <c r="G8">
        <v>324.07366100000002</v>
      </c>
      <c r="H8">
        <v>322.70434299999999</v>
      </c>
      <c r="I8">
        <v>380.53184900000002</v>
      </c>
      <c r="J8">
        <v>328.31055550000002</v>
      </c>
      <c r="K8">
        <f t="shared" ref="K8:K23" si="1">(E8/E7)*$S7</f>
        <v>317.87416567181873</v>
      </c>
      <c r="L8">
        <f t="shared" ref="L8:L23" si="2">(F8/F7)*$S7</f>
        <v>312.83642615511587</v>
      </c>
      <c r="M8">
        <f t="shared" ref="M8:M23" si="3">(G8/G7)*$S7</f>
        <v>315.97145659075073</v>
      </c>
      <c r="N8">
        <f t="shared" ref="N8:N23" si="4">(H8/H7)*$S7</f>
        <v>316.80456720765545</v>
      </c>
      <c r="O8">
        <f t="shared" ref="O8:O23" si="5">(I8/I7)*$S7</f>
        <v>307.84673957603485</v>
      </c>
      <c r="P8">
        <f t="shared" ref="P8:P23" si="6">(J8/J7)*$S7</f>
        <v>315.86700328788027</v>
      </c>
      <c r="Q8">
        <f t="shared" ref="Q8:Q23" si="7">AVERAGE(K8:P8)</f>
        <v>314.53339308154267</v>
      </c>
      <c r="R8">
        <v>305</v>
      </c>
      <c r="S8">
        <v>312.89999999999998</v>
      </c>
      <c r="T8" s="96"/>
      <c r="U8" s="95"/>
    </row>
    <row r="9" spans="1:21" x14ac:dyDescent="0.2">
      <c r="A9" t="s">
        <v>169</v>
      </c>
      <c r="B9" s="111" t="s">
        <v>170</v>
      </c>
      <c r="C9" t="s">
        <v>42</v>
      </c>
      <c r="D9">
        <v>20180419</v>
      </c>
      <c r="E9">
        <v>328.43692199999998</v>
      </c>
      <c r="F9">
        <v>328.54830199999998</v>
      </c>
      <c r="G9">
        <v>298.13629100000003</v>
      </c>
      <c r="H9">
        <v>333.79070400000001</v>
      </c>
      <c r="I9">
        <v>417.20673099999999</v>
      </c>
      <c r="J9">
        <v>322.22805475000001</v>
      </c>
      <c r="K9">
        <f t="shared" si="1"/>
        <v>304.86039116996022</v>
      </c>
      <c r="L9">
        <f t="shared" si="2"/>
        <v>312.12323804884005</v>
      </c>
      <c r="M9">
        <f t="shared" si="3"/>
        <v>287.85691859697295</v>
      </c>
      <c r="N9">
        <f t="shared" si="4"/>
        <v>323.6495372533613</v>
      </c>
      <c r="O9">
        <f t="shared" si="5"/>
        <v>343.05666259724819</v>
      </c>
      <c r="P9">
        <f t="shared" si="6"/>
        <v>307.10300549954445</v>
      </c>
      <c r="Q9">
        <f t="shared" si="7"/>
        <v>313.10829219432117</v>
      </c>
      <c r="R9">
        <v>339.1</v>
      </c>
      <c r="S9">
        <v>331.4</v>
      </c>
      <c r="T9" s="9"/>
      <c r="U9" s="62"/>
    </row>
    <row r="10" spans="1:21" x14ac:dyDescent="0.2">
      <c r="A10" t="s">
        <v>169</v>
      </c>
      <c r="B10" s="111" t="s">
        <v>170</v>
      </c>
      <c r="C10" t="s">
        <v>43</v>
      </c>
      <c r="D10">
        <v>20180719</v>
      </c>
      <c r="E10">
        <v>359.41602699999999</v>
      </c>
      <c r="F10">
        <v>356.13785899999999</v>
      </c>
      <c r="G10">
        <v>334.66646400000002</v>
      </c>
      <c r="H10">
        <v>361.70230199999997</v>
      </c>
      <c r="I10">
        <v>457.78777000000002</v>
      </c>
      <c r="J10">
        <v>352.98066299999999</v>
      </c>
      <c r="K10">
        <f t="shared" si="1"/>
        <v>362.65859094794462</v>
      </c>
      <c r="L10">
        <f t="shared" si="2"/>
        <v>359.22902585142566</v>
      </c>
      <c r="M10">
        <f t="shared" si="3"/>
        <v>372.00592318900215</v>
      </c>
      <c r="N10">
        <f t="shared" si="4"/>
        <v>359.1116871930621</v>
      </c>
      <c r="O10">
        <f t="shared" si="5"/>
        <v>363.63475396086068</v>
      </c>
      <c r="P10">
        <f t="shared" si="6"/>
        <v>363.02795487176616</v>
      </c>
      <c r="Q10">
        <f t="shared" si="7"/>
        <v>363.27798933567692</v>
      </c>
      <c r="R10">
        <v>348.4</v>
      </c>
      <c r="S10">
        <v>350.1</v>
      </c>
      <c r="T10" s="9"/>
      <c r="U10" s="62"/>
    </row>
    <row r="11" spans="1:21" x14ac:dyDescent="0.2">
      <c r="A11" t="s">
        <v>169</v>
      </c>
      <c r="B11" s="111" t="s">
        <v>170</v>
      </c>
      <c r="C11" t="s">
        <v>44</v>
      </c>
      <c r="D11">
        <v>20181018</v>
      </c>
      <c r="E11">
        <v>382.00767200000001</v>
      </c>
      <c r="F11">
        <v>382.617256</v>
      </c>
      <c r="G11">
        <v>332.52871299999998</v>
      </c>
      <c r="H11">
        <v>362.88678199999998</v>
      </c>
      <c r="I11">
        <v>452.83780200000001</v>
      </c>
      <c r="J11">
        <v>365.01010574999998</v>
      </c>
      <c r="K11">
        <f t="shared" si="1"/>
        <v>372.10607185082495</v>
      </c>
      <c r="L11">
        <f t="shared" si="2"/>
        <v>376.13047290656061</v>
      </c>
      <c r="M11">
        <f t="shared" si="3"/>
        <v>347.86366410857346</v>
      </c>
      <c r="N11">
        <f t="shared" si="4"/>
        <v>351.24648550951167</v>
      </c>
      <c r="O11">
        <f t="shared" si="5"/>
        <v>346.31443841367803</v>
      </c>
      <c r="P11">
        <f t="shared" si="6"/>
        <v>362.03127088317297</v>
      </c>
      <c r="Q11">
        <f t="shared" si="7"/>
        <v>359.28206727872026</v>
      </c>
      <c r="R11">
        <v>348.4</v>
      </c>
      <c r="S11">
        <v>343.8</v>
      </c>
      <c r="T11" s="9"/>
      <c r="U11" s="62"/>
    </row>
    <row r="12" spans="1:21" x14ac:dyDescent="0.2">
      <c r="A12" t="s">
        <v>169</v>
      </c>
      <c r="B12" s="111" t="s">
        <v>170</v>
      </c>
      <c r="C12" t="s">
        <v>45</v>
      </c>
      <c r="D12">
        <v>20190124</v>
      </c>
      <c r="E12">
        <v>382.03995900000001</v>
      </c>
      <c r="F12">
        <v>385.41468200000003</v>
      </c>
      <c r="G12">
        <v>362.57546000000002</v>
      </c>
      <c r="H12">
        <v>385.40328</v>
      </c>
      <c r="I12">
        <v>486.253896</v>
      </c>
      <c r="J12">
        <v>378.85834525000001</v>
      </c>
      <c r="K12">
        <f t="shared" si="1"/>
        <v>343.82905771641151</v>
      </c>
      <c r="L12">
        <f t="shared" si="2"/>
        <v>346.31362175573179</v>
      </c>
      <c r="M12">
        <f t="shared" si="3"/>
        <v>374.86520193520857</v>
      </c>
      <c r="N12">
        <f t="shared" si="4"/>
        <v>365.13219614595937</v>
      </c>
      <c r="O12">
        <f t="shared" si="5"/>
        <v>369.16990742923889</v>
      </c>
      <c r="P12">
        <f t="shared" si="6"/>
        <v>356.84354226115835</v>
      </c>
      <c r="Q12">
        <f t="shared" si="7"/>
        <v>359.35892120728477</v>
      </c>
      <c r="R12">
        <v>358.9</v>
      </c>
      <c r="S12">
        <v>357.2</v>
      </c>
      <c r="T12" s="9"/>
      <c r="U12" s="62"/>
    </row>
    <row r="13" spans="1:21" x14ac:dyDescent="0.2">
      <c r="A13" t="s">
        <v>169</v>
      </c>
      <c r="B13" s="111" t="s">
        <v>170</v>
      </c>
      <c r="C13" t="s">
        <v>46</v>
      </c>
      <c r="D13">
        <v>20190418</v>
      </c>
      <c r="E13">
        <v>395.32207899999997</v>
      </c>
      <c r="F13">
        <v>394.29538100000002</v>
      </c>
      <c r="G13">
        <v>369.65867300000002</v>
      </c>
      <c r="H13">
        <v>388.93239899999998</v>
      </c>
      <c r="I13">
        <v>478.31831299999999</v>
      </c>
      <c r="J13">
        <v>387.05213299999997</v>
      </c>
      <c r="K13">
        <f t="shared" si="1"/>
        <v>369.61852626206564</v>
      </c>
      <c r="L13">
        <f t="shared" si="2"/>
        <v>365.43057820822713</v>
      </c>
      <c r="M13">
        <f t="shared" si="3"/>
        <v>364.17819892057781</v>
      </c>
      <c r="N13">
        <f t="shared" si="4"/>
        <v>360.47086294335634</v>
      </c>
      <c r="O13">
        <f t="shared" si="5"/>
        <v>351.37055519571607</v>
      </c>
      <c r="P13">
        <f t="shared" si="6"/>
        <v>364.92537023664778</v>
      </c>
      <c r="Q13">
        <f t="shared" si="7"/>
        <v>362.66568196109847</v>
      </c>
      <c r="R13">
        <v>370.5</v>
      </c>
      <c r="S13">
        <v>368.1</v>
      </c>
      <c r="T13" s="9"/>
      <c r="U13" s="62"/>
    </row>
    <row r="14" spans="1:21" x14ac:dyDescent="0.2">
      <c r="A14" t="s">
        <v>169</v>
      </c>
      <c r="B14" s="111" t="s">
        <v>170</v>
      </c>
      <c r="C14" t="s">
        <v>47</v>
      </c>
      <c r="D14">
        <v>20190718</v>
      </c>
      <c r="E14">
        <v>435.13874099999998</v>
      </c>
      <c r="F14">
        <v>435.48774600000002</v>
      </c>
      <c r="G14">
        <v>433.45982299999997</v>
      </c>
      <c r="H14">
        <v>417.66576099999997</v>
      </c>
      <c r="I14">
        <v>537.389455</v>
      </c>
      <c r="J14">
        <v>430.43801774999997</v>
      </c>
      <c r="K14">
        <f t="shared" si="1"/>
        <v>405.17486644630338</v>
      </c>
      <c r="L14">
        <f t="shared" si="2"/>
        <v>406.5557118524805</v>
      </c>
      <c r="M14">
        <f t="shared" si="3"/>
        <v>431.63213120742876</v>
      </c>
      <c r="N14">
        <f t="shared" si="4"/>
        <v>395.29431597726068</v>
      </c>
      <c r="O14">
        <f t="shared" si="5"/>
        <v>413.55944986680868</v>
      </c>
      <c r="P14">
        <f t="shared" si="6"/>
        <v>409.36148085708913</v>
      </c>
      <c r="Q14">
        <f t="shared" si="7"/>
        <v>410.26299270122854</v>
      </c>
      <c r="R14">
        <v>389.6</v>
      </c>
      <c r="S14">
        <v>418</v>
      </c>
      <c r="T14" s="9"/>
      <c r="U14" s="62"/>
    </row>
    <row r="15" spans="1:21" x14ac:dyDescent="0.2">
      <c r="A15" t="s">
        <v>169</v>
      </c>
      <c r="B15" s="111" t="s">
        <v>170</v>
      </c>
      <c r="C15" t="s">
        <v>48</v>
      </c>
      <c r="D15">
        <v>20191017</v>
      </c>
      <c r="E15">
        <v>447.152804</v>
      </c>
      <c r="F15">
        <v>453.967825</v>
      </c>
      <c r="G15">
        <v>459.75129600000002</v>
      </c>
      <c r="H15">
        <v>440.134435</v>
      </c>
      <c r="I15">
        <v>566.78738899999996</v>
      </c>
      <c r="J15">
        <v>450.25158999999996</v>
      </c>
      <c r="K15">
        <f t="shared" si="1"/>
        <v>429.54086699441922</v>
      </c>
      <c r="L15">
        <f t="shared" si="2"/>
        <v>435.73798021402877</v>
      </c>
      <c r="M15">
        <f t="shared" si="3"/>
        <v>443.35375859736843</v>
      </c>
      <c r="N15">
        <f t="shared" si="4"/>
        <v>440.48665466260235</v>
      </c>
      <c r="O15">
        <f t="shared" si="5"/>
        <v>440.86672411910274</v>
      </c>
      <c r="P15">
        <f t="shared" si="6"/>
        <v>437.24103554744613</v>
      </c>
      <c r="Q15">
        <f t="shared" si="7"/>
        <v>437.87117002249465</v>
      </c>
      <c r="R15">
        <v>400</v>
      </c>
      <c r="S15">
        <v>448.2</v>
      </c>
      <c r="T15" s="9"/>
      <c r="U15" s="62"/>
    </row>
    <row r="16" spans="1:21" x14ac:dyDescent="0.2">
      <c r="A16" t="s">
        <v>169</v>
      </c>
      <c r="B16" s="111" t="s">
        <v>170</v>
      </c>
      <c r="C16" t="s">
        <v>49</v>
      </c>
      <c r="D16">
        <v>20200123</v>
      </c>
      <c r="E16">
        <v>497.973322</v>
      </c>
      <c r="F16">
        <v>486.440764</v>
      </c>
      <c r="G16">
        <v>485.00933500000002</v>
      </c>
      <c r="H16">
        <v>482.38338199999998</v>
      </c>
      <c r="I16">
        <v>597.31661499999996</v>
      </c>
      <c r="J16">
        <v>487.95170074999999</v>
      </c>
      <c r="K16">
        <f t="shared" si="1"/>
        <v>499.13953557674665</v>
      </c>
      <c r="L16">
        <f t="shared" si="2"/>
        <v>480.26035859435632</v>
      </c>
      <c r="M16">
        <f t="shared" si="3"/>
        <v>472.82342831503405</v>
      </c>
      <c r="N16">
        <f t="shared" si="4"/>
        <v>491.22316869481017</v>
      </c>
      <c r="O16">
        <f t="shared" si="5"/>
        <v>472.34167880012586</v>
      </c>
      <c r="P16">
        <f t="shared" si="6"/>
        <v>485.72832863544136</v>
      </c>
      <c r="Q16">
        <f t="shared" si="7"/>
        <v>483.58608310275241</v>
      </c>
      <c r="R16">
        <v>447.1</v>
      </c>
      <c r="S16">
        <v>495.3</v>
      </c>
      <c r="T16" s="9"/>
      <c r="U16" s="62"/>
    </row>
    <row r="17" spans="1:21" x14ac:dyDescent="0.2">
      <c r="A17" t="s">
        <v>169</v>
      </c>
      <c r="B17" s="111" t="s">
        <v>170</v>
      </c>
      <c r="C17" t="s">
        <v>50</v>
      </c>
      <c r="D17">
        <v>20200416</v>
      </c>
      <c r="E17">
        <v>485.84414600000002</v>
      </c>
      <c r="F17">
        <v>481.23340000000002</v>
      </c>
      <c r="G17">
        <v>473.43758400000002</v>
      </c>
      <c r="H17">
        <v>478.40233799999999</v>
      </c>
      <c r="I17">
        <v>606.67934500000001</v>
      </c>
      <c r="J17">
        <v>479.72936700000002</v>
      </c>
      <c r="K17">
        <f t="shared" si="1"/>
        <v>483.2359383175953</v>
      </c>
      <c r="L17">
        <f t="shared" si="2"/>
        <v>489.9977975941178</v>
      </c>
      <c r="M17">
        <f t="shared" si="3"/>
        <v>483.48272586382279</v>
      </c>
      <c r="N17">
        <f t="shared" si="4"/>
        <v>491.21235692028876</v>
      </c>
      <c r="O17">
        <f t="shared" si="5"/>
        <v>503.06365507428586</v>
      </c>
      <c r="P17">
        <f t="shared" si="6"/>
        <v>486.95384217307708</v>
      </c>
      <c r="Q17">
        <f t="shared" si="7"/>
        <v>489.65771932386457</v>
      </c>
      <c r="R17">
        <v>463.2</v>
      </c>
      <c r="S17">
        <v>480.7</v>
      </c>
      <c r="T17" s="9"/>
      <c r="U17" s="62"/>
    </row>
    <row r="18" spans="1:21" x14ac:dyDescent="0.2">
      <c r="A18" t="s">
        <v>169</v>
      </c>
      <c r="B18" s="111" t="s">
        <v>170</v>
      </c>
      <c r="C18" t="s">
        <v>51</v>
      </c>
      <c r="D18">
        <v>20200716</v>
      </c>
      <c r="E18">
        <v>413.51376099999999</v>
      </c>
      <c r="F18">
        <v>411.58931200000001</v>
      </c>
      <c r="G18">
        <v>365.54164400000002</v>
      </c>
      <c r="H18">
        <v>401.22738399999997</v>
      </c>
      <c r="I18">
        <v>511.26185199999998</v>
      </c>
      <c r="J18">
        <v>397.96802525000004</v>
      </c>
      <c r="K18">
        <f t="shared" si="1"/>
        <v>409.13545331201743</v>
      </c>
      <c r="L18">
        <f t="shared" si="2"/>
        <v>411.13310563730607</v>
      </c>
      <c r="M18">
        <f t="shared" si="3"/>
        <v>371.14896283941835</v>
      </c>
      <c r="N18">
        <f t="shared" si="4"/>
        <v>403.1543915422921</v>
      </c>
      <c r="O18">
        <f t="shared" si="5"/>
        <v>405.09632358820454</v>
      </c>
      <c r="P18">
        <f t="shared" si="6"/>
        <v>398.77323111152168</v>
      </c>
      <c r="Q18">
        <f t="shared" si="7"/>
        <v>399.74024467179333</v>
      </c>
      <c r="R18">
        <v>275.2</v>
      </c>
      <c r="S18">
        <v>363.6</v>
      </c>
      <c r="T18" s="9"/>
      <c r="U18" s="62"/>
    </row>
    <row r="19" spans="1:21" x14ac:dyDescent="0.2">
      <c r="A19" t="s">
        <v>169</v>
      </c>
      <c r="B19" s="111" t="s">
        <v>170</v>
      </c>
      <c r="C19" t="s">
        <v>52</v>
      </c>
      <c r="D19">
        <v>20201015</v>
      </c>
      <c r="E19">
        <v>468.57396</v>
      </c>
      <c r="F19">
        <v>472.89121699999998</v>
      </c>
      <c r="G19">
        <v>455.17783300000002</v>
      </c>
      <c r="H19">
        <v>447.16603800000001</v>
      </c>
      <c r="I19">
        <v>584.21838000000002</v>
      </c>
      <c r="J19">
        <v>460.95226200000002</v>
      </c>
      <c r="K19">
        <f t="shared" si="1"/>
        <v>412.01408012150779</v>
      </c>
      <c r="L19">
        <f t="shared" si="2"/>
        <v>417.75440102098662</v>
      </c>
      <c r="M19">
        <f t="shared" si="3"/>
        <v>452.76006932550763</v>
      </c>
      <c r="N19">
        <f t="shared" si="4"/>
        <v>405.2304949773818</v>
      </c>
      <c r="O19">
        <f t="shared" si="5"/>
        <v>415.48533718490705</v>
      </c>
      <c r="P19">
        <f t="shared" si="6"/>
        <v>421.14499615368283</v>
      </c>
      <c r="Q19">
        <f t="shared" si="7"/>
        <v>420.73156313066232</v>
      </c>
      <c r="R19">
        <v>451.3</v>
      </c>
      <c r="S19">
        <v>471.7</v>
      </c>
      <c r="T19" s="9"/>
      <c r="U19" s="62"/>
    </row>
    <row r="20" spans="1:21" x14ac:dyDescent="0.2">
      <c r="A20" t="s">
        <v>169</v>
      </c>
      <c r="B20" s="111" t="s">
        <v>170</v>
      </c>
      <c r="C20" t="s">
        <v>53</v>
      </c>
      <c r="D20">
        <v>20210121</v>
      </c>
      <c r="E20">
        <v>502.70108199999999</v>
      </c>
      <c r="F20">
        <v>502.88751000000002</v>
      </c>
      <c r="G20">
        <v>486.67914999999999</v>
      </c>
      <c r="H20">
        <v>490.69701700000002</v>
      </c>
      <c r="I20">
        <v>623.65515100000005</v>
      </c>
      <c r="J20">
        <v>495.74118974999999</v>
      </c>
      <c r="K20">
        <f t="shared" si="1"/>
        <v>506.05479736731417</v>
      </c>
      <c r="L20">
        <f t="shared" si="2"/>
        <v>501.62073208265997</v>
      </c>
      <c r="M20">
        <f t="shared" si="3"/>
        <v>504.34476024890256</v>
      </c>
      <c r="N20">
        <f t="shared" si="4"/>
        <v>517.61932537215625</v>
      </c>
      <c r="O20">
        <f t="shared" si="5"/>
        <v>503.54138931181859</v>
      </c>
      <c r="P20">
        <f t="shared" si="6"/>
        <v>507.30007960146418</v>
      </c>
      <c r="Q20">
        <f t="shared" si="7"/>
        <v>506.74684733071928</v>
      </c>
      <c r="R20">
        <v>501.1</v>
      </c>
      <c r="S20" s="10">
        <v>477.1</v>
      </c>
    </row>
    <row r="21" spans="1:21" x14ac:dyDescent="0.2">
      <c r="A21" t="s">
        <v>169</v>
      </c>
      <c r="B21" s="111" t="s">
        <v>170</v>
      </c>
      <c r="C21" t="s">
        <v>54</v>
      </c>
      <c r="D21">
        <v>20210415</v>
      </c>
      <c r="E21">
        <v>474.65266300000002</v>
      </c>
      <c r="F21">
        <v>467.62642699999998</v>
      </c>
      <c r="G21">
        <v>453.18530800000002</v>
      </c>
      <c r="H21">
        <v>468.53357599999998</v>
      </c>
      <c r="I21">
        <v>554.27541799999995</v>
      </c>
      <c r="J21">
        <v>465.99949350000003</v>
      </c>
      <c r="K21">
        <f t="shared" si="1"/>
        <v>450.48000417333503</v>
      </c>
      <c r="L21">
        <f t="shared" si="2"/>
        <v>443.64706596451362</v>
      </c>
      <c r="M21">
        <f t="shared" si="3"/>
        <v>444.26540657597519</v>
      </c>
      <c r="N21">
        <f t="shared" si="4"/>
        <v>455.55069903675411</v>
      </c>
      <c r="O21">
        <f t="shared" si="5"/>
        <v>424.02408046141511</v>
      </c>
      <c r="P21">
        <f t="shared" si="6"/>
        <v>448.47667078252908</v>
      </c>
      <c r="Q21">
        <f t="shared" si="7"/>
        <v>444.40732116575373</v>
      </c>
      <c r="R21">
        <v>479.4</v>
      </c>
      <c r="S21" s="10">
        <v>480.6</v>
      </c>
    </row>
    <row r="22" spans="1:21" x14ac:dyDescent="0.2">
      <c r="A22" t="s">
        <v>169</v>
      </c>
      <c r="B22" s="111" t="s">
        <v>170</v>
      </c>
      <c r="C22" t="s">
        <v>55</v>
      </c>
      <c r="D22">
        <v>20210722</v>
      </c>
      <c r="E22">
        <v>584.01345800000001</v>
      </c>
      <c r="F22">
        <v>578.16358300000002</v>
      </c>
      <c r="G22">
        <v>570.17589999999996</v>
      </c>
      <c r="H22">
        <v>578.12731299999996</v>
      </c>
      <c r="I22">
        <v>674.09477800000002</v>
      </c>
      <c r="J22">
        <v>577.62006350000001</v>
      </c>
      <c r="K22">
        <f t="shared" si="1"/>
        <v>591.33107173739802</v>
      </c>
      <c r="L22">
        <f t="shared" si="2"/>
        <v>594.2038386761235</v>
      </c>
      <c r="M22">
        <f t="shared" si="3"/>
        <v>604.66774342119663</v>
      </c>
      <c r="N22">
        <f t="shared" si="4"/>
        <v>593.01616972654267</v>
      </c>
      <c r="O22">
        <f t="shared" si="5"/>
        <v>584.49272651452873</v>
      </c>
      <c r="P22">
        <f t="shared" si="6"/>
        <v>595.71782027720167</v>
      </c>
      <c r="Q22">
        <f t="shared" si="7"/>
        <v>593.90489505883181</v>
      </c>
      <c r="R22">
        <v>538.5</v>
      </c>
      <c r="S22" s="10">
        <v>563.5</v>
      </c>
    </row>
    <row r="23" spans="1:21" x14ac:dyDescent="0.2">
      <c r="A23" t="s">
        <v>169</v>
      </c>
      <c r="B23" s="111" t="s">
        <v>170</v>
      </c>
      <c r="C23" t="s">
        <v>71</v>
      </c>
      <c r="D23">
        <v>20211021</v>
      </c>
      <c r="E23">
        <v>581.13761280999995</v>
      </c>
      <c r="F23">
        <v>564.43150371538729</v>
      </c>
      <c r="G23">
        <v>529.96329736954215</v>
      </c>
      <c r="H23">
        <v>556.75177958799998</v>
      </c>
      <c r="I23">
        <v>637.52538270322395</v>
      </c>
      <c r="J23">
        <v>556.16769099999999</v>
      </c>
      <c r="K23">
        <f t="shared" si="1"/>
        <v>560.72516879985142</v>
      </c>
      <c r="L23">
        <f t="shared" si="2"/>
        <v>550.11619841788047</v>
      </c>
      <c r="M23">
        <f t="shared" si="3"/>
        <v>523.75822630829714</v>
      </c>
      <c r="N23">
        <f t="shared" si="4"/>
        <v>542.66529316845822</v>
      </c>
      <c r="O23">
        <f t="shared" si="5"/>
        <v>532.9303309827252</v>
      </c>
      <c r="P23">
        <f t="shared" si="6"/>
        <v>542.57203598416902</v>
      </c>
      <c r="Q23">
        <f t="shared" si="7"/>
        <v>542.12787561023026</v>
      </c>
      <c r="R23" s="6">
        <f>'1. Data &amp; Confidence Interval'!AN14</f>
        <v>565.79999999999995</v>
      </c>
      <c r="S23" s="10"/>
    </row>
    <row r="24" spans="1:21" x14ac:dyDescent="0.2">
      <c r="A24" s="168" t="s">
        <v>173</v>
      </c>
      <c r="B24" s="169"/>
      <c r="C24" s="169"/>
      <c r="D24" s="169"/>
      <c r="E24" s="108">
        <f t="shared" ref="E24:R24" si="8">CORREL(E6:E22,$S6:$S22)</f>
        <v>0.98179611925837218</v>
      </c>
      <c r="F24" s="107">
        <f t="shared" si="8"/>
        <v>0.97886444199608458</v>
      </c>
      <c r="G24" s="108">
        <f t="shared" si="8"/>
        <v>0.98488478268439927</v>
      </c>
      <c r="H24" s="107">
        <f t="shared" si="8"/>
        <v>0.98006532063246887</v>
      </c>
      <c r="I24" s="107">
        <f t="shared" si="8"/>
        <v>0.96936076588603437</v>
      </c>
      <c r="J24" s="108">
        <f t="shared" si="8"/>
        <v>0.98631070210540184</v>
      </c>
      <c r="K24" s="107">
        <f t="shared" si="8"/>
        <v>0.94612649220177369</v>
      </c>
      <c r="L24" s="107">
        <f t="shared" si="8"/>
        <v>0.94646756163117507</v>
      </c>
      <c r="M24" s="107">
        <f t="shared" si="8"/>
        <v>0.9611315330147332</v>
      </c>
      <c r="N24" s="107">
        <f t="shared" si="8"/>
        <v>0.9461600781080054</v>
      </c>
      <c r="O24" s="107">
        <f t="shared" si="8"/>
        <v>0.9405532810338183</v>
      </c>
      <c r="P24" s="107">
        <f t="shared" si="8"/>
        <v>0.95780210550112799</v>
      </c>
      <c r="Q24" s="107">
        <f t="shared" si="8"/>
        <v>0.95738298112593512</v>
      </c>
      <c r="R24" s="107">
        <f t="shared" si="8"/>
        <v>0.94349617998223445</v>
      </c>
      <c r="S24" s="5"/>
    </row>
    <row r="26" spans="1:21" x14ac:dyDescent="0.2">
      <c r="A26" s="171" t="s">
        <v>76</v>
      </c>
      <c r="B26" s="172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9" si="9">A6</f>
        <v>EW_THV</v>
      </c>
      <c r="B28" s="9" t="str">
        <f t="shared" si="9"/>
        <v>Transcatheter Heart Valve Therapies</v>
      </c>
      <c r="C28" s="9" t="str">
        <f t="shared" si="9"/>
        <v>2017Q2</v>
      </c>
      <c r="D28" s="9">
        <f t="shared" si="9"/>
        <v>20170720</v>
      </c>
      <c r="E28" s="18">
        <f t="shared" ref="E28:E38" si="10">$S6/E6-1</f>
        <v>-7.5944599563897985E-2</v>
      </c>
      <c r="F28" s="18">
        <f t="shared" ref="E28:R39" si="11">$S6/F6-1</f>
        <v>-0.10407156886416347</v>
      </c>
      <c r="G28" s="18">
        <f t="shared" si="11"/>
        <v>3.3704031217683728E-2</v>
      </c>
      <c r="H28" s="18">
        <f t="shared" si="11"/>
        <v>2.9744783502742234E-2</v>
      </c>
      <c r="I28" s="18">
        <f t="shared" si="11"/>
        <v>-0.20636723862089479</v>
      </c>
      <c r="J28" s="18">
        <f t="shared" si="11"/>
        <v>-3.3082147889858082E-2</v>
      </c>
      <c r="K28" s="18"/>
      <c r="L28" s="18"/>
      <c r="M28" s="18"/>
      <c r="N28" s="18"/>
      <c r="O28" s="18"/>
      <c r="P28" s="18"/>
      <c r="Q28" s="18"/>
      <c r="R28" s="40">
        <f t="shared" si="11"/>
        <v>2.2696476964769507E-2</v>
      </c>
    </row>
    <row r="29" spans="1:21" x14ac:dyDescent="0.2">
      <c r="A29" s="9" t="str">
        <f t="shared" si="9"/>
        <v>EW_THV</v>
      </c>
      <c r="B29" s="9" t="str">
        <f t="shared" si="9"/>
        <v>Transcatheter Heart Valve Therapies</v>
      </c>
      <c r="C29" s="9" t="str">
        <f t="shared" si="9"/>
        <v>2017Q3</v>
      </c>
      <c r="D29" s="9">
        <f t="shared" si="9"/>
        <v>20171019</v>
      </c>
      <c r="E29" s="18">
        <f t="shared" si="10"/>
        <v>-5.7028212787789134E-2</v>
      </c>
      <c r="F29" s="18">
        <f t="shared" si="11"/>
        <v>-5.0185862706035089E-2</v>
      </c>
      <c r="G29" s="18">
        <f t="shared" si="11"/>
        <v>-2.5001119758539359E-2</v>
      </c>
      <c r="H29" s="18">
        <f t="shared" si="11"/>
        <v>-1.8282294367338414E-2</v>
      </c>
      <c r="I29" s="18">
        <f t="shared" si="11"/>
        <v>-0.19100926667498241</v>
      </c>
      <c r="J29" s="18">
        <f t="shared" si="11"/>
        <v>-3.7901773195104571E-2</v>
      </c>
      <c r="K29" s="18">
        <f t="shared" si="11"/>
        <v>2.0471052674094548E-2</v>
      </c>
      <c r="L29" s="18">
        <f t="shared" si="11"/>
        <v>6.0145101199448936E-2</v>
      </c>
      <c r="M29" s="18">
        <f t="shared" si="11"/>
        <v>-5.6791063208943338E-2</v>
      </c>
      <c r="N29" s="18">
        <f t="shared" si="11"/>
        <v>-4.6639787488617857E-2</v>
      </c>
      <c r="O29" s="18">
        <f t="shared" si="11"/>
        <v>1.9351484330390356E-2</v>
      </c>
      <c r="P29" s="18">
        <f t="shared" si="11"/>
        <v>-4.9845240676117397E-3</v>
      </c>
      <c r="Q29" s="18">
        <f t="shared" si="11"/>
        <v>-3.0513349926777344E-3</v>
      </c>
      <c r="R29" s="40">
        <f t="shared" si="11"/>
        <v>1.0087424344318308E-3</v>
      </c>
    </row>
    <row r="30" spans="1:21" x14ac:dyDescent="0.2">
      <c r="A30" s="9" t="str">
        <f t="shared" ref="A30:D30" si="12">A8</f>
        <v>EW_THV</v>
      </c>
      <c r="B30" s="9" t="str">
        <f t="shared" si="12"/>
        <v>Transcatheter Heart Valve Therapies</v>
      </c>
      <c r="C30" s="9" t="str">
        <f t="shared" si="12"/>
        <v>2017Q4</v>
      </c>
      <c r="D30" s="9">
        <f t="shared" si="12"/>
        <v>20180125</v>
      </c>
      <c r="E30" s="18">
        <f t="shared" si="10"/>
        <v>-7.1784045126448315E-2</v>
      </c>
      <c r="F30" s="18">
        <f t="shared" si="11"/>
        <v>-4.9992843825928168E-2</v>
      </c>
      <c r="G30" s="18">
        <f t="shared" si="11"/>
        <v>-3.4478769319053137E-2</v>
      </c>
      <c r="H30" s="18">
        <f t="shared" si="11"/>
        <v>-3.0381812989731083E-2</v>
      </c>
      <c r="I30" s="18">
        <f t="shared" si="11"/>
        <v>-0.17772979890574159</v>
      </c>
      <c r="J30" s="18">
        <f t="shared" si="11"/>
        <v>-4.6938958378997531E-2</v>
      </c>
      <c r="K30" s="18">
        <f t="shared" si="11"/>
        <v>-1.5648222501208897E-2</v>
      </c>
      <c r="L30" s="18">
        <f t="shared" si="11"/>
        <v>2.032175270170189E-4</v>
      </c>
      <c r="M30" s="18">
        <f t="shared" si="11"/>
        <v>-9.7206773798208523E-3</v>
      </c>
      <c r="N30" s="18">
        <f t="shared" si="11"/>
        <v>-1.2324845067956836E-2</v>
      </c>
      <c r="O30" s="18">
        <f t="shared" si="11"/>
        <v>1.6414857701349872E-2</v>
      </c>
      <c r="P30" s="18">
        <f t="shared" si="11"/>
        <v>-9.3932042821711637E-3</v>
      </c>
      <c r="Q30" s="18">
        <f t="shared" si="11"/>
        <v>-5.1930673100876179E-3</v>
      </c>
      <c r="R30" s="40">
        <f t="shared" si="11"/>
        <v>2.5901639344262151E-2</v>
      </c>
    </row>
    <row r="31" spans="1:21" x14ac:dyDescent="0.2">
      <c r="A31" s="9" t="str">
        <f>A9</f>
        <v>EW_THV</v>
      </c>
      <c r="B31" s="9" t="str">
        <f t="shared" ref="B31:D31" si="13">B9</f>
        <v>Transcatheter Heart Valve Therapies</v>
      </c>
      <c r="C31" s="9" t="str">
        <f t="shared" si="13"/>
        <v>2018Q1</v>
      </c>
      <c r="D31" s="9">
        <f t="shared" si="13"/>
        <v>20180419</v>
      </c>
      <c r="E31" s="18">
        <f t="shared" si="10"/>
        <v>9.0217566951866779E-3</v>
      </c>
      <c r="F31" s="18">
        <f t="shared" ref="F31:J31" si="14">$S9/F9-1</f>
        <v>8.6796917915588079E-3</v>
      </c>
      <c r="G31" s="18">
        <f t="shared" si="14"/>
        <v>0.11157215677577459</v>
      </c>
      <c r="H31" s="18">
        <f t="shared" si="14"/>
        <v>-7.1622845434305971E-3</v>
      </c>
      <c r="I31" s="18">
        <f t="shared" si="14"/>
        <v>-0.20566957487557891</v>
      </c>
      <c r="J31" s="18">
        <f t="shared" si="14"/>
        <v>2.8464142444443619E-2</v>
      </c>
      <c r="K31" s="18">
        <f t="shared" ref="K31:Q31" si="15">$S9/K9-1</f>
        <v>8.705495892132431E-2</v>
      </c>
      <c r="L31" s="18">
        <f t="shared" si="15"/>
        <v>6.1760098580495804E-2</v>
      </c>
      <c r="M31" s="18">
        <f t="shared" si="15"/>
        <v>0.15126640559920501</v>
      </c>
      <c r="N31" s="18">
        <f t="shared" si="15"/>
        <v>2.3947084282624598E-2</v>
      </c>
      <c r="O31" s="18">
        <f t="shared" si="15"/>
        <v>-3.3978825856337491E-2</v>
      </c>
      <c r="P31" s="18">
        <f t="shared" si="15"/>
        <v>7.9116759085223531E-2</v>
      </c>
      <c r="Q31" s="18">
        <f t="shared" si="15"/>
        <v>5.8419748890989442E-2</v>
      </c>
      <c r="R31" s="40">
        <f>$S9/R9-1</f>
        <v>-2.2707166027720604E-2</v>
      </c>
    </row>
    <row r="32" spans="1:21" x14ac:dyDescent="0.2">
      <c r="A32" s="9" t="str">
        <f t="shared" ref="A32:D32" si="16">A10</f>
        <v>EW_THV</v>
      </c>
      <c r="B32" s="9" t="str">
        <f t="shared" si="16"/>
        <v>Transcatheter Heart Valve Therapies</v>
      </c>
      <c r="C32" s="9" t="str">
        <f t="shared" si="16"/>
        <v>2018Q2</v>
      </c>
      <c r="D32" s="9">
        <f t="shared" si="16"/>
        <v>20180719</v>
      </c>
      <c r="E32" s="18">
        <f t="shared" si="10"/>
        <v>-2.5919898669404584E-2</v>
      </c>
      <c r="F32" s="18">
        <f t="shared" ref="F32:J32" si="17">$S10/F10-1</f>
        <v>-1.6953712859828163E-2</v>
      </c>
      <c r="G32" s="18">
        <f t="shared" si="17"/>
        <v>4.6116171353219215E-2</v>
      </c>
      <c r="H32" s="18">
        <f t="shared" si="17"/>
        <v>-3.2076937127151428E-2</v>
      </c>
      <c r="I32" s="18">
        <f t="shared" si="17"/>
        <v>-0.23523513963686704</v>
      </c>
      <c r="J32" s="18">
        <f t="shared" si="17"/>
        <v>-8.1609654634252626E-3</v>
      </c>
      <c r="K32" s="18">
        <f t="shared" ref="K32:Q32" si="18">$S10/K10-1</f>
        <v>-3.4629238797619477E-2</v>
      </c>
      <c r="L32" s="18">
        <f t="shared" si="18"/>
        <v>-2.5412829127013037E-2</v>
      </c>
      <c r="M32" s="18">
        <f t="shared" si="18"/>
        <v>-5.8885952678427E-2</v>
      </c>
      <c r="N32" s="18">
        <f t="shared" si="18"/>
        <v>-2.5094385714651724E-2</v>
      </c>
      <c r="O32" s="18">
        <f t="shared" si="18"/>
        <v>-3.7220738153970423E-2</v>
      </c>
      <c r="P32" s="18">
        <f t="shared" si="18"/>
        <v>-3.5611458286546327E-2</v>
      </c>
      <c r="Q32" s="18">
        <f t="shared" si="18"/>
        <v>-3.6275220967214028E-2</v>
      </c>
      <c r="R32" s="40">
        <f t="shared" ref="R32:R39" si="19">$S10/R10-1</f>
        <v>4.8794489092998106E-3</v>
      </c>
    </row>
    <row r="33" spans="1:18" x14ac:dyDescent="0.2">
      <c r="A33" s="9" t="str">
        <f t="shared" ref="A33:D33" si="20">A11</f>
        <v>EW_THV</v>
      </c>
      <c r="B33" s="9" t="str">
        <f t="shared" si="20"/>
        <v>Transcatheter Heart Valve Therapies</v>
      </c>
      <c r="C33" s="9" t="str">
        <f t="shared" si="20"/>
        <v>2018Q3</v>
      </c>
      <c r="D33" s="9">
        <f t="shared" si="20"/>
        <v>20181018</v>
      </c>
      <c r="E33" s="18">
        <f t="shared" si="10"/>
        <v>-0.10001807502965543</v>
      </c>
      <c r="F33" s="18">
        <f t="shared" ref="F33:J33" si="21">$S11/F11-1</f>
        <v>-0.10145192196977126</v>
      </c>
      <c r="G33" s="18">
        <f t="shared" si="21"/>
        <v>3.389568046113367E-2</v>
      </c>
      <c r="H33" s="18">
        <f t="shared" si="21"/>
        <v>-5.2597071446928489E-2</v>
      </c>
      <c r="I33" s="18">
        <f t="shared" si="21"/>
        <v>-0.24078776444551331</v>
      </c>
      <c r="J33" s="18">
        <f t="shared" si="21"/>
        <v>-5.8108269924249778E-2</v>
      </c>
      <c r="K33" s="18">
        <f t="shared" ref="K33:Q33" si="22">$S11/K11-1</f>
        <v>-7.6069900472284346E-2</v>
      </c>
      <c r="L33" s="18">
        <f t="shared" si="22"/>
        <v>-8.5955473526847737E-2</v>
      </c>
      <c r="M33" s="18">
        <f t="shared" si="22"/>
        <v>-1.1681772279915736E-2</v>
      </c>
      <c r="N33" s="18">
        <f t="shared" si="22"/>
        <v>-2.1200170867788026E-2</v>
      </c>
      <c r="O33" s="18">
        <f t="shared" si="22"/>
        <v>-7.2605647780543681E-3</v>
      </c>
      <c r="P33" s="18">
        <f t="shared" si="22"/>
        <v>-5.0358276617094133E-2</v>
      </c>
      <c r="Q33" s="18">
        <f t="shared" si="22"/>
        <v>-4.3091678346166229E-2</v>
      </c>
      <c r="R33" s="40">
        <f t="shared" si="19"/>
        <v>-1.3203214695751919E-2</v>
      </c>
    </row>
    <row r="34" spans="1:18" x14ac:dyDescent="0.2">
      <c r="A34" s="9" t="str">
        <f t="shared" ref="A34:D34" si="23">A12</f>
        <v>EW_THV</v>
      </c>
      <c r="B34" s="9" t="str">
        <f t="shared" si="23"/>
        <v>Transcatheter Heart Valve Therapies</v>
      </c>
      <c r="C34" s="9" t="str">
        <f t="shared" si="23"/>
        <v>2018Q4</v>
      </c>
      <c r="D34" s="9">
        <f t="shared" si="23"/>
        <v>20190124</v>
      </c>
      <c r="E34" s="18">
        <f t="shared" si="10"/>
        <v>-6.5019269358679854E-2</v>
      </c>
      <c r="F34" s="18">
        <f t="shared" ref="F34:J34" si="24">$S12/F12-1</f>
        <v>-7.3206038372975235E-2</v>
      </c>
      <c r="G34" s="18">
        <f t="shared" si="24"/>
        <v>-1.4825768958550145E-2</v>
      </c>
      <c r="H34" s="18">
        <f t="shared" si="24"/>
        <v>-7.3178619548852852E-2</v>
      </c>
      <c r="I34" s="18">
        <f t="shared" si="24"/>
        <v>-0.26540434341321972</v>
      </c>
      <c r="J34" s="18">
        <f t="shared" si="24"/>
        <v>-5.7167396525759973E-2</v>
      </c>
      <c r="K34" s="18">
        <f t="shared" ref="K34:Q34" si="25">$S12/K12-1</f>
        <v>3.888834286547338E-2</v>
      </c>
      <c r="L34" s="18">
        <f t="shared" si="25"/>
        <v>3.1435027559923112E-2</v>
      </c>
      <c r="M34" s="18">
        <f t="shared" si="25"/>
        <v>-4.7124144476503926E-2</v>
      </c>
      <c r="N34" s="18">
        <f t="shared" si="25"/>
        <v>-2.172417614684552E-2</v>
      </c>
      <c r="O34" s="18">
        <f t="shared" si="25"/>
        <v>-3.2423843840883038E-2</v>
      </c>
      <c r="P34" s="18">
        <f t="shared" si="25"/>
        <v>9.9891884432867784E-4</v>
      </c>
      <c r="Q34" s="18">
        <f t="shared" si="25"/>
        <v>-6.0077017151314305E-3</v>
      </c>
      <c r="R34" s="40">
        <f t="shared" si="19"/>
        <v>-4.736695458344875E-3</v>
      </c>
    </row>
    <row r="35" spans="1:18" x14ac:dyDescent="0.2">
      <c r="A35" s="9" t="str">
        <f t="shared" ref="A35:D35" si="26">A13</f>
        <v>EW_THV</v>
      </c>
      <c r="B35" s="9" t="str">
        <f t="shared" si="26"/>
        <v>Transcatheter Heart Valve Therapies</v>
      </c>
      <c r="C35" s="9" t="str">
        <f t="shared" si="26"/>
        <v>2019Q1</v>
      </c>
      <c r="D35" s="9">
        <f t="shared" si="26"/>
        <v>20190418</v>
      </c>
      <c r="E35" s="18">
        <f t="shared" si="10"/>
        <v>-6.8860507535679405E-2</v>
      </c>
      <c r="F35" s="18">
        <f t="shared" ref="F35:J35" si="27">$S13/F13-1</f>
        <v>-6.6435931695583261E-2</v>
      </c>
      <c r="G35" s="18">
        <f t="shared" si="27"/>
        <v>-4.2165194917528348E-3</v>
      </c>
      <c r="H35" s="18">
        <f t="shared" si="27"/>
        <v>-5.3563033199504506E-2</v>
      </c>
      <c r="I35" s="18">
        <f t="shared" si="27"/>
        <v>-0.23042879606409716</v>
      </c>
      <c r="J35" s="18">
        <f t="shared" si="27"/>
        <v>-4.8965323748777712E-2</v>
      </c>
      <c r="K35" s="18">
        <f t="shared" ref="K35:Q35" si="28">$S13/K13-1</f>
        <v>-4.1083607940932687E-3</v>
      </c>
      <c r="L35" s="18">
        <f t="shared" si="28"/>
        <v>7.3048670553557127E-3</v>
      </c>
      <c r="M35" s="18">
        <f t="shared" si="28"/>
        <v>1.0768906790813881E-2</v>
      </c>
      <c r="N35" s="18">
        <f t="shared" si="28"/>
        <v>2.1164365392390971E-2</v>
      </c>
      <c r="O35" s="18">
        <f t="shared" si="28"/>
        <v>4.7611971341666726E-2</v>
      </c>
      <c r="P35" s="18">
        <f t="shared" si="28"/>
        <v>8.6993945126192518E-3</v>
      </c>
      <c r="Q35" s="18">
        <f t="shared" si="28"/>
        <v>1.4984373513136751E-2</v>
      </c>
      <c r="R35" s="40">
        <f t="shared" si="19"/>
        <v>-6.4777327935221507E-3</v>
      </c>
    </row>
    <row r="36" spans="1:18" x14ac:dyDescent="0.2">
      <c r="A36" s="9" t="str">
        <f t="shared" ref="A36:D36" si="29">A14</f>
        <v>EW_THV</v>
      </c>
      <c r="B36" s="9" t="str">
        <f t="shared" si="29"/>
        <v>Transcatheter Heart Valve Therapies</v>
      </c>
      <c r="C36" s="9" t="str">
        <f t="shared" si="29"/>
        <v>2019Q2</v>
      </c>
      <c r="D36" s="9">
        <f t="shared" si="29"/>
        <v>20190718</v>
      </c>
      <c r="E36" s="18">
        <f t="shared" si="10"/>
        <v>-3.9386842368052899E-2</v>
      </c>
      <c r="F36" s="18">
        <f t="shared" ref="F36:J36" si="30">$S14/F14-1</f>
        <v>-4.0156689047227578E-2</v>
      </c>
      <c r="G36" s="18">
        <f>$S14/G14-1</f>
        <v>-3.5666103707147845E-2</v>
      </c>
      <c r="H36" s="18">
        <f t="shared" si="30"/>
        <v>8.002547280863137E-4</v>
      </c>
      <c r="I36" s="18">
        <f t="shared" si="30"/>
        <v>-0.22216560799467122</v>
      </c>
      <c r="J36" s="18">
        <f t="shared" si="30"/>
        <v>-2.8896187690428454E-2</v>
      </c>
      <c r="K36" s="18">
        <f t="shared" ref="K36:Q36" si="31">$S14/K14-1</f>
        <v>3.1653329502352667E-2</v>
      </c>
      <c r="L36" s="18">
        <f t="shared" si="31"/>
        <v>2.8149372432558772E-2</v>
      </c>
      <c r="M36" s="18">
        <f t="shared" si="31"/>
        <v>-3.158275351117823E-2</v>
      </c>
      <c r="N36" s="18">
        <f t="shared" si="31"/>
        <v>5.7439945643046997E-2</v>
      </c>
      <c r="O36" s="18">
        <f t="shared" si="31"/>
        <v>1.0737392494891473E-2</v>
      </c>
      <c r="P36" s="18">
        <f t="shared" si="31"/>
        <v>2.1102423034097484E-2</v>
      </c>
      <c r="Q36" s="18">
        <f t="shared" si="31"/>
        <v>1.8858652709155876E-2</v>
      </c>
      <c r="R36" s="40">
        <f t="shared" si="19"/>
        <v>7.2895277207392084E-2</v>
      </c>
    </row>
    <row r="37" spans="1:18" x14ac:dyDescent="0.2">
      <c r="A37" s="9" t="str">
        <f t="shared" ref="A37:D37" si="32">A15</f>
        <v>EW_THV</v>
      </c>
      <c r="B37" s="9" t="str">
        <f t="shared" si="32"/>
        <v>Transcatheter Heart Valve Therapies</v>
      </c>
      <c r="C37" s="9" t="str">
        <f t="shared" si="32"/>
        <v>2019Q3</v>
      </c>
      <c r="D37" s="9">
        <f t="shared" si="32"/>
        <v>20191017</v>
      </c>
      <c r="E37" s="18">
        <f t="shared" si="10"/>
        <v>2.3419197881178189E-3</v>
      </c>
      <c r="F37" s="18">
        <f t="shared" ref="F37:J37" si="33">$S15/F15-1</f>
        <v>-1.2705360781901209E-2</v>
      </c>
      <c r="G37" s="18">
        <f>$S15/G15-1</f>
        <v>-2.5125097200378588E-2</v>
      </c>
      <c r="H37" s="18">
        <f t="shared" si="33"/>
        <v>1.8325230562793893E-2</v>
      </c>
      <c r="I37" s="18">
        <f t="shared" si="33"/>
        <v>-0.20922728928254253</v>
      </c>
      <c r="J37" s="18">
        <f t="shared" si="33"/>
        <v>-4.5565413772330476E-3</v>
      </c>
      <c r="K37" s="18">
        <f t="shared" ref="K37:Q37" si="34">$S15/K15-1</f>
        <v>4.343971537828839E-2</v>
      </c>
      <c r="L37" s="18">
        <f t="shared" si="34"/>
        <v>2.8599801605198705E-2</v>
      </c>
      <c r="M37" s="18">
        <f t="shared" si="34"/>
        <v>1.0930867977669845E-2</v>
      </c>
      <c r="N37" s="18">
        <f t="shared" si="34"/>
        <v>1.751096260409013E-2</v>
      </c>
      <c r="O37" s="18">
        <f t="shared" si="34"/>
        <v>1.6633770433796879E-2</v>
      </c>
      <c r="P37" s="18">
        <f t="shared" si="34"/>
        <v>2.5063897396621737E-2</v>
      </c>
      <c r="Q37" s="18">
        <f t="shared" si="34"/>
        <v>2.3588741814115632E-2</v>
      </c>
      <c r="R37" s="40">
        <f t="shared" si="19"/>
        <v>0.12050000000000005</v>
      </c>
    </row>
    <row r="38" spans="1:18" x14ac:dyDescent="0.2">
      <c r="A38" s="9" t="str">
        <f t="shared" ref="A38:D38" si="35">A16</f>
        <v>EW_THV</v>
      </c>
      <c r="B38" s="9" t="str">
        <f t="shared" si="35"/>
        <v>Transcatheter Heart Valve Therapies</v>
      </c>
      <c r="C38" s="9" t="str">
        <f t="shared" si="35"/>
        <v>2019Q4</v>
      </c>
      <c r="D38" s="9">
        <f t="shared" si="35"/>
        <v>20200123</v>
      </c>
      <c r="E38" s="18">
        <f t="shared" si="10"/>
        <v>-5.3684040527777199E-3</v>
      </c>
      <c r="F38" s="18">
        <f t="shared" ref="F38:J38" si="36">$S16/F16-1</f>
        <v>1.8212363468782078E-2</v>
      </c>
      <c r="G38" s="18">
        <f t="shared" si="36"/>
        <v>2.1217457598006861E-2</v>
      </c>
      <c r="H38" s="18">
        <f t="shared" si="36"/>
        <v>2.6776664541068307E-2</v>
      </c>
      <c r="I38" s="18">
        <f t="shared" si="36"/>
        <v>-0.1707915240228165</v>
      </c>
      <c r="J38" s="18">
        <f t="shared" si="36"/>
        <v>1.5059480761529187E-2</v>
      </c>
      <c r="K38" s="18">
        <f t="shared" ref="K38:Q38" si="37">$S16/K16-1</f>
        <v>-7.6923090700682373E-3</v>
      </c>
      <c r="L38" s="18">
        <f t="shared" si="37"/>
        <v>3.1315600249960829E-2</v>
      </c>
      <c r="M38" s="18">
        <f t="shared" si="37"/>
        <v>4.7536924650845025E-2</v>
      </c>
      <c r="N38" s="18">
        <f t="shared" si="37"/>
        <v>8.2993465394192167E-3</v>
      </c>
      <c r="O38" s="18">
        <f t="shared" si="37"/>
        <v>4.8605325827258072E-2</v>
      </c>
      <c r="P38" s="18">
        <f t="shared" si="37"/>
        <v>1.9705812488739038E-2</v>
      </c>
      <c r="Q38" s="18">
        <f t="shared" si="37"/>
        <v>2.422302317322611E-2</v>
      </c>
      <c r="R38" s="40">
        <f t="shared" si="19"/>
        <v>0.1078058599865801</v>
      </c>
    </row>
    <row r="39" spans="1:18" x14ac:dyDescent="0.2">
      <c r="A39" s="9" t="str">
        <f t="shared" ref="A39:D39" si="38">A17</f>
        <v>EW_THV</v>
      </c>
      <c r="B39" s="9" t="str">
        <f t="shared" si="38"/>
        <v>Transcatheter Heart Valve Therapies</v>
      </c>
      <c r="C39" s="9" t="str">
        <f t="shared" si="38"/>
        <v>2020Q1</v>
      </c>
      <c r="D39" s="9">
        <f t="shared" si="38"/>
        <v>20200416</v>
      </c>
      <c r="E39" s="18">
        <f t="shared" si="11"/>
        <v>-1.0588058006569145E-2</v>
      </c>
      <c r="F39" s="18">
        <f t="shared" ref="F39:J39" si="39">$S17/F17-1</f>
        <v>-1.1084018690307174E-3</v>
      </c>
      <c r="G39" s="18">
        <f t="shared" ref="G39:G44" si="40">$S17/G17-1</f>
        <v>1.5339753845989401E-2</v>
      </c>
      <c r="H39" s="18">
        <f t="shared" si="39"/>
        <v>4.8027817121578664E-3</v>
      </c>
      <c r="I39" s="18">
        <f t="shared" si="39"/>
        <v>-0.20765392136434124</v>
      </c>
      <c r="J39" s="18">
        <f t="shared" si="39"/>
        <v>2.0232928537808892E-3</v>
      </c>
      <c r="K39" s="18">
        <f t="shared" ref="K39:Q39" si="41">$S17/K17-1</f>
        <v>-5.2478264063394731E-3</v>
      </c>
      <c r="L39" s="18">
        <f t="shared" si="41"/>
        <v>-1.8975182418716652E-2</v>
      </c>
      <c r="M39" s="18">
        <f t="shared" si="41"/>
        <v>-5.7555848740014071E-3</v>
      </c>
      <c r="N39" s="18">
        <f t="shared" si="41"/>
        <v>-2.140083972275697E-2</v>
      </c>
      <c r="O39" s="18">
        <f t="shared" si="41"/>
        <v>-4.4454921059609243E-2</v>
      </c>
      <c r="P39" s="18">
        <f t="shared" si="41"/>
        <v>-1.284278227515101E-2</v>
      </c>
      <c r="Q39" s="18">
        <f t="shared" si="41"/>
        <v>-1.8293838676195495E-2</v>
      </c>
      <c r="R39" s="40">
        <f t="shared" si="19"/>
        <v>3.7780656303972426E-2</v>
      </c>
    </row>
    <row r="40" spans="1:18" x14ac:dyDescent="0.2">
      <c r="A40" s="9" t="str">
        <f t="shared" ref="A40:D40" si="42">A18</f>
        <v>EW_THV</v>
      </c>
      <c r="B40" s="9" t="str">
        <f t="shared" si="42"/>
        <v>Transcatheter Heart Valve Therapies</v>
      </c>
      <c r="C40" s="9" t="str">
        <f t="shared" si="42"/>
        <v>2020Q2</v>
      </c>
      <c r="D40" s="9">
        <f t="shared" si="42"/>
        <v>20200716</v>
      </c>
      <c r="E40" s="18">
        <f>$S18/E18-1</f>
        <v>-0.12070640860728199</v>
      </c>
      <c r="F40" s="18">
        <f t="shared" ref="F40:J40" si="43">$S18/F18-1</f>
        <v>-0.11659513646457365</v>
      </c>
      <c r="G40" s="18">
        <f t="shared" si="40"/>
        <v>-5.3116902871946925E-3</v>
      </c>
      <c r="H40" s="18">
        <f t="shared" si="43"/>
        <v>-9.3780697680395542E-2</v>
      </c>
      <c r="I40" s="18">
        <f t="shared" si="43"/>
        <v>-0.28881844288276759</v>
      </c>
      <c r="J40" s="18">
        <f t="shared" si="43"/>
        <v>-8.6358760175293758E-2</v>
      </c>
      <c r="K40" s="18">
        <f t="shared" ref="K40:Q40" si="44">$S18/K18-1</f>
        <v>-0.11129676722806736</v>
      </c>
      <c r="L40" s="18">
        <f t="shared" si="44"/>
        <v>-0.11561488234722428</v>
      </c>
      <c r="M40" s="18">
        <f t="shared" si="44"/>
        <v>-2.0339442098035621E-2</v>
      </c>
      <c r="N40" s="18">
        <f t="shared" si="44"/>
        <v>-9.8112267588043145E-2</v>
      </c>
      <c r="O40" s="18">
        <f t="shared" si="44"/>
        <v>-0.10243569534436725</v>
      </c>
      <c r="P40" s="18">
        <f t="shared" si="44"/>
        <v>-8.8203591333052778E-2</v>
      </c>
      <c r="Q40" s="18">
        <f t="shared" si="44"/>
        <v>-9.0409322437540074E-2</v>
      </c>
      <c r="R40" s="40">
        <f t="shared" ref="R40" si="45">$S18/R18-1</f>
        <v>0.32122093023255838</v>
      </c>
    </row>
    <row r="41" spans="1:18" x14ac:dyDescent="0.2">
      <c r="A41" s="9" t="str">
        <f t="shared" ref="A41:D41" si="46">A19</f>
        <v>EW_THV</v>
      </c>
      <c r="B41" s="9" t="str">
        <f t="shared" si="46"/>
        <v>Transcatheter Heart Valve Therapies</v>
      </c>
      <c r="C41" s="9" t="str">
        <f t="shared" si="46"/>
        <v>2020Q3</v>
      </c>
      <c r="D41" s="9">
        <f t="shared" si="46"/>
        <v>20201015</v>
      </c>
      <c r="E41" s="18">
        <f>$S19/E19-1</f>
        <v>6.6713907874862421E-3</v>
      </c>
      <c r="F41" s="18">
        <f t="shared" ref="F41:I41" si="47">$S19/F19-1</f>
        <v>-2.5190085101538529E-3</v>
      </c>
      <c r="G41" s="18">
        <f t="shared" si="40"/>
        <v>3.629826806614278E-2</v>
      </c>
      <c r="H41" s="18">
        <f t="shared" si="47"/>
        <v>5.4865441279330796E-2</v>
      </c>
      <c r="I41" s="18">
        <f t="shared" si="47"/>
        <v>-0.19259643970804208</v>
      </c>
      <c r="J41" s="18">
        <f>$S19/J19-1</f>
        <v>2.3316379777305274E-2</v>
      </c>
      <c r="K41" s="18">
        <f t="shared" ref="K41:Q41" si="48">$S19/K19-1</f>
        <v>0.14486378684167822</v>
      </c>
      <c r="L41" s="18">
        <f t="shared" si="48"/>
        <v>0.12913232953900899</v>
      </c>
      <c r="M41" s="18">
        <f t="shared" si="48"/>
        <v>4.1832157819720717E-2</v>
      </c>
      <c r="N41" s="18">
        <f t="shared" si="48"/>
        <v>0.1640288819486011</v>
      </c>
      <c r="O41" s="18">
        <f t="shared" si="48"/>
        <v>0.13529878863107814</v>
      </c>
      <c r="P41" s="18">
        <f t="shared" si="48"/>
        <v>0.12004180106147766</v>
      </c>
      <c r="Q41" s="18">
        <f t="shared" si="48"/>
        <v>0.12114241320542174</v>
      </c>
      <c r="R41" s="40">
        <f>$S19/R19-1</f>
        <v>4.5202747617992367E-2</v>
      </c>
    </row>
    <row r="42" spans="1:18" x14ac:dyDescent="0.2">
      <c r="A42" s="9" t="str">
        <f t="shared" ref="A42:D42" si="49">A20</f>
        <v>EW_THV</v>
      </c>
      <c r="B42" s="9" t="str">
        <f t="shared" si="49"/>
        <v>Transcatheter Heart Valve Therapies</v>
      </c>
      <c r="C42" s="9" t="str">
        <f t="shared" si="49"/>
        <v>2020Q4</v>
      </c>
      <c r="D42" s="9">
        <f t="shared" si="49"/>
        <v>20210121</v>
      </c>
      <c r="E42" s="18">
        <f>$S20/E20-1</f>
        <v>-5.0927047736093689E-2</v>
      </c>
      <c r="F42" s="18">
        <f t="shared" ref="F42:I42" si="50">$S20/F20-1</f>
        <v>-5.1278883422656518E-2</v>
      </c>
      <c r="G42" s="18">
        <f t="shared" si="40"/>
        <v>-1.968268005728202E-2</v>
      </c>
      <c r="H42" s="18">
        <f t="shared" si="50"/>
        <v>-2.7709597835195332E-2</v>
      </c>
      <c r="I42" s="18">
        <f t="shared" si="50"/>
        <v>-0.23499389168037199</v>
      </c>
      <c r="J42" s="18">
        <f>$S20/J20-1</f>
        <v>-3.7602664727941271E-2</v>
      </c>
      <c r="K42" s="18">
        <f t="shared" ref="K42:Q42" si="51">$S20/K20-1</f>
        <v>-5.7216723402184533E-2</v>
      </c>
      <c r="L42" s="18">
        <f t="shared" si="51"/>
        <v>-4.8883011634812679E-2</v>
      </c>
      <c r="M42" s="18">
        <f t="shared" si="51"/>
        <v>-5.4020111630498135E-2</v>
      </c>
      <c r="N42" s="18">
        <f t="shared" si="51"/>
        <v>-7.8280163405846093E-2</v>
      </c>
      <c r="O42" s="18">
        <f t="shared" si="51"/>
        <v>-5.2510855856269467E-2</v>
      </c>
      <c r="P42" s="18">
        <f t="shared" si="51"/>
        <v>-5.9530997166784227E-2</v>
      </c>
      <c r="Q42" s="18">
        <f t="shared" si="51"/>
        <v>-5.8504256093320661E-2</v>
      </c>
      <c r="R42" s="40">
        <f>$S20/R20-1</f>
        <v>-4.7894631810017962E-2</v>
      </c>
    </row>
    <row r="43" spans="1:18" x14ac:dyDescent="0.2">
      <c r="A43" s="9" t="str">
        <f t="shared" ref="A43:D43" si="52">A21</f>
        <v>EW_THV</v>
      </c>
      <c r="B43" s="9" t="str">
        <f t="shared" si="52"/>
        <v>Transcatheter Heart Valve Therapies</v>
      </c>
      <c r="C43" s="9" t="str">
        <f t="shared" si="52"/>
        <v>2021Q1</v>
      </c>
      <c r="D43" s="9">
        <f t="shared" si="52"/>
        <v>20210415</v>
      </c>
      <c r="E43" s="18">
        <f>$S21/E21-1</f>
        <v>1.2529871764355827E-2</v>
      </c>
      <c r="F43" s="18">
        <f t="shared" ref="F43:J43" si="53">$S21/F21-1</f>
        <v>2.774345556822011E-2</v>
      </c>
      <c r="G43" s="18">
        <f t="shared" si="40"/>
        <v>6.0493337970259242E-2</v>
      </c>
      <c r="H43" s="18">
        <f t="shared" si="53"/>
        <v>2.5753595084933689E-2</v>
      </c>
      <c r="I43" s="18">
        <f t="shared" si="53"/>
        <v>-0.13292203768632571</v>
      </c>
      <c r="J43" s="18">
        <f t="shared" si="53"/>
        <v>3.1331593067493335E-2</v>
      </c>
      <c r="K43" s="18">
        <f t="shared" ref="K43:Q43" si="54">$S21/K21-1</f>
        <v>6.6862003968272576E-2</v>
      </c>
      <c r="L43" s="18">
        <f t="shared" si="54"/>
        <v>8.3293538649125587E-2</v>
      </c>
      <c r="M43" s="18">
        <f t="shared" si="54"/>
        <v>8.1785781395993462E-2</v>
      </c>
      <c r="N43" s="18">
        <f t="shared" si="54"/>
        <v>5.4986856602814438E-2</v>
      </c>
      <c r="O43" s="18">
        <f t="shared" si="54"/>
        <v>0.13342619475059059</v>
      </c>
      <c r="P43" s="18">
        <f t="shared" si="54"/>
        <v>7.1627648237354791E-2</v>
      </c>
      <c r="Q43" s="18">
        <f t="shared" si="54"/>
        <v>8.1440329874195028E-2</v>
      </c>
      <c r="R43" s="40">
        <f>$S21/R21-1</f>
        <v>2.5031289111390187E-3</v>
      </c>
    </row>
    <row r="44" spans="1:18" x14ac:dyDescent="0.2">
      <c r="A44" s="9" t="str">
        <f t="shared" ref="A44:D44" si="55">A22</f>
        <v>EW_THV</v>
      </c>
      <c r="B44" s="9" t="str">
        <f t="shared" si="55"/>
        <v>Transcatheter Heart Valve Therapies</v>
      </c>
      <c r="C44" s="9" t="str">
        <f t="shared" si="55"/>
        <v>2021Q2</v>
      </c>
      <c r="D44" s="9">
        <f t="shared" si="55"/>
        <v>20210722</v>
      </c>
      <c r="E44" s="18">
        <f>$S22/E22-1</f>
        <v>-3.5124974808371623E-2</v>
      </c>
      <c r="F44" s="18">
        <f t="shared" ref="F44:J44" si="56">$S22/F22-1</f>
        <v>-2.536234282331129E-2</v>
      </c>
      <c r="G44" s="18">
        <f t="shared" si="40"/>
        <v>-1.1708492063589371E-2</v>
      </c>
      <c r="H44" s="18">
        <f t="shared" si="56"/>
        <v>-2.5301196935492265E-2</v>
      </c>
      <c r="I44" s="18">
        <f t="shared" si="56"/>
        <v>-0.16406413698698019</v>
      </c>
      <c r="J44" s="18">
        <f t="shared" si="56"/>
        <v>-2.4445244187747961E-2</v>
      </c>
      <c r="K44" s="18">
        <f t="shared" ref="K44:Q44" si="57">$S22/K22-1</f>
        <v>-4.7065126572204519E-2</v>
      </c>
      <c r="L44" s="18">
        <f t="shared" si="57"/>
        <v>-5.1672232115718364E-2</v>
      </c>
      <c r="M44" s="18">
        <f t="shared" si="57"/>
        <v>-6.808324715366898E-2</v>
      </c>
      <c r="N44" s="18">
        <f t="shared" si="57"/>
        <v>-4.9772959378415305E-2</v>
      </c>
      <c r="O44" s="18">
        <f t="shared" si="57"/>
        <v>-3.5916146706757912E-2</v>
      </c>
      <c r="P44" s="18">
        <f t="shared" si="57"/>
        <v>-5.4082351040312893E-2</v>
      </c>
      <c r="Q44" s="18">
        <f t="shared" si="57"/>
        <v>-5.1194888797506777E-2</v>
      </c>
      <c r="R44" s="40">
        <f>$S22/R22-1</f>
        <v>4.6425255338904403E-2</v>
      </c>
    </row>
    <row r="45" spans="1:18" x14ac:dyDescent="0.2">
      <c r="A45" s="177" t="s">
        <v>77</v>
      </c>
      <c r="B45" s="177"/>
      <c r="C45" s="173"/>
      <c r="D45" s="174"/>
      <c r="E45" s="73" cm="1">
        <f t="array" ref="E45">SUM(ABS(E28:E44))/COUNT(E28:E44)</f>
        <v>4.4543604863873432E-2</v>
      </c>
      <c r="F45" s="73" cm="1">
        <f t="array" ref="F45">SUM(ABS(F28:F44))/COUNT(F28:F44)</f>
        <v>4.5097600825982381E-2</v>
      </c>
      <c r="G45" s="75" cm="1">
        <f t="array" ref="G45">SUM(ABS(G28:G44))/COUNT(G28:G44)</f>
        <v>3.1450182243041025E-2</v>
      </c>
      <c r="H45" s="75" cm="1">
        <f t="array" ref="H45">SUM(ABS(H28:H44))/COUNT(H28:H44)</f>
        <v>3.3829546887360798E-2</v>
      </c>
      <c r="I45" s="73" cm="1">
        <f t="array" ref="I45">SUM(ABS(I28:I44))/COUNT(I28:I44)</f>
        <v>0.21034501260269142</v>
      </c>
      <c r="J45" s="75" cm="1">
        <f t="array" ref="J45">SUM(ABS(J28:J44))/COUNT(J28:J44)</f>
        <v>3.3669360128786456E-2</v>
      </c>
      <c r="K45" s="73" cm="1">
        <f t="array" ref="K45">SUM(ABS(K28:K44))/COUNT(K28:K44)</f>
        <v>4.9512979087222138E-2</v>
      </c>
      <c r="L45" s="73" cm="1">
        <f t="array" ref="L45">SUM(ABS(L28:L44))/COUNT(L28:L44)</f>
        <v>5.0490785348026639E-2</v>
      </c>
      <c r="M45" s="73" cm="1">
        <f t="array" ref="M45">SUM(ABS(M28:M44))/COUNT(M28:M44)</f>
        <v>4.4256612095327573E-2</v>
      </c>
      <c r="N45" s="73" cm="1">
        <f t="array" ref="N45">SUM(ABS(N28:N44))/COUNT(N28:N44)</f>
        <v>4.5120439899619308E-2</v>
      </c>
      <c r="O45" s="73" cm="1">
        <f t="array" ref="O45">SUM(ABS(O28:O44))/COUNT(O28:O44)</f>
        <v>4.8392586069204456E-2</v>
      </c>
      <c r="P45" s="73" cm="1">
        <f t="array" ref="P45">SUM(ABS(P28:P44))/COUNT(P28:P44)</f>
        <v>4.1335239983074153E-2</v>
      </c>
      <c r="Q45" s="73" cm="1">
        <f t="array" ref="Q45">SUM(ABS(Q28:Q44))/COUNT(Q28:Q44)</f>
        <v>4.0917412032255039E-2</v>
      </c>
      <c r="R45" s="73" cm="1">
        <f t="array" ref="R45">SUM(ABS(R28:R44))/COUNT(R28:R44)</f>
        <v>5.3167035531568214E-2</v>
      </c>
    </row>
    <row r="46" spans="1:18" x14ac:dyDescent="0.2">
      <c r="A46" s="178" t="s">
        <v>78</v>
      </c>
      <c r="B46" s="178"/>
      <c r="C46" s="175"/>
      <c r="D46" s="176"/>
      <c r="E46" s="74" cm="1">
        <f t="array" ref="E46">SQRT(SUM(POWER(E28:E44,2))/COUNT(E28:E44))</f>
        <v>5.6462104309588854E-2</v>
      </c>
      <c r="F46" s="74" cm="1">
        <f t="array" ref="F46">SQRT(SUM(POWER(F28:F44,2))/COUNT(F28:F44))</f>
        <v>5.7408269117716959E-2</v>
      </c>
      <c r="G46" s="76" cm="1">
        <f t="array" ref="G46">SQRT(SUM(POWER(G28:G44,2))/COUNT(G28:G44))</f>
        <v>3.9874729755740475E-2</v>
      </c>
      <c r="H46" s="76" cm="1">
        <f t="array" ref="H46">SQRT(SUM(POWER(H28:H44,2))/COUNT(H28:H44))</f>
        <v>4.1420089555761735E-2</v>
      </c>
      <c r="I46" s="74" cm="1">
        <f t="array" ref="I46">SQRT(SUM(POWER(I28:I44,2))/COUNT(I28:I44))</f>
        <v>0.21358996975648314</v>
      </c>
      <c r="J46" s="76" cm="1">
        <f t="array" ref="J46">SQRT(SUM(POWER(J28:J44,2))/COUNT(J28:J44))</f>
        <v>3.9656357846204741E-2</v>
      </c>
      <c r="K46" s="74" cm="1">
        <f t="array" ref="K46">SQRT(SUM(POWER(K28:K44,2))/COUNT(K28:K44))</f>
        <v>6.2781884449508885E-2</v>
      </c>
      <c r="L46" s="74" cm="1">
        <f t="array" ref="L46">SQRT(SUM(POWER(L28:L44,2))/COUNT(L28:L44))</f>
        <v>6.1996906850543911E-2</v>
      </c>
      <c r="M46" s="74" cm="1">
        <f t="array" ref="M46">SQRT(SUM(POWER(M28:M44,2))/COUNT(M28:M44))</f>
        <v>5.6985630313706077E-2</v>
      </c>
      <c r="N46" s="74" cm="1">
        <f t="array" ref="N46">SQRT(SUM(POWER(N28:N44,2))/COUNT(N28:N44))</f>
        <v>5.9787495218428043E-2</v>
      </c>
      <c r="O46" s="74" cm="1">
        <f t="array" ref="O46">SQRT(SUM(POWER(O28:O44,2))/COUNT(O28:O44))</f>
        <v>6.2216470513134232E-2</v>
      </c>
      <c r="P46" s="74" cm="1">
        <f t="array" ref="P46">SQRT(SUM(POWER(P28:P44,2))/COUNT(P28:P44))</f>
        <v>5.3425990732969927E-2</v>
      </c>
      <c r="Q46" s="74" cm="1">
        <f t="array" ref="Q46">SQRT(SUM(POWER(Q28:Q44,2))/COUNT(Q28:Q44))</f>
        <v>5.2584201941164373E-2</v>
      </c>
      <c r="R46" s="74" cm="1">
        <f t="array" ref="R46">SQRT(SUM(POWER(R28:R44,2))/COUNT(R28:R44))</f>
        <v>9.2205104546871336E-2</v>
      </c>
    </row>
    <row r="47" spans="1:18" x14ac:dyDescent="0.2">
      <c r="G47" s="3">
        <f>AVERAGE(G44,G42,G40,G34:G37,G29:G30)</f>
        <v>-1.9557360093720888E-2</v>
      </c>
      <c r="J47" s="3"/>
    </row>
    <row r="48" spans="1:18" x14ac:dyDescent="0.2">
      <c r="B48" t="s">
        <v>158</v>
      </c>
      <c r="G48" s="3">
        <f>AVERAGE(G30,G36)</f>
        <v>-3.5072436513100491E-2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6"/>
  <sheetViews>
    <sheetView zoomScale="85" zoomScaleNormal="85" workbookViewId="0">
      <selection activeCell="H51" sqref="H51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103</v>
      </c>
      <c r="B1" t="s">
        <v>83</v>
      </c>
    </row>
    <row r="2" spans="1:17" x14ac:dyDescent="0.2">
      <c r="A2" s="67" t="s">
        <v>98</v>
      </c>
      <c r="B2" t="s">
        <v>81</v>
      </c>
    </row>
    <row r="3" spans="1:17" x14ac:dyDescent="0.2">
      <c r="A3" s="67" t="s">
        <v>99</v>
      </c>
      <c r="B3" t="s">
        <v>147</v>
      </c>
    </row>
    <row r="4" spans="1:17" x14ac:dyDescent="0.2">
      <c r="A4" s="67" t="s">
        <v>100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101</v>
      </c>
      <c r="B7" s="179" t="s">
        <v>82</v>
      </c>
      <c r="C7" s="179"/>
      <c r="D7" s="179" t="s">
        <v>112</v>
      </c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6"/>
      <c r="P7" s="6"/>
      <c r="Q7" s="6"/>
    </row>
    <row r="8" spans="1:17" ht="15" x14ac:dyDescent="0.2">
      <c r="A8" s="67" t="s">
        <v>174</v>
      </c>
      <c r="C8" s="71" t="s">
        <v>84</v>
      </c>
      <c r="D8" s="71" t="s">
        <v>85</v>
      </c>
      <c r="E8" s="71" t="s">
        <v>86</v>
      </c>
      <c r="F8" s="71" t="s">
        <v>87</v>
      </c>
      <c r="G8" s="71" t="s">
        <v>88</v>
      </c>
      <c r="H8" s="71" t="s">
        <v>89</v>
      </c>
      <c r="I8" s="71" t="s">
        <v>90</v>
      </c>
      <c r="J8" s="71" t="s">
        <v>91</v>
      </c>
      <c r="K8" s="71" t="s">
        <v>92</v>
      </c>
      <c r="L8" s="71" t="s">
        <v>93</v>
      </c>
      <c r="M8" s="71" t="s">
        <v>94</v>
      </c>
      <c r="O8" s="6"/>
      <c r="P8" s="6"/>
      <c r="Q8" s="6"/>
    </row>
    <row r="9" spans="1:17" ht="15" x14ac:dyDescent="0.2">
      <c r="B9" s="71" t="s">
        <v>95</v>
      </c>
      <c r="C9" s="2">
        <v>6.9926233860609616E-2</v>
      </c>
      <c r="D9" s="2">
        <v>2.322114832233552E-2</v>
      </c>
      <c r="E9" s="2">
        <v>2.681622112253983E-2</v>
      </c>
      <c r="F9" s="2">
        <v>6.8909040426629029E-2</v>
      </c>
      <c r="G9" s="2">
        <v>4.0432373881340328E-2</v>
      </c>
      <c r="H9" s="2">
        <v>2.6876435430689009E-2</v>
      </c>
      <c r="I9" s="2">
        <v>2.681708862375648E-2</v>
      </c>
      <c r="J9" s="2">
        <v>4.0402765598795187E-2</v>
      </c>
      <c r="K9" s="2">
        <v>4.0416849332126498E-2</v>
      </c>
      <c r="L9" s="2">
        <v>3.4756073527862343E-2</v>
      </c>
      <c r="M9" s="2">
        <v>0.14371227984563231</v>
      </c>
      <c r="O9" s="6"/>
      <c r="P9" s="6"/>
      <c r="Q9" s="6"/>
    </row>
    <row r="10" spans="1:17" ht="15" x14ac:dyDescent="0.2">
      <c r="B10" s="71" t="s">
        <v>96</v>
      </c>
      <c r="C10" s="2">
        <v>9.6179084656174474E-2</v>
      </c>
      <c r="D10" s="2">
        <v>2.7861661374735721E-2</v>
      </c>
      <c r="E10" s="2">
        <v>3.3082659870327151E-2</v>
      </c>
      <c r="F10" s="2">
        <v>0.10092023451453359</v>
      </c>
      <c r="G10" s="2">
        <v>5.1484974291776363E-2</v>
      </c>
      <c r="H10" s="2">
        <v>3.309548087196322E-2</v>
      </c>
      <c r="I10" s="2">
        <v>3.308313483575908E-2</v>
      </c>
      <c r="J10" s="2">
        <v>5.1444828144369133E-2</v>
      </c>
      <c r="K10" s="2">
        <v>5.1481087019816019E-2</v>
      </c>
      <c r="L10" s="2">
        <v>4.0603416880260257E-2</v>
      </c>
      <c r="M10" s="2">
        <v>0.33006140349989072</v>
      </c>
      <c r="O10" s="6"/>
      <c r="P10" s="6"/>
      <c r="Q10" s="6"/>
    </row>
    <row r="11" spans="1:17" ht="15" x14ac:dyDescent="0.2">
      <c r="B11" s="71" t="s">
        <v>97</v>
      </c>
      <c r="C11" s="2">
        <v>-4.3806699662287403E-2</v>
      </c>
      <c r="D11" s="2">
        <v>4.7872144084823987E-3</v>
      </c>
      <c r="E11" s="2">
        <v>-1.5182050636275811E-2</v>
      </c>
      <c r="F11" s="2">
        <v>-1.8392356149415812E-2</v>
      </c>
      <c r="G11" s="2">
        <v>-2.6753054044585941E-2</v>
      </c>
      <c r="H11" s="2">
        <v>-1.531881369636978E-2</v>
      </c>
      <c r="I11" s="2">
        <v>-1.5184075719666351E-2</v>
      </c>
      <c r="J11" s="2">
        <v>-2.680683198587536E-2</v>
      </c>
      <c r="K11" s="2">
        <v>-2.6754620820282071E-2</v>
      </c>
      <c r="L11" s="2">
        <v>-1.3472910898266801E-2</v>
      </c>
      <c r="M11" s="2">
        <v>-5.0034052747063018E-2</v>
      </c>
      <c r="O11" s="6"/>
      <c r="P11" s="6"/>
      <c r="Q11" s="6"/>
    </row>
    <row r="12" spans="1:17" ht="15" x14ac:dyDescent="0.2">
      <c r="B12" s="9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ht="15" x14ac:dyDescent="0.2">
      <c r="A13" s="67" t="s">
        <v>95</v>
      </c>
      <c r="C13" s="71" t="s">
        <v>84</v>
      </c>
      <c r="D13" s="71" t="s">
        <v>85</v>
      </c>
      <c r="E13" s="71" t="s">
        <v>86</v>
      </c>
      <c r="F13" s="71" t="s">
        <v>87</v>
      </c>
      <c r="G13" s="71" t="s">
        <v>88</v>
      </c>
      <c r="H13" s="71" t="s">
        <v>89</v>
      </c>
      <c r="I13" s="71" t="s">
        <v>90</v>
      </c>
      <c r="J13" s="71" t="s">
        <v>91</v>
      </c>
      <c r="K13" s="71" t="s">
        <v>92</v>
      </c>
      <c r="L13" s="71" t="s">
        <v>93</v>
      </c>
      <c r="M13" s="71" t="s">
        <v>94</v>
      </c>
      <c r="O13" s="6"/>
      <c r="P13" s="6"/>
      <c r="Q13" s="6"/>
    </row>
    <row r="14" spans="1:17" ht="15" x14ac:dyDescent="0.2">
      <c r="B14" s="71" t="s">
        <v>95</v>
      </c>
      <c r="C14" s="2">
        <v>6.9926233860609616E-2</v>
      </c>
      <c r="D14" s="2">
        <v>3.1449109880023009E-2</v>
      </c>
      <c r="E14" s="2">
        <v>3.5727580687743191E-2</v>
      </c>
      <c r="F14" s="2">
        <v>6.8909040426629029E-2</v>
      </c>
      <c r="G14" s="2">
        <v>3.3115871495402988E-2</v>
      </c>
      <c r="H14" s="2">
        <v>3.5748887820900299E-2</v>
      </c>
      <c r="I14" s="2">
        <v>3.6340784771352948E-2</v>
      </c>
      <c r="J14" s="2">
        <v>3.3154412382983299E-2</v>
      </c>
      <c r="K14" s="2">
        <v>3.3510723990503137E-2</v>
      </c>
      <c r="L14" s="2">
        <v>4.9405386104572901E-2</v>
      </c>
      <c r="M14" s="2">
        <v>7.2834893195416819E-2</v>
      </c>
      <c r="O14" s="6"/>
      <c r="P14" s="6"/>
      <c r="Q14" s="6"/>
    </row>
    <row r="15" spans="1:17" ht="15" x14ac:dyDescent="0.2">
      <c r="B15" s="71" t="s">
        <v>96</v>
      </c>
      <c r="C15" s="2">
        <v>9.6179084656174474E-2</v>
      </c>
      <c r="D15" s="2">
        <v>4.0388510770476532E-2</v>
      </c>
      <c r="E15" s="2">
        <v>4.0102151622826383E-2</v>
      </c>
      <c r="F15" s="2">
        <v>0.10092023451453359</v>
      </c>
      <c r="G15" s="2">
        <v>3.9600437363273802E-2</v>
      </c>
      <c r="H15" s="2">
        <v>4.0102696580336557E-2</v>
      </c>
      <c r="I15" s="2">
        <v>4.0627502710422717E-2</v>
      </c>
      <c r="J15" s="2">
        <v>3.9610548140348589E-2</v>
      </c>
      <c r="K15" s="2">
        <v>4.0095174817038878E-2</v>
      </c>
      <c r="L15" s="2">
        <v>6.0699608325112279E-2</v>
      </c>
      <c r="M15" s="2">
        <v>9.3076075996296456E-2</v>
      </c>
      <c r="O15" s="6"/>
      <c r="P15" s="6"/>
      <c r="Q15" s="6"/>
    </row>
    <row r="16" spans="1:17" ht="15" x14ac:dyDescent="0.2">
      <c r="B16" s="71" t="s">
        <v>97</v>
      </c>
      <c r="C16" s="2">
        <v>-4.3806699662287403E-2</v>
      </c>
      <c r="D16" s="2">
        <v>1.4817593207692379E-2</v>
      </c>
      <c r="E16" s="2">
        <v>-2.3824245385646259E-2</v>
      </c>
      <c r="F16" s="2">
        <v>-1.8392356149415812E-2</v>
      </c>
      <c r="G16" s="2">
        <v>-1.933270273816529E-2</v>
      </c>
      <c r="H16" s="2">
        <v>-2.3824405790987602E-2</v>
      </c>
      <c r="I16" s="2">
        <v>-2.391328261037784E-2</v>
      </c>
      <c r="J16" s="2">
        <v>-1.9524928226425708E-2</v>
      </c>
      <c r="K16" s="2">
        <v>-1.9317820712926981E-2</v>
      </c>
      <c r="L16" s="2">
        <v>-7.5011827414410703E-3</v>
      </c>
      <c r="M16" s="2">
        <v>2.595168066911735E-2</v>
      </c>
      <c r="O16" s="6"/>
      <c r="P16" s="6"/>
      <c r="Q16" s="6"/>
    </row>
    <row r="17" spans="1:17" ht="15" x14ac:dyDescent="0.2">
      <c r="B17" s="9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O17" s="6"/>
      <c r="P17" s="6"/>
      <c r="Q17" s="6"/>
    </row>
    <row r="18" spans="1:17" ht="15" x14ac:dyDescent="0.2">
      <c r="B18" s="9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A21" s="67" t="s">
        <v>102</v>
      </c>
      <c r="B21" t="s">
        <v>105</v>
      </c>
      <c r="O21" s="6"/>
      <c r="P21" s="6"/>
      <c r="Q21" s="6"/>
    </row>
    <row r="22" spans="1:17" x14ac:dyDescent="0.2">
      <c r="B22" t="s">
        <v>139</v>
      </c>
      <c r="H22" s="68" t="s">
        <v>106</v>
      </c>
      <c r="O22" s="6"/>
      <c r="P22" s="6"/>
      <c r="Q22" s="6"/>
    </row>
    <row r="23" spans="1:17" x14ac:dyDescent="0.2">
      <c r="B23" t="s">
        <v>140</v>
      </c>
      <c r="H23" s="68"/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A26" s="67" t="s">
        <v>104</v>
      </c>
      <c r="B26" s="180" t="s">
        <v>108</v>
      </c>
      <c r="C26" s="180"/>
      <c r="D26" s="180"/>
      <c r="E26" s="180"/>
      <c r="F26" s="66" t="e">
        <f>#REF!+#REF!*'2. Past Proj &amp; Candidate Model'!R22</f>
        <v>#REF!</v>
      </c>
      <c r="G26" s="69" t="s">
        <v>109</v>
      </c>
      <c r="H26" s="2" t="e">
        <f>'2. Past Proj &amp; Candidate Model'!S22/'3. Improved Alpha Model'!F26-1</f>
        <v>#REF!</v>
      </c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B30" s="181" t="s">
        <v>159</v>
      </c>
      <c r="C30" s="181"/>
      <c r="D30" s="181"/>
      <c r="E30" s="3">
        <f>C9</f>
        <v>6.9926233860609616E-2</v>
      </c>
      <c r="F30" t="s">
        <v>110</v>
      </c>
      <c r="G30" s="181" t="s">
        <v>111</v>
      </c>
      <c r="H30" s="181"/>
      <c r="I30" s="3" t="e">
        <f>#REF!</f>
        <v>#REF!</v>
      </c>
      <c r="O30" s="6"/>
      <c r="P30" s="6"/>
      <c r="Q30" s="6"/>
    </row>
    <row r="31" spans="1:17" x14ac:dyDescent="0.2">
      <c r="O31" s="6"/>
      <c r="P31" s="6"/>
      <c r="Q31" s="6"/>
    </row>
    <row r="32" spans="1:17" x14ac:dyDescent="0.2">
      <c r="O32" s="6"/>
      <c r="P32" s="6"/>
      <c r="Q32" s="6"/>
    </row>
    <row r="33" spans="1:17" x14ac:dyDescent="0.2">
      <c r="A33" s="67" t="s">
        <v>107</v>
      </c>
      <c r="B33" t="s">
        <v>113</v>
      </c>
      <c r="O33" s="6"/>
      <c r="P33" s="6"/>
      <c r="Q33" s="6"/>
    </row>
    <row r="34" spans="1:17" x14ac:dyDescent="0.2">
      <c r="B34" t="s">
        <v>114</v>
      </c>
      <c r="O34" s="6"/>
      <c r="P34" s="6"/>
      <c r="Q34" s="6"/>
    </row>
    <row r="35" spans="1:17" x14ac:dyDescent="0.2">
      <c r="B35" t="s">
        <v>115</v>
      </c>
      <c r="O35" s="6"/>
      <c r="P35" s="6"/>
      <c r="Q35" s="6"/>
    </row>
    <row r="36" spans="1:17" x14ac:dyDescent="0.2">
      <c r="B36" t="s">
        <v>116</v>
      </c>
      <c r="O36" s="6"/>
      <c r="P36" s="6"/>
      <c r="Q36" s="6"/>
    </row>
    <row r="37" spans="1:17" x14ac:dyDescent="0.2">
      <c r="B37" t="s">
        <v>117</v>
      </c>
      <c r="O37" s="6"/>
      <c r="P37" s="6"/>
      <c r="Q37" s="6"/>
    </row>
    <row r="38" spans="1:17" x14ac:dyDescent="0.2">
      <c r="B38" t="s">
        <v>118</v>
      </c>
      <c r="O38" s="6"/>
      <c r="P38" s="6"/>
      <c r="Q38" s="6"/>
    </row>
    <row r="39" spans="1:17" x14ac:dyDescent="0.2">
      <c r="B39" t="s">
        <v>119</v>
      </c>
      <c r="O39" s="6"/>
      <c r="P39" s="6"/>
      <c r="Q39" s="6"/>
    </row>
    <row r="40" spans="1:17" x14ac:dyDescent="0.2">
      <c r="B40" t="s">
        <v>120</v>
      </c>
      <c r="O40" s="6"/>
      <c r="P40" s="6"/>
      <c r="Q40" s="6"/>
    </row>
    <row r="41" spans="1:17" x14ac:dyDescent="0.2">
      <c r="B41" t="s">
        <v>121</v>
      </c>
      <c r="O41" s="6"/>
      <c r="P41" s="6"/>
      <c r="Q41" s="6"/>
    </row>
    <row r="42" spans="1:17" x14ac:dyDescent="0.2">
      <c r="B42" t="s">
        <v>122</v>
      </c>
      <c r="O42" s="6"/>
      <c r="P42" s="6"/>
      <c r="Q42" s="6"/>
    </row>
    <row r="43" spans="1:17" x14ac:dyDescent="0.2">
      <c r="O43" s="6"/>
      <c r="P43" s="6"/>
      <c r="Q43" s="6"/>
    </row>
    <row r="44" spans="1:17" x14ac:dyDescent="0.2">
      <c r="O44" s="6"/>
      <c r="P44" s="6"/>
      <c r="Q44" s="6"/>
    </row>
    <row r="45" spans="1:17" x14ac:dyDescent="0.2">
      <c r="O45" s="6"/>
      <c r="P45" s="6"/>
    </row>
    <row r="46" spans="1:17" x14ac:dyDescent="0.2">
      <c r="O46" s="6"/>
      <c r="P46" s="6"/>
    </row>
  </sheetData>
  <mergeCells count="5">
    <mergeCell ref="D7:N7"/>
    <mergeCell ref="B7:C7"/>
    <mergeCell ref="B26:E26"/>
    <mergeCell ref="B30:D30"/>
    <mergeCell ref="G30:H30"/>
  </mergeCells>
  <conditionalFormatting sqref="C9:K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conditionalFormatting sqref="C14:K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63BE7B"/>
        <color rgb="FFFFEF9C"/>
      </colorScale>
    </cfRule>
  </conditionalFormatting>
  <conditionalFormatting sqref="C15:K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50"/>
  <sheetViews>
    <sheetView tabSelected="1" zoomScale="85" zoomScaleNormal="85" workbookViewId="0">
      <selection activeCell="C47" sqref="C47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124</v>
      </c>
      <c r="B1" t="s">
        <v>83</v>
      </c>
    </row>
    <row r="2" spans="1:25" x14ac:dyDescent="0.2">
      <c r="A2" s="67" t="s">
        <v>98</v>
      </c>
      <c r="B2" s="77" t="s">
        <v>160</v>
      </c>
      <c r="C2" s="78" t="str">
        <f>D5</f>
        <v>PROJ</v>
      </c>
      <c r="D2" t="s">
        <v>161</v>
      </c>
    </row>
    <row r="4" spans="1:25" x14ac:dyDescent="0.2">
      <c r="A4" s="67" t="s">
        <v>99</v>
      </c>
      <c r="B4" t="s">
        <v>123</v>
      </c>
    </row>
    <row r="5" spans="1:25" ht="15" x14ac:dyDescent="0.2">
      <c r="A5" s="67" t="s">
        <v>174</v>
      </c>
      <c r="C5" s="71" t="s">
        <v>84</v>
      </c>
      <c r="D5" s="71" t="s">
        <v>85</v>
      </c>
      <c r="E5" s="71" t="s">
        <v>86</v>
      </c>
      <c r="F5" s="71" t="s">
        <v>87</v>
      </c>
      <c r="G5" s="71" t="s">
        <v>88</v>
      </c>
      <c r="H5" s="71" t="s">
        <v>89</v>
      </c>
      <c r="I5" s="71" t="s">
        <v>90</v>
      </c>
      <c r="J5" s="71" t="s">
        <v>91</v>
      </c>
      <c r="K5" s="71" t="s">
        <v>92</v>
      </c>
      <c r="L5" s="71" t="s">
        <v>93</v>
      </c>
      <c r="M5" s="71" t="s">
        <v>94</v>
      </c>
    </row>
    <row r="6" spans="1:25" ht="15" x14ac:dyDescent="0.2">
      <c r="B6" s="71" t="s">
        <v>95</v>
      </c>
      <c r="C6" s="2">
        <v>6.3569303509645098E-2</v>
      </c>
      <c r="D6" s="2">
        <v>2.686814483238123E-2</v>
      </c>
      <c r="E6" s="2">
        <v>3.028265291581108E-2</v>
      </c>
      <c r="F6" s="2">
        <v>6.4007194094866937E-2</v>
      </c>
      <c r="G6" s="2">
        <v>4.005205328669293E-2</v>
      </c>
      <c r="H6" s="2">
        <v>3.033924434291628E-2</v>
      </c>
      <c r="I6" s="2">
        <v>3.0283474177602691E-2</v>
      </c>
      <c r="J6" s="2">
        <v>4.0024083535228967E-2</v>
      </c>
      <c r="K6" s="2">
        <v>4.0038430435225307E-2</v>
      </c>
      <c r="L6" s="2">
        <v>3.7389803705979149E-2</v>
      </c>
      <c r="M6" s="2">
        <v>0.13595595675162911</v>
      </c>
    </row>
    <row r="7" spans="1:25" ht="15" x14ac:dyDescent="0.2">
      <c r="B7" s="71" t="s">
        <v>96</v>
      </c>
      <c r="C7" s="2">
        <v>9.1703159087547129E-2</v>
      </c>
      <c r="D7" s="2">
        <v>3.2717020751602571E-2</v>
      </c>
      <c r="E7" s="2">
        <v>3.7127217244295838E-2</v>
      </c>
      <c r="F7" s="2">
        <v>9.6329736461893994E-2</v>
      </c>
      <c r="G7" s="2">
        <v>5.0290975796082063E-2</v>
      </c>
      <c r="H7" s="2">
        <v>3.7140841228836319E-2</v>
      </c>
      <c r="I7" s="2">
        <v>3.712765906345955E-2</v>
      </c>
      <c r="J7" s="2">
        <v>5.0252853967338439E-2</v>
      </c>
      <c r="K7" s="2">
        <v>5.0287711522352868E-2</v>
      </c>
      <c r="L7" s="2">
        <v>4.3219859279241719E-2</v>
      </c>
      <c r="M7" s="2">
        <v>0.31519330450186872</v>
      </c>
    </row>
    <row r="8" spans="1:25" ht="15" x14ac:dyDescent="0.2">
      <c r="B8" s="71" t="s">
        <v>97</v>
      </c>
      <c r="C8" s="2">
        <v>-4.3247827008691897E-2</v>
      </c>
      <c r="D8" s="2">
        <v>4.2343738114642981E-3</v>
      </c>
      <c r="E8" s="2">
        <v>-2.1547712205433389E-2</v>
      </c>
      <c r="F8" s="2">
        <v>-8.3975319591947928E-3</v>
      </c>
      <c r="G8" s="2">
        <v>-3.3093896234701492E-2</v>
      </c>
      <c r="H8" s="2">
        <v>-2.1547848817177081E-2</v>
      </c>
      <c r="I8" s="2">
        <v>-2.1549253657794139E-2</v>
      </c>
      <c r="J8" s="2">
        <v>-3.3197346729788468E-2</v>
      </c>
      <c r="K8" s="2">
        <v>-3.3095924061312343E-2</v>
      </c>
      <c r="L8" s="2">
        <v>-1.660496843875181E-2</v>
      </c>
      <c r="M8" s="2">
        <v>-5.1864644031421207E-2</v>
      </c>
    </row>
    <row r="10" spans="1:25" ht="15" x14ac:dyDescent="0.2">
      <c r="A10" s="67" t="s">
        <v>100</v>
      </c>
      <c r="B10" s="72" t="s">
        <v>162</v>
      </c>
    </row>
    <row r="12" spans="1:25" x14ac:dyDescent="0.2">
      <c r="A12" s="67" t="s">
        <v>101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84</v>
      </c>
      <c r="E13" s="71" t="s">
        <v>85</v>
      </c>
      <c r="F13" s="71" t="s">
        <v>86</v>
      </c>
      <c r="G13" s="71" t="s">
        <v>87</v>
      </c>
      <c r="H13" s="71" t="s">
        <v>88</v>
      </c>
      <c r="I13" s="71" t="s">
        <v>89</v>
      </c>
      <c r="J13" s="71" t="s">
        <v>90</v>
      </c>
      <c r="K13" s="71" t="s">
        <v>91</v>
      </c>
      <c r="L13" s="71" t="s">
        <v>92</v>
      </c>
      <c r="M13" s="71" t="s">
        <v>93</v>
      </c>
      <c r="N13" s="71" t="s">
        <v>94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171</v>
      </c>
      <c r="C14">
        <v>301.89999999999998</v>
      </c>
      <c r="D14">
        <v>295.2</v>
      </c>
      <c r="E14">
        <v>292.05651799999998</v>
      </c>
      <c r="P14" s="2">
        <f>E14/C14-1</f>
        <v>-3.2605107651540233E-2</v>
      </c>
    </row>
    <row r="15" spans="1:25" x14ac:dyDescent="0.2">
      <c r="B15" t="s">
        <v>172</v>
      </c>
      <c r="C15">
        <v>297.7</v>
      </c>
      <c r="D15">
        <v>297.39999999999998</v>
      </c>
      <c r="E15">
        <v>305.33368400000001</v>
      </c>
      <c r="P15" s="2">
        <f t="shared" ref="P15:P20" si="0">E15/C15-1</f>
        <v>2.5642203560631627E-2</v>
      </c>
    </row>
    <row r="16" spans="1:25" x14ac:dyDescent="0.2">
      <c r="B16" t="s">
        <v>167</v>
      </c>
      <c r="C16">
        <v>312.89999999999998</v>
      </c>
      <c r="D16">
        <v>305</v>
      </c>
      <c r="E16">
        <v>324.07366100000002</v>
      </c>
      <c r="P16" s="2">
        <f t="shared" si="0"/>
        <v>3.5710006391818538E-2</v>
      </c>
    </row>
    <row r="17" spans="2:25" x14ac:dyDescent="0.2">
      <c r="B17" t="s">
        <v>42</v>
      </c>
      <c r="C17">
        <v>331.4</v>
      </c>
      <c r="D17">
        <v>339.1</v>
      </c>
      <c r="E17">
        <v>298.13629100000003</v>
      </c>
      <c r="P17" s="2">
        <f t="shared" si="0"/>
        <v>-0.10037329209414592</v>
      </c>
    </row>
    <row r="18" spans="2:25" x14ac:dyDescent="0.2">
      <c r="B18" t="s">
        <v>43</v>
      </c>
      <c r="C18">
        <v>350.1</v>
      </c>
      <c r="D18">
        <v>348.4</v>
      </c>
      <c r="E18">
        <v>334.66646400000002</v>
      </c>
      <c r="P18" s="2">
        <f t="shared" si="0"/>
        <v>-4.4083221936589534E-2</v>
      </c>
    </row>
    <row r="19" spans="2:25" x14ac:dyDescent="0.2">
      <c r="B19" t="s">
        <v>44</v>
      </c>
      <c r="C19">
        <v>343.8</v>
      </c>
      <c r="D19">
        <v>348.4</v>
      </c>
      <c r="E19">
        <v>332.52871299999998</v>
      </c>
      <c r="P19" s="2">
        <f t="shared" si="0"/>
        <v>-3.2784429901105416E-2</v>
      </c>
    </row>
    <row r="20" spans="2:25" x14ac:dyDescent="0.2">
      <c r="B20" t="s">
        <v>45</v>
      </c>
      <c r="C20">
        <v>357.2</v>
      </c>
      <c r="D20">
        <v>358.9</v>
      </c>
      <c r="E20">
        <v>362.57546000000002</v>
      </c>
      <c r="P20" s="2">
        <f t="shared" si="0"/>
        <v>1.5048880179171498E-2</v>
      </c>
    </row>
    <row r="21" spans="2:25" x14ac:dyDescent="0.2">
      <c r="B21" t="s">
        <v>46</v>
      </c>
      <c r="C21">
        <v>368.1</v>
      </c>
      <c r="D21">
        <v>370.5</v>
      </c>
      <c r="E21">
        <v>369.65867300000002</v>
      </c>
      <c r="F21">
        <v>364.85468718439381</v>
      </c>
      <c r="G21">
        <v>365.00886848582041</v>
      </c>
      <c r="H21">
        <v>368.40170313134303</v>
      </c>
      <c r="I21">
        <v>364.75405250633548</v>
      </c>
      <c r="J21">
        <v>364.85376372661568</v>
      </c>
      <c r="K21">
        <v>368.36587612596111</v>
      </c>
      <c r="L21">
        <v>368.35227228330308</v>
      </c>
      <c r="M21">
        <v>367.12311523546327</v>
      </c>
      <c r="N21">
        <v>345.76619507480058</v>
      </c>
      <c r="O21" s="2">
        <v>6.5199674001630292E-3</v>
      </c>
      <c r="P21" s="2">
        <v>4.2343738114642981E-3</v>
      </c>
      <c r="Q21" s="2">
        <v>-8.8163890671182354E-3</v>
      </c>
      <c r="R21" s="2">
        <v>-8.3975319591947928E-3</v>
      </c>
      <c r="S21" s="2">
        <v>8.1962274203473129E-4</v>
      </c>
      <c r="T21" s="2">
        <v>-9.0897785755624794E-3</v>
      </c>
      <c r="U21" s="2">
        <v>-8.8188977815385483E-3</v>
      </c>
      <c r="V21" s="2">
        <v>7.2229319739491871E-4</v>
      </c>
      <c r="W21" s="2">
        <v>6.8533627629197014E-4</v>
      </c>
      <c r="X21" s="2">
        <v>-2.6538570077062622E-3</v>
      </c>
      <c r="Y21" s="2">
        <v>-6.0673200014124913E-2</v>
      </c>
    </row>
    <row r="22" spans="2:25" x14ac:dyDescent="0.2">
      <c r="B22" t="s">
        <v>47</v>
      </c>
      <c r="C22">
        <v>418</v>
      </c>
      <c r="D22">
        <v>389.6</v>
      </c>
      <c r="E22">
        <v>433.45982299999997</v>
      </c>
      <c r="F22">
        <v>416.66252750615268</v>
      </c>
      <c r="G22">
        <v>382.97977750776482</v>
      </c>
      <c r="H22">
        <v>393.23778313025417</v>
      </c>
      <c r="I22">
        <v>416.51610439246019</v>
      </c>
      <c r="J22">
        <v>416.66104014146799</v>
      </c>
      <c r="K22">
        <v>393.29464382703611</v>
      </c>
      <c r="L22">
        <v>393.24026086687741</v>
      </c>
      <c r="M22">
        <v>435.25460347780052</v>
      </c>
      <c r="N22">
        <v>-13.999188696689091</v>
      </c>
      <c r="O22" s="2">
        <v>-6.7942583732057416E-2</v>
      </c>
      <c r="P22" s="2">
        <v>3.6985222488038261E-2</v>
      </c>
      <c r="Q22" s="2">
        <v>-3.1996949613570802E-3</v>
      </c>
      <c r="R22" s="2">
        <v>-8.3780436584294793E-2</v>
      </c>
      <c r="S22" s="2">
        <v>-5.9239753276903777E-2</v>
      </c>
      <c r="T22" s="2">
        <v>-3.549989491721917E-3</v>
      </c>
      <c r="U22" s="2">
        <v>-3.2032532500765321E-3</v>
      </c>
      <c r="V22" s="2">
        <v>-5.9103722901827527E-2</v>
      </c>
      <c r="W22" s="2">
        <v>-5.9233825677326823E-2</v>
      </c>
      <c r="X22" s="2">
        <v>4.1278955688518033E-2</v>
      </c>
      <c r="Y22" s="2">
        <v>-1.033490882049495</v>
      </c>
    </row>
    <row r="23" spans="2:25" x14ac:dyDescent="0.2">
      <c r="B23" t="s">
        <v>48</v>
      </c>
      <c r="C23">
        <v>448.2</v>
      </c>
      <c r="D23">
        <v>400</v>
      </c>
      <c r="E23">
        <v>459.75129600000002</v>
      </c>
      <c r="F23">
        <v>438.54231538952467</v>
      </c>
      <c r="G23">
        <v>408.08440007515168</v>
      </c>
      <c r="H23">
        <v>427.76702512138269</v>
      </c>
      <c r="I23">
        <v>438.54225416014123</v>
      </c>
      <c r="J23">
        <v>438.54162451057658</v>
      </c>
      <c r="K23">
        <v>427.76514375356942</v>
      </c>
      <c r="L23">
        <v>427.76836055162488</v>
      </c>
      <c r="M23">
        <v>440.75765314575142</v>
      </c>
      <c r="N23">
        <v>426.59520857241569</v>
      </c>
      <c r="O23" s="2">
        <v>-0.10754127621597501</v>
      </c>
      <c r="P23" s="2">
        <v>2.5772637215528919E-2</v>
      </c>
      <c r="Q23" s="2">
        <v>-2.1547712205433389E-2</v>
      </c>
      <c r="R23" s="2">
        <v>-8.9503792781901459E-2</v>
      </c>
      <c r="S23" s="2">
        <v>-4.5588966708204448E-2</v>
      </c>
      <c r="T23" s="2">
        <v>-2.1547848817177081E-2</v>
      </c>
      <c r="U23" s="2">
        <v>-2.1549253657794139E-2</v>
      </c>
      <c r="V23" s="2">
        <v>-4.5593164315998691E-2</v>
      </c>
      <c r="W23" s="2">
        <v>-4.5585987167280462E-2</v>
      </c>
      <c r="X23" s="2">
        <v>-1.660496843875181E-2</v>
      </c>
      <c r="Y23" s="2">
        <v>-4.8203461462704822E-2</v>
      </c>
    </row>
    <row r="24" spans="2:25" x14ac:dyDescent="0.2">
      <c r="B24" t="s">
        <v>49</v>
      </c>
      <c r="C24">
        <v>495.3</v>
      </c>
      <c r="D24">
        <v>447.1</v>
      </c>
      <c r="E24">
        <v>485.00933500000002</v>
      </c>
      <c r="F24">
        <v>464.52743394709989</v>
      </c>
      <c r="G24">
        <v>481.23982957777793</v>
      </c>
      <c r="H24">
        <v>478.90859319495229</v>
      </c>
      <c r="I24">
        <v>464.52739516230548</v>
      </c>
      <c r="J24">
        <v>464.52696934101829</v>
      </c>
      <c r="K24">
        <v>478.8573541647358</v>
      </c>
      <c r="L24">
        <v>478.90758881243198</v>
      </c>
      <c r="M24">
        <v>470.92227052072508</v>
      </c>
      <c r="N24">
        <v>473.05953295563779</v>
      </c>
      <c r="O24" s="2">
        <v>-9.7314758732081508E-2</v>
      </c>
      <c r="P24" s="2">
        <v>-2.0776630325055501E-2</v>
      </c>
      <c r="Q24" s="2">
        <v>-6.2129146078942273E-2</v>
      </c>
      <c r="R24" s="2">
        <v>-2.8387180339636831E-2</v>
      </c>
      <c r="S24" s="2">
        <v>-3.3093896234701492E-2</v>
      </c>
      <c r="T24" s="2">
        <v>-6.212922438460422E-2</v>
      </c>
      <c r="U24" s="2">
        <v>-6.2130084108584123E-2</v>
      </c>
      <c r="V24" s="2">
        <v>-3.3197346729788468E-2</v>
      </c>
      <c r="W24" s="2">
        <v>-3.3095924061312343E-2</v>
      </c>
      <c r="X24" s="2">
        <v>-4.9218109184887782E-2</v>
      </c>
      <c r="Y24" s="2">
        <v>-4.4903022500226597E-2</v>
      </c>
    </row>
    <row r="25" spans="2:25" x14ac:dyDescent="0.2">
      <c r="B25" t="s">
        <v>50</v>
      </c>
      <c r="C25">
        <v>480.7</v>
      </c>
      <c r="D25">
        <v>463.2</v>
      </c>
      <c r="E25">
        <v>473.43758400000002</v>
      </c>
      <c r="F25">
        <v>466.81172491854562</v>
      </c>
      <c r="G25">
        <v>509.32402608190569</v>
      </c>
      <c r="H25">
        <v>492.03357889737492</v>
      </c>
      <c r="I25">
        <v>466.81170242514492</v>
      </c>
      <c r="J25">
        <v>466.81145630308691</v>
      </c>
      <c r="K25">
        <v>492.03352128409273</v>
      </c>
      <c r="L25">
        <v>492.03148350827382</v>
      </c>
      <c r="M25">
        <v>472.30903036970159</v>
      </c>
      <c r="N25">
        <v>472.86773391129918</v>
      </c>
      <c r="O25" s="2">
        <v>-3.6405242354899059E-2</v>
      </c>
      <c r="P25" s="2">
        <v>-1.510800083211972E-2</v>
      </c>
      <c r="Q25" s="2">
        <v>-2.8891772584677341E-2</v>
      </c>
      <c r="R25" s="2">
        <v>5.9546548953413048E-2</v>
      </c>
      <c r="S25" s="2">
        <v>2.35772392289888E-2</v>
      </c>
      <c r="T25" s="2">
        <v>-2.8891819377689028E-2</v>
      </c>
      <c r="U25" s="2">
        <v>-2.889233138529879E-2</v>
      </c>
      <c r="V25" s="2">
        <v>2.3577119376102958E-2</v>
      </c>
      <c r="W25" s="2">
        <v>2.3572880191957021E-2</v>
      </c>
      <c r="X25" s="2">
        <v>-1.7455730456206301E-2</v>
      </c>
      <c r="Y25" s="2">
        <v>-1.629345972269769E-2</v>
      </c>
    </row>
    <row r="26" spans="2:25" x14ac:dyDescent="0.2">
      <c r="B26" t="s">
        <v>51</v>
      </c>
      <c r="C26">
        <v>363.6</v>
      </c>
      <c r="D26">
        <v>275.2</v>
      </c>
      <c r="E26">
        <v>365.54164400000002</v>
      </c>
      <c r="F26">
        <v>368.83191803483521</v>
      </c>
      <c r="G26">
        <v>266.56390775457089</v>
      </c>
      <c r="H26">
        <v>319.65040685783248</v>
      </c>
      <c r="I26">
        <v>368.83191920996171</v>
      </c>
      <c r="J26">
        <v>368.83193302319103</v>
      </c>
      <c r="K26">
        <v>319.69636025131399</v>
      </c>
      <c r="L26">
        <v>319.65453853044733</v>
      </c>
      <c r="M26">
        <v>359.84006571911061</v>
      </c>
      <c r="N26">
        <v>360.65563660199342</v>
      </c>
      <c r="O26" s="2">
        <v>-0.24312431243124319</v>
      </c>
      <c r="P26" s="2">
        <v>5.3400550055004992E-3</v>
      </c>
      <c r="Q26" s="2">
        <v>1.438921351714839E-2</v>
      </c>
      <c r="R26" s="2">
        <v>-0.26687594126905689</v>
      </c>
      <c r="S26" s="2">
        <v>-0.1208734684878096</v>
      </c>
      <c r="T26" s="2">
        <v>1.438921674906957E-2</v>
      </c>
      <c r="U26" s="2">
        <v>1.4389254739249241E-2</v>
      </c>
      <c r="V26" s="2">
        <v>-0.1207470840172882</v>
      </c>
      <c r="W26" s="2">
        <v>-0.12086210525179519</v>
      </c>
      <c r="X26" s="2">
        <v>-1.0340853357781791E-2</v>
      </c>
      <c r="Y26" s="2">
        <v>-8.0978091254308993E-3</v>
      </c>
    </row>
    <row r="27" spans="2:25" x14ac:dyDescent="0.2">
      <c r="B27" t="s">
        <v>52</v>
      </c>
      <c r="C27">
        <v>471.7</v>
      </c>
      <c r="D27">
        <v>451.3</v>
      </c>
      <c r="E27">
        <v>455.17783300000002</v>
      </c>
      <c r="F27">
        <v>452.92975930169001</v>
      </c>
      <c r="G27">
        <v>472.16984469450318</v>
      </c>
      <c r="H27">
        <v>462.07155966824632</v>
      </c>
      <c r="I27">
        <v>452.92974540750453</v>
      </c>
      <c r="J27">
        <v>452.92956698687709</v>
      </c>
      <c r="K27">
        <v>462.06962315696637</v>
      </c>
      <c r="L27">
        <v>462.0710380978669</v>
      </c>
      <c r="M27">
        <v>452.34443314199387</v>
      </c>
      <c r="N27">
        <v>447.23544741037858</v>
      </c>
      <c r="O27" s="2">
        <v>-4.3247827008691897E-2</v>
      </c>
      <c r="P27" s="2">
        <v>-3.5026853932584201E-2</v>
      </c>
      <c r="Q27" s="2">
        <v>-3.9792751109412723E-2</v>
      </c>
      <c r="R27" s="2">
        <v>9.960667680797286E-4</v>
      </c>
      <c r="S27" s="2">
        <v>-2.04122118544704E-2</v>
      </c>
      <c r="T27" s="2">
        <v>-3.9792780564968162E-2</v>
      </c>
      <c r="U27" s="2">
        <v>-3.9793158815185192E-2</v>
      </c>
      <c r="V27" s="2">
        <v>-2.0416317241962249E-2</v>
      </c>
      <c r="W27" s="2">
        <v>-2.04133175792518E-2</v>
      </c>
      <c r="X27" s="2">
        <v>-4.1033637604422468E-2</v>
      </c>
      <c r="Y27" s="2">
        <v>-5.1864644031421207E-2</v>
      </c>
    </row>
    <row r="28" spans="2:25" x14ac:dyDescent="0.2">
      <c r="B28" t="s">
        <v>53</v>
      </c>
      <c r="C28">
        <v>477.1</v>
      </c>
      <c r="D28">
        <v>501.1</v>
      </c>
      <c r="E28">
        <v>486.67914999999999</v>
      </c>
      <c r="F28">
        <v>486.48414427195343</v>
      </c>
      <c r="G28">
        <v>523.45563403268636</v>
      </c>
      <c r="H28">
        <v>502.24233715611672</v>
      </c>
      <c r="I28">
        <v>486.48412758204068</v>
      </c>
      <c r="J28">
        <v>486.48390126403439</v>
      </c>
      <c r="K28">
        <v>502.24276413555458</v>
      </c>
      <c r="L28">
        <v>502.24145585851772</v>
      </c>
      <c r="M28">
        <v>495.73732506658359</v>
      </c>
      <c r="N28">
        <v>499.21636911487548</v>
      </c>
      <c r="O28" s="2">
        <v>5.0303919513728701E-2</v>
      </c>
      <c r="P28" s="2">
        <v>2.0077866275413969E-2</v>
      </c>
      <c r="Q28" s="2">
        <v>1.966913492339839E-2</v>
      </c>
      <c r="R28" s="2">
        <v>9.7161253474504994E-2</v>
      </c>
      <c r="S28" s="2">
        <v>5.2698254362013593E-2</v>
      </c>
      <c r="T28" s="2">
        <v>1.9669099941397539E-2</v>
      </c>
      <c r="U28" s="2">
        <v>1.966862557961524E-2</v>
      </c>
      <c r="V28" s="2">
        <v>5.2699149309483502E-2</v>
      </c>
      <c r="W28" s="2">
        <v>5.2696407165201409E-2</v>
      </c>
      <c r="X28" s="2">
        <v>3.906377083752588E-2</v>
      </c>
      <c r="Y28" s="2">
        <v>4.635583549544231E-2</v>
      </c>
    </row>
    <row r="29" spans="2:25" x14ac:dyDescent="0.2">
      <c r="B29" t="s">
        <v>54</v>
      </c>
      <c r="C29">
        <v>480.6</v>
      </c>
      <c r="D29">
        <v>479.4</v>
      </c>
      <c r="E29">
        <v>453.18530800000002</v>
      </c>
      <c r="F29">
        <v>452.62855145379729</v>
      </c>
      <c r="G29">
        <v>488.30166130911641</v>
      </c>
      <c r="H29">
        <v>463.07320416999238</v>
      </c>
      <c r="I29">
        <v>452.61976770175897</v>
      </c>
      <c r="J29">
        <v>452.62841303676089</v>
      </c>
      <c r="K29">
        <v>463.08194224456429</v>
      </c>
      <c r="L29">
        <v>463.07237367695899</v>
      </c>
      <c r="M29">
        <v>450.80178081718049</v>
      </c>
      <c r="N29">
        <v>451.37829028316162</v>
      </c>
      <c r="O29" s="2">
        <v>-2.496878901373401E-3</v>
      </c>
      <c r="P29" s="2">
        <v>-5.7042638368705822E-2</v>
      </c>
      <c r="Q29" s="2">
        <v>-5.82010997632183E-2</v>
      </c>
      <c r="R29" s="2">
        <v>1.6025096356879761E-2</v>
      </c>
      <c r="S29" s="2">
        <v>-3.6468572263852687E-2</v>
      </c>
      <c r="T29" s="2">
        <v>-5.82193764008343E-2</v>
      </c>
      <c r="U29" s="2">
        <v>-5.8201387772032993E-2</v>
      </c>
      <c r="V29" s="2">
        <v>-3.6450390668821719E-2</v>
      </c>
      <c r="W29" s="2">
        <v>-3.6470300297629987E-2</v>
      </c>
      <c r="X29" s="2">
        <v>-6.2002120646732162E-2</v>
      </c>
      <c r="Y29" s="2">
        <v>-6.080255871169038E-2</v>
      </c>
    </row>
    <row r="30" spans="2:25" x14ac:dyDescent="0.2">
      <c r="B30" t="s">
        <v>55</v>
      </c>
      <c r="C30">
        <v>563.5</v>
      </c>
      <c r="D30">
        <v>538.5</v>
      </c>
      <c r="E30">
        <v>570.17589999999996</v>
      </c>
      <c r="F30">
        <v>569.99450486777903</v>
      </c>
      <c r="G30">
        <v>541.85227081834864</v>
      </c>
      <c r="H30">
        <v>570.00941318426783</v>
      </c>
      <c r="I30">
        <v>569.97192147217834</v>
      </c>
      <c r="J30">
        <v>569.99413416000505</v>
      </c>
      <c r="K30">
        <v>569.99212194720133</v>
      </c>
      <c r="L30">
        <v>570.00978283958841</v>
      </c>
      <c r="M30">
        <v>601.76657051360723</v>
      </c>
      <c r="N30">
        <v>526.06222906916946</v>
      </c>
      <c r="O30" s="2">
        <v>-4.4365572315882902E-2</v>
      </c>
      <c r="P30" s="2">
        <v>1.1847204968943981E-2</v>
      </c>
      <c r="Q30" s="2">
        <v>1.152529701469218E-2</v>
      </c>
      <c r="R30" s="2">
        <v>-3.841655577932801E-2</v>
      </c>
      <c r="S30" s="2">
        <v>1.155175365442385E-2</v>
      </c>
      <c r="T30" s="2">
        <v>1.1485220003865759E-2</v>
      </c>
      <c r="U30" s="2">
        <v>1.1524639148190021E-2</v>
      </c>
      <c r="V30" s="2">
        <v>1.1521068229283671E-2</v>
      </c>
      <c r="W30" s="2">
        <v>1.1552409653218019E-2</v>
      </c>
      <c r="X30" s="2">
        <v>6.7908732056090937E-2</v>
      </c>
      <c r="Y30" s="2">
        <v>-6.6437925343088788E-2</v>
      </c>
    </row>
    <row r="31" spans="2:25" x14ac:dyDescent="0.2">
      <c r="B31" t="s">
        <v>71</v>
      </c>
      <c r="C31">
        <v>565.79999999999995</v>
      </c>
      <c r="D31">
        <v>565.79999999999995</v>
      </c>
      <c r="E31">
        <v>529.96329739999999</v>
      </c>
      <c r="F31">
        <v>529.05300389390527</v>
      </c>
      <c r="G31">
        <v>574.28062387376576</v>
      </c>
      <c r="H31">
        <v>545.2904021749041</v>
      </c>
      <c r="I31">
        <v>529.04148272539601</v>
      </c>
      <c r="J31">
        <v>529.05280084665048</v>
      </c>
      <c r="K31">
        <v>545.29695665142503</v>
      </c>
      <c r="L31">
        <v>545.28735017841643</v>
      </c>
      <c r="M31">
        <v>529.74320371537203</v>
      </c>
      <c r="N31">
        <v>532.76139573579803</v>
      </c>
      <c r="O31" s="2">
        <v>0</v>
      </c>
      <c r="P31" s="2">
        <v>-6.3338109932838393E-2</v>
      </c>
      <c r="Q31" s="2">
        <v>-6.4946970848523633E-2</v>
      </c>
      <c r="R31" s="2">
        <v>1.4988730777246049E-2</v>
      </c>
      <c r="S31" s="2">
        <v>-3.6248847340218937E-2</v>
      </c>
      <c r="T31" s="2">
        <v>-6.4967333465189014E-2</v>
      </c>
      <c r="U31" s="2">
        <v>-6.4947329716064761E-2</v>
      </c>
      <c r="V31" s="2">
        <v>-3.6237262899566858E-2</v>
      </c>
      <c r="W31" s="2">
        <v>-3.6254241466213373E-2</v>
      </c>
      <c r="X31" s="2">
        <v>-6.3727105487147218E-2</v>
      </c>
      <c r="Y31" s="2">
        <v>-5.8392725811597601E-2</v>
      </c>
    </row>
    <row r="32" spans="2:25" x14ac:dyDescent="0.2">
      <c r="B32" s="98" t="s">
        <v>148</v>
      </c>
      <c r="C32" s="98"/>
      <c r="D32" s="98"/>
      <c r="E32">
        <f t="shared" ref="E32:E37" si="1">$E$31/(1+P32)</f>
        <v>534.90778754876987</v>
      </c>
      <c r="L32" s="98" t="s">
        <v>141</v>
      </c>
      <c r="M32" s="98"/>
      <c r="N32" s="98"/>
      <c r="O32" s="98"/>
      <c r="P32" s="1">
        <f>AVERAGE(P14:P30)</f>
        <v>-9.2436308909020441E-3</v>
      </c>
    </row>
    <row r="33" spans="1:16" x14ac:dyDescent="0.2">
      <c r="B33" s="99" t="s">
        <v>149</v>
      </c>
      <c r="C33" s="99"/>
      <c r="D33" s="99"/>
      <c r="E33">
        <f t="shared" si="1"/>
        <v>527.72869682659928</v>
      </c>
      <c r="L33" s="99" t="s">
        <v>143</v>
      </c>
      <c r="M33" s="99"/>
      <c r="N33" s="99"/>
      <c r="O33" s="99"/>
      <c r="P33" s="1">
        <f>MEDIAN(P14:P30)</f>
        <v>4.2343738114642981E-3</v>
      </c>
    </row>
    <row r="34" spans="1:16" x14ac:dyDescent="0.2">
      <c r="B34" s="100" t="s">
        <v>150</v>
      </c>
      <c r="C34" s="100"/>
      <c r="D34" s="100"/>
      <c r="E34">
        <f>$E$31/(1+P34)</f>
        <v>553.32756598045978</v>
      </c>
      <c r="F34">
        <f>$E$31/(1+MIN(P14:P30))</f>
        <v>589.09244550291919</v>
      </c>
      <c r="G34">
        <f>AVERAGE(E34:F34)</f>
        <v>571.21000574168943</v>
      </c>
      <c r="H34" s="3">
        <f>MEDIAN(P17,P29,P18)</f>
        <v>-5.7042638368705822E-2</v>
      </c>
      <c r="L34" s="100" t="s">
        <v>142</v>
      </c>
      <c r="M34" s="100"/>
      <c r="N34" s="100"/>
      <c r="O34" s="100"/>
      <c r="P34" s="1">
        <f>AVERAGE(P29,P27,P24:P25,P17:P19,P14)</f>
        <v>-4.2225021880230793E-2</v>
      </c>
    </row>
    <row r="35" spans="1:16" x14ac:dyDescent="0.2">
      <c r="B35" s="101" t="s">
        <v>151</v>
      </c>
      <c r="C35" s="101"/>
      <c r="D35" s="101"/>
      <c r="E35">
        <f>$E$31/(1+P35)</f>
        <v>548.56266674769688</v>
      </c>
      <c r="F35">
        <f>$E$31/(1+'2. Past Proj &amp; Candidate Model'!G47)</f>
        <v>540.53472975294039</v>
      </c>
      <c r="G35">
        <f>AVERAGE(F35:F36)</f>
        <v>544.88036042864633</v>
      </c>
      <c r="H35">
        <f>$E$31/(1+H34)</f>
        <v>562.02254626145123</v>
      </c>
      <c r="L35" s="101" t="s">
        <v>144</v>
      </c>
      <c r="M35" s="101"/>
      <c r="N35" s="101"/>
      <c r="O35" s="101"/>
      <c r="P35" s="1">
        <f>MEDIAN(P29,P27,P24:P25,P17:P19,P14)</f>
        <v>-3.3905641916844809E-2</v>
      </c>
    </row>
    <row r="36" spans="1:16" x14ac:dyDescent="0.2">
      <c r="B36" s="102" t="s">
        <v>152</v>
      </c>
      <c r="C36" s="102"/>
      <c r="D36" s="102"/>
      <c r="E36">
        <f t="shared" si="1"/>
        <v>519.53459576243858</v>
      </c>
      <c r="F36">
        <f>$E$31/(1+'2. Past Proj &amp; Candidate Model'!G48)</f>
        <v>549.22599110435215</v>
      </c>
      <c r="L36" s="102" t="s">
        <v>145</v>
      </c>
      <c r="M36" s="102"/>
      <c r="N36" s="102"/>
      <c r="O36" s="102"/>
      <c r="P36" s="1">
        <f>AVERAGE(P30,P28,P26,P21:P23,P20,P15:P16)</f>
        <v>2.0073161099612397E-2</v>
      </c>
    </row>
    <row r="37" spans="1:16" x14ac:dyDescent="0.2">
      <c r="B37" s="103" t="s">
        <v>153</v>
      </c>
      <c r="C37" s="103"/>
      <c r="D37" s="103"/>
      <c r="E37">
        <f t="shared" si="1"/>
        <v>519.53219937517349</v>
      </c>
      <c r="F37" s="106"/>
      <c r="L37" s="103" t="s">
        <v>146</v>
      </c>
      <c r="M37" s="103"/>
      <c r="N37" s="103"/>
      <c r="O37" s="103"/>
      <c r="P37" s="1">
        <f>MEDIAN(P30,P28,P26,P21:P23,P20,P15:P16)</f>
        <v>2.0077866275413969E-2</v>
      </c>
    </row>
    <row r="40" spans="1:16" x14ac:dyDescent="0.2">
      <c r="A40" s="67" t="s">
        <v>102</v>
      </c>
      <c r="B40" t="s">
        <v>154</v>
      </c>
    </row>
    <row r="41" spans="1:16" x14ac:dyDescent="0.2">
      <c r="B41" t="s">
        <v>155</v>
      </c>
    </row>
    <row r="47" spans="1:16" x14ac:dyDescent="0.2">
      <c r="A47" s="67" t="s">
        <v>104</v>
      </c>
      <c r="B47" s="79" t="s">
        <v>156</v>
      </c>
      <c r="C47" s="80">
        <f>H35</f>
        <v>562.02254626145123</v>
      </c>
      <c r="D47" t="s">
        <v>168</v>
      </c>
    </row>
    <row r="49" spans="2:4" x14ac:dyDescent="0.2">
      <c r="B49" s="182" t="s">
        <v>164</v>
      </c>
      <c r="C49" s="182"/>
      <c r="D49" s="2">
        <f>C47/D31-1</f>
        <v>-6.6763056531436993E-3</v>
      </c>
    </row>
    <row r="50" spans="2:4" x14ac:dyDescent="0.2">
      <c r="B50" s="170" t="s">
        <v>163</v>
      </c>
      <c r="C50" s="170"/>
      <c r="D50" s="2">
        <f>'1. Data &amp; Confidence Interval'!P25</f>
        <v>-1.6389861442961895E-2</v>
      </c>
    </row>
  </sheetData>
  <mergeCells count="2">
    <mergeCell ref="B50:C50"/>
    <mergeCell ref="B49:C49"/>
  </mergeCells>
  <conditionalFormatting sqref="P32:P3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:W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2021-10-22T18:18:11Z</dcterms:modified>
</cp:coreProperties>
</file>