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GMED\"/>
    </mc:Choice>
  </mc:AlternateContent>
  <xr:revisionPtr revIDLastSave="0" documentId="13_ncr:1_{A5F30BF5-E7AA-4082-AAD2-E94166158262}" xr6:coauthVersionLast="46" xr6:coauthVersionMax="46" xr10:uidLastSave="{00000000-0000-0000-0000-000000000000}"/>
  <bookViews>
    <workbookView xWindow="6195" yWindow="450" windowWidth="21600" windowHeight="1398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Q32" i="4"/>
  <c r="F32" i="4" s="1"/>
  <c r="Q31" i="4"/>
  <c r="F35" i="4"/>
  <c r="R23" i="2"/>
  <c r="AK24" i="1"/>
  <c r="AK25" i="1"/>
  <c r="AK23" i="1"/>
  <c r="AK22" i="1"/>
  <c r="AK21" i="1"/>
  <c r="AK20" i="1"/>
  <c r="R25" i="1"/>
  <c r="O25" i="1"/>
  <c r="R24" i="1"/>
  <c r="O24" i="1"/>
  <c r="Q36" i="4"/>
  <c r="F36" i="4" s="1"/>
  <c r="Q35" i="4"/>
  <c r="Q34" i="4"/>
  <c r="F34" i="4" s="1"/>
  <c r="Q33" i="4"/>
  <c r="F33" i="4" s="1"/>
  <c r="F31" i="4"/>
  <c r="F45" i="2" a="1"/>
  <c r="F45" i="2" s="1"/>
  <c r="G45" i="2" a="1"/>
  <c r="G45" i="2" s="1"/>
  <c r="H45" i="2" a="1"/>
  <c r="H45" i="2" s="1"/>
  <c r="I45" i="2" a="1"/>
  <c r="I45" i="2"/>
  <c r="J45" i="2" a="1"/>
  <c r="J45" i="2" s="1"/>
  <c r="K45" i="2" a="1"/>
  <c r="K45" i="2"/>
  <c r="L45" i="2" a="1"/>
  <c r="L45" i="2" s="1"/>
  <c r="M45" i="2" a="1"/>
  <c r="M45" i="2"/>
  <c r="N45" i="2" a="1"/>
  <c r="N45" i="2" s="1"/>
  <c r="O45" i="2" a="1"/>
  <c r="O45" i="2"/>
  <c r="P45" i="2" a="1"/>
  <c r="P45" i="2" s="1"/>
  <c r="Q45" i="2" a="1"/>
  <c r="Q45" i="2"/>
  <c r="R45" i="2" a="1"/>
  <c r="R45" i="2" s="1"/>
  <c r="F46" i="2" a="1"/>
  <c r="F46" i="2" s="1"/>
  <c r="G46" i="2" a="1"/>
  <c r="G46" i="2" s="1"/>
  <c r="H46" i="2" a="1"/>
  <c r="H46" i="2"/>
  <c r="I46" i="2" a="1"/>
  <c r="I46" i="2" s="1"/>
  <c r="J46" i="2" a="1"/>
  <c r="J46" i="2"/>
  <c r="K46" i="2" a="1"/>
  <c r="K46" i="2" s="1"/>
  <c r="L46" i="2" a="1"/>
  <c r="L46" i="2" s="1"/>
  <c r="M46" i="2" a="1"/>
  <c r="M46" i="2" s="1"/>
  <c r="N46" i="2" a="1"/>
  <c r="N46" i="2"/>
  <c r="O46" i="2" a="1"/>
  <c r="O46" i="2" s="1"/>
  <c r="P46" i="2" a="1"/>
  <c r="P46" i="2"/>
  <c r="Q46" i="2" a="1"/>
  <c r="Q46" i="2" s="1"/>
  <c r="R46" i="2" a="1"/>
  <c r="R46" i="2" s="1"/>
  <c r="E46" i="2" a="1"/>
  <c r="E46" i="2" s="1"/>
  <c r="E45" i="2" a="1"/>
  <c r="E45" i="2" s="1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A44" i="2"/>
  <c r="B44" i="2"/>
  <c r="C44" i="2"/>
  <c r="D4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L23" i="2"/>
  <c r="M23" i="2"/>
  <c r="N23" i="2"/>
  <c r="O23" i="2"/>
  <c r="K23" i="2"/>
  <c r="J23" i="2"/>
  <c r="P23" i="2" s="1"/>
  <c r="R23" i="1"/>
  <c r="S23" i="1"/>
  <c r="T23" i="1"/>
  <c r="U23" i="1"/>
  <c r="V23" i="1"/>
  <c r="O22" i="1"/>
  <c r="P22" i="1"/>
  <c r="Q22" i="1"/>
  <c r="R22" i="1"/>
  <c r="S22" i="1"/>
  <c r="R21" i="1"/>
  <c r="S21" i="1"/>
  <c r="T21" i="1"/>
  <c r="U21" i="1"/>
  <c r="V21" i="1"/>
  <c r="F13" i="1"/>
  <c r="G13" i="1"/>
  <c r="H13" i="1"/>
  <c r="I13" i="1"/>
  <c r="J13" i="1"/>
  <c r="K13" i="1"/>
  <c r="L13" i="1"/>
  <c r="M13" i="1"/>
  <c r="O20" i="1"/>
  <c r="P20" i="1"/>
  <c r="Q20" i="1"/>
  <c r="R20" i="1"/>
  <c r="S20" i="1"/>
  <c r="E18" i="1"/>
  <c r="D18" i="1"/>
  <c r="C18" i="1"/>
  <c r="B18" i="1"/>
  <c r="I18" i="1"/>
  <c r="H18" i="1"/>
  <c r="G18" i="1"/>
  <c r="F18" i="1"/>
  <c r="B17" i="1"/>
  <c r="C17" i="1"/>
  <c r="D17" i="1"/>
  <c r="E17" i="1"/>
  <c r="F17" i="1"/>
  <c r="G17" i="1"/>
  <c r="H17" i="1"/>
  <c r="I17" i="1"/>
  <c r="Q23" i="2" l="1"/>
  <c r="D47" i="4"/>
  <c r="J38" i="2"/>
  <c r="J39" i="2"/>
  <c r="G38" i="2"/>
  <c r="G39" i="2"/>
  <c r="F38" i="2"/>
  <c r="C2" i="4"/>
  <c r="AJ18" i="1"/>
  <c r="AK26" i="1" l="1"/>
  <c r="R28" i="2"/>
  <c r="K29" i="2"/>
  <c r="L29" i="2"/>
  <c r="M29" i="2"/>
  <c r="N29" i="2"/>
  <c r="O29" i="2"/>
  <c r="P29" i="2"/>
  <c r="Q29" i="2"/>
  <c r="R29" i="2"/>
  <c r="A28" i="2"/>
  <c r="B28" i="2"/>
  <c r="C28" i="2"/>
  <c r="D28" i="2"/>
  <c r="E28" i="2"/>
  <c r="F28" i="2"/>
  <c r="G28" i="2"/>
  <c r="H28" i="2"/>
  <c r="I28" i="2"/>
  <c r="J28" i="2"/>
  <c r="J41" i="2" l="1"/>
  <c r="J40" i="2"/>
  <c r="H38" i="2"/>
  <c r="H39" i="2"/>
  <c r="G43" i="2"/>
  <c r="G42" i="2"/>
  <c r="G41" i="2"/>
  <c r="G40" i="2"/>
  <c r="G36" i="2"/>
  <c r="G35" i="2"/>
  <c r="E40" i="2"/>
  <c r="E39" i="2"/>
  <c r="E38" i="2"/>
  <c r="E37" i="2"/>
  <c r="E36" i="2"/>
  <c r="E35" i="2"/>
  <c r="E34" i="2"/>
  <c r="E33" i="2"/>
  <c r="E32" i="2"/>
  <c r="E31" i="2"/>
  <c r="E30" i="2"/>
  <c r="AK18" i="1"/>
  <c r="J17" i="1"/>
  <c r="R17" i="1"/>
  <c r="Q17" i="1"/>
  <c r="P17" i="1"/>
  <c r="O17" i="1"/>
  <c r="M18" i="1"/>
  <c r="L18" i="1"/>
  <c r="J18" i="1"/>
  <c r="AJ13" i="1" l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Q30" i="2"/>
  <c r="P30" i="2"/>
  <c r="O30" i="2"/>
  <c r="N30" i="2"/>
  <c r="M30" i="2"/>
  <c r="L30" i="2"/>
  <c r="K30" i="2"/>
  <c r="R30" i="2"/>
  <c r="A29" i="2"/>
  <c r="B29" i="2"/>
  <c r="C29" i="2"/>
  <c r="D29" i="2"/>
  <c r="E29" i="2"/>
  <c r="F29" i="2"/>
  <c r="G29" i="2"/>
  <c r="H29" i="2"/>
  <c r="I29" i="2"/>
  <c r="J29" i="2"/>
  <c r="AJ17" i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0" i="2"/>
  <c r="I30" i="2"/>
  <c r="H30" i="2"/>
  <c r="G30" i="2"/>
  <c r="F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B30" i="2"/>
  <c r="C30" i="2"/>
  <c r="D30" i="2"/>
  <c r="A30" i="2"/>
  <c r="I31" i="3"/>
  <c r="E31" i="3"/>
  <c r="AE17" i="1"/>
  <c r="AD17" i="1"/>
  <c r="AC17" i="1"/>
  <c r="AB17" i="1"/>
  <c r="AJ10" i="1" l="1"/>
  <c r="J10" i="1"/>
  <c r="C7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7" i="3"/>
  <c r="D48" i="4" l="1"/>
  <c r="B7" i="1"/>
  <c r="R43" i="2"/>
  <c r="R42" i="2"/>
  <c r="R41" i="2"/>
  <c r="R40" i="2"/>
  <c r="R38" i="2"/>
  <c r="R37" i="2"/>
  <c r="R36" i="2"/>
  <c r="R35" i="2"/>
  <c r="R34" i="2"/>
  <c r="R33" i="2"/>
  <c r="R32" i="2"/>
  <c r="R31" i="2"/>
  <c r="M2" i="1" l="1"/>
  <c r="N2" i="1"/>
  <c r="N3" i="1"/>
  <c r="M3" i="1"/>
  <c r="H27" i="3"/>
  <c r="O2" i="1" l="1"/>
  <c r="P2" i="1" s="1"/>
  <c r="O3" i="1"/>
  <c r="P3" i="1" s="1"/>
  <c r="R39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E43" i="2"/>
  <c r="F31" i="2"/>
  <c r="G31" i="2"/>
  <c r="H31" i="2"/>
  <c r="I31" i="2"/>
  <c r="J31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H35" i="2"/>
  <c r="I35" i="2"/>
  <c r="J35" i="2"/>
  <c r="F36" i="2"/>
  <c r="H36" i="2"/>
  <c r="I36" i="2"/>
  <c r="J36" i="2"/>
  <c r="F37" i="2"/>
  <c r="G37" i="2"/>
  <c r="H37" i="2"/>
  <c r="I37" i="2"/>
  <c r="J37" i="2"/>
  <c r="I38" i="2"/>
  <c r="F39" i="2"/>
  <c r="I39" i="2"/>
  <c r="F40" i="2"/>
  <c r="H40" i="2"/>
  <c r="I40" i="2"/>
  <c r="E41" i="2"/>
  <c r="F41" i="2"/>
  <c r="H41" i="2"/>
  <c r="I41" i="2"/>
  <c r="E42" i="2"/>
  <c r="F42" i="2"/>
  <c r="H42" i="2"/>
  <c r="I42" i="2"/>
  <c r="J42" i="2"/>
  <c r="F43" i="2"/>
  <c r="H43" i="2"/>
  <c r="I43" i="2"/>
  <c r="J43" i="2"/>
  <c r="AH21" i="1" l="1"/>
  <c r="W21" i="1"/>
  <c r="AI21" i="1"/>
  <c r="AE21" i="1"/>
  <c r="AI23" i="1"/>
  <c r="X21" i="1"/>
  <c r="Y21" i="1"/>
  <c r="Z21" i="1"/>
  <c r="Y23" i="1"/>
  <c r="X23" i="1"/>
  <c r="AD23" i="1"/>
  <c r="W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<sst xmlns="http://schemas.openxmlformats.org/spreadsheetml/2006/main" count="327" uniqueCount="175">
  <si>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</si>
  <si>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</si>
  <si>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</si>
  <si>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</si>
  <si>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</si>
  <si>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</si>
  <si>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</si>
  <si>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</si>
  <si>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</si>
  <si>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</si>
  <si>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</si>
  <si>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</si>
  <si>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</si>
  <si>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</si>
  <si>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</si>
  <si>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</si>
  <si>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</si>
  <si>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</si>
  <si>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</si>
  <si>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</si>
  <si>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</si>
  <si>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</si>
  <si>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</si>
  <si>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</si>
  <si>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</si>
  <si>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</si>
  <si>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</si>
  <si>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</si>
  <si>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</si>
  <si>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</si>
  <si>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</si>
  <si>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</si>
  <si>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</si>
  <si>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</si>
  <si>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</si>
  <si>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</si>
  <si>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</si>
  <si>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</si>
  <si>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</si>
  <si>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</si>
  <si>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</si>
  <si>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</si>
  <si>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</si>
  <si>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</si>
  <si>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</si>
  <si>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</si>
  <si>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</si>
  <si>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</si>
  <si>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</si>
  <si>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</si>
  <si>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</si>
  <si>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</si>
  <si>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</si>
  <si>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</si>
  <si>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</si>
  <si>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</si>
  <si>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</si>
  <si>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</si>
  <si>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</si>
  <si>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</si>
  <si>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</si>
  <si>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</si>
  <si>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</si>
  <si>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</si>
  <si>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</si>
  <si>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</si>
  <si>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</si>
  <si>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</si>
  <si>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</si>
  <si>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</si>
  <si>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</si>
  <si>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</si>
  <si>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</si>
  <si>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</si>
  <si>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</si>
  <si>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</si>
  <si>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</si>
  <si>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</si>
  <si>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</si>
  <si>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</si>
  <si>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</si>
  <si>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</si>
  <si>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</si>
  <si>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</si>
  <si>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</si>
  <si>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</si>
  <si>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</si>
  <si>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</si>
  <si>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</si>
  <si>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</si>
  <si>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</si>
  <si>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</si>
  <si>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</si>
  <si>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</si>
  <si>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</si>
  <si>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</si>
  <si>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</si>
  <si>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</si>
  <si>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</si>
  <si>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</si>
  <si>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</si>
  <si>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</si>
  <si>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</si>
  <si>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</si>
  <si>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</si>
  <si>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</si>
  <si>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</si>
  <si>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</si>
  <si>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</si>
  <si>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</si>
  <si>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</si>
  <si>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</si>
  <si>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</si>
  <si>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</si>
  <si>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</si>
  <si>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</si>
  <si>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</si>
  <si>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</si>
  <si>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</si>
  <si>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</si>
  <si>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</si>
  <si>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</si>
  <si>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</si>
  <si>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</si>
  <si>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</si>
  <si>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</si>
  <si>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</si>
  <si>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</si>
  <si>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</si>
  <si>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</si>
  <si>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</si>
  <si>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</si>
  <si>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</si>
  <si>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</si>
  <si>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</si>
  <si>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</si>
  <si>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</si>
  <si>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</si>
  <si>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</si>
  <si>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</si>
  <si>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</si>
  <si>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</si>
  <si>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</si>
  <si>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</si>
  <si>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</si>
  <si>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</si>
  <si>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</si>
  <si>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</si>
  <si>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</si>
  <si>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</si>
  <si>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</si>
  <si>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</si>
  <si>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</si>
  <si>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</si>
  <si>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</si>
  <si>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</si>
  <si>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</si>
  <si>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</si>
  <si>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</si>
  <si>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</si>
  <si>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</si>
  <si>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</si>
  <si>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</si>
  <si>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</si>
  <si>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</si>
  <si>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</si>
  <si>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2017Q4</t>
  </si>
  <si>
    <t>which is not inline with the confidence interval in step1. If this value is unsatisfactory, use confidence interval.</t>
  </si>
  <si>
    <t>2017Q3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</si>
  <si>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</si>
  <si>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GMED</t>
  </si>
  <si>
    <t>MUSCULOSKELETAL SOLUTIONS</t>
  </si>
  <si>
    <t>2017Q2</t>
  </si>
  <si>
    <t>SS_NO_LR RM 2017Q2</t>
  </si>
  <si>
    <t>SS_NO_LR RM2017Q2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</si>
</sst>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0" borderId="9" xfId="0" applyNumberFormat="1" applyBorder="1"/>
    <xf numFmtId="164" fontId="8" fillId="0" borderId="1" xfId="1" applyNumberFormat="1" applyFont="1" applyBorder="1" applyAlignment="1">
      <alignment horizontal="center" vertical="top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D1" zoomScale="70" zoomScaleNormal="70" workbookViewId="0">
      <selection activeCell="J48" sqref="J48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23" t="s">
        <v>170</v>
      </c>
      <c r="B1" s="124"/>
      <c r="C1" s="125"/>
      <c r="K1" s="132" t="s">
        <v>35</v>
      </c>
      <c r="L1" s="133"/>
      <c r="M1" s="62" t="s">
        <v>31</v>
      </c>
      <c r="N1" s="62" t="s">
        <v>32</v>
      </c>
      <c r="O1" s="4" t="s">
        <v>39</v>
      </c>
      <c r="P1" s="134" t="s">
        <v>41</v>
      </c>
      <c r="Q1" s="135"/>
    </row>
    <row r="2" spans="1:37" x14ac:dyDescent="0.2">
      <c r="A2" s="126"/>
      <c r="B2" s="127"/>
      <c r="C2" s="128"/>
      <c r="K2" s="60" t="s">
        <v>37</v>
      </c>
      <c r="L2" s="61"/>
      <c r="M2" s="63">
        <f>$B$7*($AK$25-2*$AK$26)</f>
        <v>169.43220497095689</v>
      </c>
      <c r="N2" s="63">
        <f>$B$7*($AK$25+2*$AK$26)</f>
        <v>185.68198544431414</v>
      </c>
      <c r="O2" s="65">
        <f>AVERAGE(M2:N2)</f>
        <v>177.55709520763551</v>
      </c>
      <c r="P2" s="136">
        <f>$O$2/AF14-1</f>
        <v>2.3383834049772512E-2</v>
      </c>
      <c r="Q2" s="137"/>
    </row>
    <row r="3" spans="1:37" x14ac:dyDescent="0.2">
      <c r="A3" s="129"/>
      <c r="B3" s="130"/>
      <c r="C3" s="131"/>
      <c r="K3" s="46" t="s">
        <v>38</v>
      </c>
      <c r="L3" s="19"/>
      <c r="M3" s="64">
        <f>$C$7*($AK$25-2*$AK$26)</f>
        <v>174.01145375395572</v>
      </c>
      <c r="N3" s="64">
        <f>$C$7*($AK$25+2*$AK$26)</f>
        <v>190.70041748334967</v>
      </c>
      <c r="O3" s="66">
        <f>AVERAGE(M3:N3)</f>
        <v>182.35593561865269</v>
      </c>
      <c r="P3" s="138">
        <f>$O$3/AF15-1</f>
        <v>5.1042856591658081E-2</v>
      </c>
      <c r="Q3" s="139"/>
    </row>
    <row r="4" spans="1:37" x14ac:dyDescent="0.2">
      <c r="A4" s="51"/>
      <c r="B4" s="51"/>
      <c r="C4" s="51"/>
      <c r="N4" s="4" t="s">
        <v>40</v>
      </c>
      <c r="O4" s="66">
        <f>AVERAGE(O2:O3)</f>
        <v>179.9565154131441</v>
      </c>
      <c r="P4" s="138">
        <f>$O$4/AF15-1</f>
        <v>3.7213345320715296E-2</v>
      </c>
      <c r="Q4" s="139"/>
    </row>
    <row r="5" spans="1:37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7" ht="15.75" x14ac:dyDescent="0.25">
      <c r="A6" s="53" t="s">
        <v>33</v>
      </c>
      <c r="B6" s="57">
        <v>925</v>
      </c>
      <c r="C6" s="58">
        <v>950</v>
      </c>
    </row>
    <row r="7" spans="1:37" ht="14.25" x14ac:dyDescent="0.2">
      <c r="A7" s="54" t="s">
        <v>36</v>
      </c>
      <c r="B7" s="55">
        <f>B6*$AK$24</f>
        <v>723.62809417117433</v>
      </c>
      <c r="C7" s="56">
        <f>C6*$AK$24</f>
        <v>743.18561022985477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22" t="s">
        <v>15</v>
      </c>
      <c r="I10" s="122"/>
      <c r="J10" s="36">
        <f>AVERAGE(F13:AJ13)</f>
        <v>1.089127329458542</v>
      </c>
      <c r="AG10" s="122" t="s">
        <v>16</v>
      </c>
      <c r="AH10" s="122"/>
      <c r="AI10" s="122"/>
      <c r="AJ10" s="80">
        <f>AVERAGE(AJ13,AD13:AH13)</f>
        <v>1.0605416232182323</v>
      </c>
    </row>
    <row r="11" spans="1:37" x14ac:dyDescent="0.2">
      <c r="A11" s="52" t="s">
        <v>6</v>
      </c>
      <c r="B11" s="140">
        <v>2013</v>
      </c>
      <c r="C11" s="141"/>
      <c r="D11" s="141"/>
      <c r="E11" s="142"/>
      <c r="F11" s="154">
        <v>2014</v>
      </c>
      <c r="G11" s="154"/>
      <c r="H11" s="154"/>
      <c r="I11" s="155"/>
      <c r="J11" s="156">
        <v>2015</v>
      </c>
      <c r="K11" s="157"/>
      <c r="L11" s="157"/>
      <c r="M11" s="158"/>
      <c r="N11" s="156">
        <v>2016</v>
      </c>
      <c r="O11" s="157"/>
      <c r="P11" s="157"/>
      <c r="Q11" s="158"/>
      <c r="R11" s="159">
        <v>2017</v>
      </c>
      <c r="S11" s="160"/>
      <c r="T11" s="160"/>
      <c r="U11" s="161"/>
      <c r="V11" s="115">
        <v>2018</v>
      </c>
      <c r="W11" s="116"/>
      <c r="X11" s="116"/>
      <c r="Y11" s="117"/>
      <c r="Z11" s="162">
        <v>2019</v>
      </c>
      <c r="AA11" s="163"/>
      <c r="AB11" s="163"/>
      <c r="AC11" s="164"/>
      <c r="AD11" s="165">
        <v>2020</v>
      </c>
      <c r="AE11" s="154"/>
      <c r="AF11" s="154"/>
      <c r="AG11" s="155"/>
      <c r="AH11" s="156">
        <v>2021</v>
      </c>
      <c r="AI11" s="157"/>
      <c r="AJ11" s="157"/>
      <c r="AK11" s="158"/>
    </row>
    <row r="12" spans="1:37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86">
        <f t="shared" ref="F13" si="0">F15/B15</f>
        <v>1.0560747663551402</v>
      </c>
      <c r="G13" s="86">
        <f t="shared" ref="G13" si="1">G15/C15</f>
        <v>1.0293819655521783</v>
      </c>
      <c r="H13" s="86">
        <f t="shared" ref="H13" si="2">H15/D15</f>
        <v>1.0745967741935483</v>
      </c>
      <c r="I13" s="86">
        <f t="shared" ref="I13" si="3">I15/E15</f>
        <v>1.1258405379442844</v>
      </c>
      <c r="J13" s="86">
        <f t="shared" ref="J13" si="4">J15/F15</f>
        <v>1.1799410029498525</v>
      </c>
      <c r="K13" s="86">
        <f t="shared" ref="K13" si="5">K15/G15</f>
        <v>1.1958661417322836</v>
      </c>
      <c r="L13" s="86">
        <f t="shared" ref="L13" si="6">L15/H15</f>
        <v>1.1791744840525329</v>
      </c>
      <c r="M13" s="86">
        <f t="shared" ref="M13" si="7">M15/I15</f>
        <v>1.1186006825938566</v>
      </c>
      <c r="N13" s="86">
        <f t="shared" ref="N13:AI13" si="8">N15/J15</f>
        <v>1.0633333333333332</v>
      </c>
      <c r="O13" s="86">
        <f t="shared" si="8"/>
        <v>1.0263374485596708</v>
      </c>
      <c r="P13" s="86">
        <f t="shared" si="8"/>
        <v>0.95863166268894195</v>
      </c>
      <c r="Q13" s="86">
        <f t="shared" si="8"/>
        <v>0.97254004576659048</v>
      </c>
      <c r="R13" s="86">
        <f t="shared" si="8"/>
        <v>1.0164576802507836</v>
      </c>
      <c r="S13" s="86">
        <f t="shared" si="8"/>
        <v>1.0128307939053729</v>
      </c>
      <c r="T13" s="86">
        <f t="shared" si="8"/>
        <v>1.0448132780082988</v>
      </c>
      <c r="U13" s="86">
        <f t="shared" si="8"/>
        <v>1.0698039215686275</v>
      </c>
      <c r="V13" s="86">
        <f t="shared" si="8"/>
        <v>1.0323824209714727</v>
      </c>
      <c r="W13" s="86">
        <f t="shared" si="8"/>
        <v>1.0419635787806809</v>
      </c>
      <c r="X13" s="86">
        <f t="shared" si="8"/>
        <v>1.0754567116759333</v>
      </c>
      <c r="Y13" s="86">
        <f t="shared" si="8"/>
        <v>1.095307917888563</v>
      </c>
      <c r="Z13" s="86">
        <f t="shared" si="8"/>
        <v>1.0612397311426436</v>
      </c>
      <c r="AA13" s="86">
        <f t="shared" si="8"/>
        <v>1.1268996960486324</v>
      </c>
      <c r="AB13" s="86">
        <f t="shared" si="8"/>
        <v>1.0982274741506646</v>
      </c>
      <c r="AC13" s="86">
        <f t="shared" si="8"/>
        <v>1.0863453815261044</v>
      </c>
      <c r="AD13" s="86">
        <f t="shared" si="8"/>
        <v>1.0520760028149192</v>
      </c>
      <c r="AE13" s="86">
        <f t="shared" si="8"/>
        <v>0.79770734996628445</v>
      </c>
      <c r="AF13" s="86">
        <f t="shared" si="8"/>
        <v>1.1667787491593813</v>
      </c>
      <c r="AG13" s="86">
        <f t="shared" si="8"/>
        <v>1.121996303142329</v>
      </c>
      <c r="AH13" s="86">
        <f t="shared" si="8"/>
        <v>1.1993311036789298</v>
      </c>
      <c r="AI13" s="86">
        <f t="shared" si="8"/>
        <v>1.6576500422654268</v>
      </c>
      <c r="AJ13" s="86">
        <f>AJ14/AF14</f>
        <v>1.0253602305475504</v>
      </c>
      <c r="AK13" s="32"/>
    </row>
    <row r="14" spans="1:37" x14ac:dyDescent="0.2">
      <c r="A14" s="15" t="s">
        <v>0</v>
      </c>
      <c r="B14" s="7">
        <v>96.3</v>
      </c>
      <c r="C14" s="7">
        <v>98.7</v>
      </c>
      <c r="D14" s="7">
        <v>99.2</v>
      </c>
      <c r="E14" s="7">
        <v>104.1</v>
      </c>
      <c r="F14" s="7">
        <v>101.7</v>
      </c>
      <c r="G14" s="7">
        <v>101.6</v>
      </c>
      <c r="H14" s="7">
        <v>106.6</v>
      </c>
      <c r="I14" s="7">
        <v>117.2</v>
      </c>
      <c r="J14" s="9">
        <v>120</v>
      </c>
      <c r="K14" s="6">
        <v>121.5</v>
      </c>
      <c r="L14" s="6">
        <v>125.7</v>
      </c>
      <c r="M14" s="6">
        <v>131.1</v>
      </c>
      <c r="N14" s="9">
        <v>127.6</v>
      </c>
      <c r="O14" s="6">
        <v>124.7</v>
      </c>
      <c r="P14" s="6">
        <v>120.5</v>
      </c>
      <c r="Q14" s="6">
        <v>127.5</v>
      </c>
      <c r="R14" s="9">
        <v>129.69999999999999</v>
      </c>
      <c r="S14" s="6">
        <v>126.3</v>
      </c>
      <c r="T14" s="6">
        <v>125.9</v>
      </c>
      <c r="U14" s="6">
        <v>136.4</v>
      </c>
      <c r="V14" s="9">
        <v>133.9</v>
      </c>
      <c r="W14" s="6">
        <v>131.6</v>
      </c>
      <c r="X14" s="6">
        <v>135.4</v>
      </c>
      <c r="Y14" s="6">
        <v>149.4</v>
      </c>
      <c r="Z14" s="9">
        <v>142.1</v>
      </c>
      <c r="AA14" s="6">
        <v>148.30000000000001</v>
      </c>
      <c r="AB14" s="6">
        <v>148.69999999999999</v>
      </c>
      <c r="AC14" s="6">
        <v>162.30000000000001</v>
      </c>
      <c r="AD14" s="9">
        <v>149.5</v>
      </c>
      <c r="AE14" s="6">
        <v>118.3</v>
      </c>
      <c r="AF14" s="6">
        <v>173.5</v>
      </c>
      <c r="AG14" s="6">
        <v>182.1</v>
      </c>
      <c r="AH14" s="6">
        <v>179.3</v>
      </c>
      <c r="AI14" s="6">
        <v>196.1</v>
      </c>
      <c r="AJ14" s="6">
        <v>177.9</v>
      </c>
      <c r="AK14" s="6">
        <v>190.4</v>
      </c>
    </row>
    <row r="15" spans="1:37" x14ac:dyDescent="0.2">
      <c r="A15" s="15" t="s">
        <v>1</v>
      </c>
      <c r="B15" s="6">
        <v>96.3</v>
      </c>
      <c r="C15" s="6">
        <v>98.7</v>
      </c>
      <c r="D15" s="6">
        <v>99.2</v>
      </c>
      <c r="E15" s="6">
        <v>104.1</v>
      </c>
      <c r="F15" s="6">
        <v>101.7</v>
      </c>
      <c r="G15" s="6">
        <v>101.6</v>
      </c>
      <c r="H15" s="6">
        <v>106.6</v>
      </c>
      <c r="I15" s="6">
        <v>117.2</v>
      </c>
      <c r="J15" s="9">
        <v>120</v>
      </c>
      <c r="K15" s="6">
        <v>121.5</v>
      </c>
      <c r="L15" s="6">
        <v>125.7</v>
      </c>
      <c r="M15" s="6">
        <v>131.1</v>
      </c>
      <c r="N15" s="9">
        <v>127.6</v>
      </c>
      <c r="O15" s="6">
        <v>124.7</v>
      </c>
      <c r="P15" s="6">
        <v>120.5</v>
      </c>
      <c r="Q15" s="6">
        <v>127.5</v>
      </c>
      <c r="R15" s="9">
        <v>129.69999999999999</v>
      </c>
      <c r="S15" s="6">
        <v>126.3</v>
      </c>
      <c r="T15" s="6">
        <v>125.9</v>
      </c>
      <c r="U15" s="6">
        <v>136.4</v>
      </c>
      <c r="V15" s="9">
        <v>133.9</v>
      </c>
      <c r="W15" s="6">
        <v>131.6</v>
      </c>
      <c r="X15" s="6">
        <v>135.4</v>
      </c>
      <c r="Y15" s="6">
        <v>149.4</v>
      </c>
      <c r="Z15" s="9">
        <v>142.1</v>
      </c>
      <c r="AA15" s="6">
        <v>148.30000000000001</v>
      </c>
      <c r="AB15" s="6">
        <v>148.69999999999999</v>
      </c>
      <c r="AC15" s="6">
        <v>162.30000000000001</v>
      </c>
      <c r="AD15" s="9">
        <v>149.5</v>
      </c>
      <c r="AE15" s="6">
        <v>118.3</v>
      </c>
      <c r="AF15" s="6">
        <v>173.5</v>
      </c>
      <c r="AG15" s="6">
        <v>182.1</v>
      </c>
      <c r="AH15" s="9">
        <v>179.3</v>
      </c>
      <c r="AI15" s="6">
        <v>196.1</v>
      </c>
      <c r="AJ15" s="9"/>
      <c r="AK15" s="10"/>
    </row>
    <row r="16" spans="1:37" x14ac:dyDescent="0.2">
      <c r="A16" s="15" t="s">
        <v>157</v>
      </c>
      <c r="B16" s="9">
        <v>105</v>
      </c>
      <c r="C16" s="6">
        <v>107</v>
      </c>
      <c r="D16" s="6">
        <v>107.2</v>
      </c>
      <c r="E16" s="10">
        <v>115.2</v>
      </c>
      <c r="F16" s="9">
        <v>114.2</v>
      </c>
      <c r="G16" s="6">
        <v>113.6</v>
      </c>
      <c r="H16" s="6">
        <v>117.8</v>
      </c>
      <c r="I16" s="10">
        <v>128.80000000000001</v>
      </c>
      <c r="J16" s="9">
        <v>131.6</v>
      </c>
      <c r="K16" s="6">
        <v>133.6</v>
      </c>
      <c r="L16" s="6">
        <v>137</v>
      </c>
      <c r="M16" s="10">
        <v>142.6</v>
      </c>
      <c r="N16" s="9">
        <v>139.30000000000001</v>
      </c>
      <c r="O16" s="6">
        <v>137.5</v>
      </c>
      <c r="P16" s="6">
        <v>135.69999999999999</v>
      </c>
      <c r="Q16" s="10">
        <v>151.6</v>
      </c>
      <c r="R16" s="9">
        <v>155.80000000000001</v>
      </c>
      <c r="S16" s="6">
        <v>152.4</v>
      </c>
      <c r="T16" s="6">
        <v>151.69999999999999</v>
      </c>
      <c r="U16" s="10">
        <v>176</v>
      </c>
      <c r="V16" s="9">
        <v>174.4</v>
      </c>
      <c r="W16" s="6">
        <v>173.4</v>
      </c>
      <c r="X16" s="6">
        <v>169.2</v>
      </c>
      <c r="Y16" s="10">
        <v>195.9</v>
      </c>
      <c r="Z16" s="9">
        <v>182.9</v>
      </c>
      <c r="AA16" s="6">
        <v>194.5</v>
      </c>
      <c r="AB16" s="6">
        <v>196.2</v>
      </c>
      <c r="AC16" s="10">
        <v>211.7</v>
      </c>
      <c r="AD16" s="9">
        <v>190.6</v>
      </c>
      <c r="AE16" s="6">
        <v>148.9</v>
      </c>
      <c r="AF16" s="6">
        <v>216.1</v>
      </c>
      <c r="AG16" s="10">
        <v>233.4</v>
      </c>
      <c r="AH16" s="9">
        <v>227.3</v>
      </c>
      <c r="AI16">
        <v>251</v>
      </c>
      <c r="AJ16" s="106">
        <v>228.4</v>
      </c>
      <c r="AK16" s="10"/>
    </row>
    <row r="17" spans="1:38" x14ac:dyDescent="0.2">
      <c r="A17" s="88" t="s">
        <v>18</v>
      </c>
      <c r="B17" s="89">
        <f t="shared" ref="B17:I17" si="9">B15/B16</f>
        <v>0.91714285714285715</v>
      </c>
      <c r="C17" s="89">
        <f t="shared" si="9"/>
        <v>0.92242990654205614</v>
      </c>
      <c r="D17" s="89">
        <f t="shared" si="9"/>
        <v>0.92537313432835822</v>
      </c>
      <c r="E17" s="89">
        <f t="shared" si="9"/>
        <v>0.90364583333333326</v>
      </c>
      <c r="F17" s="89">
        <f t="shared" si="9"/>
        <v>0.89054290718038531</v>
      </c>
      <c r="G17" s="89">
        <f t="shared" si="9"/>
        <v>0.89436619718309862</v>
      </c>
      <c r="H17" s="89">
        <f t="shared" si="9"/>
        <v>0.90492359932088284</v>
      </c>
      <c r="I17" s="89">
        <f t="shared" si="9"/>
        <v>0.90993788819875776</v>
      </c>
      <c r="J17" s="89">
        <f t="shared" ref="J17:L17" si="10">J15/J16</f>
        <v>0.91185410334346506</v>
      </c>
      <c r="K17" s="89">
        <f t="shared" si="10"/>
        <v>0.90943113772455098</v>
      </c>
      <c r="L17" s="89">
        <f t="shared" si="10"/>
        <v>0.91751824817518246</v>
      </c>
      <c r="M17" s="89">
        <f t="shared" ref="M17:AA17" si="11">M15/M16</f>
        <v>0.91935483870967738</v>
      </c>
      <c r="N17" s="89">
        <f t="shared" si="11"/>
        <v>0.91600861450107673</v>
      </c>
      <c r="O17" s="89">
        <f>O15/O16</f>
        <v>0.90690909090909089</v>
      </c>
      <c r="P17" s="89">
        <f>P15/P16</f>
        <v>0.88798820928518796</v>
      </c>
      <c r="Q17" s="89">
        <f>Q15/Q16</f>
        <v>0.84102902374670185</v>
      </c>
      <c r="R17" s="89">
        <f>R15/R16</f>
        <v>0.83247753530166868</v>
      </c>
      <c r="S17" s="89">
        <f t="shared" si="11"/>
        <v>0.82874015748031493</v>
      </c>
      <c r="T17" s="89">
        <f t="shared" si="11"/>
        <v>0.82992748846407394</v>
      </c>
      <c r="U17" s="89">
        <f t="shared" si="11"/>
        <v>0.77500000000000002</v>
      </c>
      <c r="V17" s="89">
        <f t="shared" si="11"/>
        <v>0.76777522935779818</v>
      </c>
      <c r="W17" s="89">
        <f t="shared" si="11"/>
        <v>0.75893886966551316</v>
      </c>
      <c r="X17" s="89">
        <f t="shared" si="11"/>
        <v>0.80023640661938544</v>
      </c>
      <c r="Y17" s="89">
        <f t="shared" si="11"/>
        <v>0.7626339969372129</v>
      </c>
      <c r="Z17" s="89">
        <f t="shared" si="11"/>
        <v>0.77692728266812461</v>
      </c>
      <c r="AA17" s="89">
        <f t="shared" si="11"/>
        <v>0.76246786632390751</v>
      </c>
      <c r="AB17" s="89">
        <f t="shared" ref="AB17:AE17" si="12">AB15/AB16</f>
        <v>0.75790010193679913</v>
      </c>
      <c r="AC17" s="89">
        <f t="shared" si="12"/>
        <v>0.76665092111478517</v>
      </c>
      <c r="AD17" s="89">
        <f t="shared" si="12"/>
        <v>0.78436516264428124</v>
      </c>
      <c r="AE17" s="89">
        <f t="shared" si="12"/>
        <v>0.79449294828744121</v>
      </c>
      <c r="AF17" s="89">
        <f>AF15/AF16</f>
        <v>0.80286904211013421</v>
      </c>
      <c r="AG17" s="89">
        <f>AG15/AG16</f>
        <v>0.78020565552699228</v>
      </c>
      <c r="AH17" s="89">
        <f>AH15/AH16</f>
        <v>0.78882534095908496</v>
      </c>
      <c r="AI17" s="89">
        <f>AI15/AI16</f>
        <v>0.7812749003984063</v>
      </c>
      <c r="AJ17" s="90">
        <f>AJ14/AJ16</f>
        <v>0.77889667250437833</v>
      </c>
      <c r="AK17" s="91"/>
    </row>
    <row r="18" spans="1:38" x14ac:dyDescent="0.2">
      <c r="A18" s="88" t="s">
        <v>24</v>
      </c>
      <c r="B18" s="89">
        <f>B15/SUM(B15:E15)</f>
        <v>0.24177755460708011</v>
      </c>
      <c r="C18" s="89">
        <f>C15/SUM(B15:E15)</f>
        <v>0.24780316344463976</v>
      </c>
      <c r="D18" s="89">
        <f>D15/SUM(B15:E15)</f>
        <v>0.24905849861913135</v>
      </c>
      <c r="E18" s="92">
        <f>E15/SUM(B15:E15)</f>
        <v>0.26136078332914892</v>
      </c>
      <c r="F18" s="89">
        <f>F15/SUM(F15:I15)</f>
        <v>0.23811753687660972</v>
      </c>
      <c r="G18" s="89">
        <f>G15/SUM(F15:I15)</f>
        <v>0.23788339967220792</v>
      </c>
      <c r="H18" s="89">
        <f>H15/SUM(F15:I15)</f>
        <v>0.24959025989229688</v>
      </c>
      <c r="I18" s="92">
        <f>I15/SUM(F15:I15)</f>
        <v>0.27440880355888553</v>
      </c>
      <c r="J18" s="89">
        <f>J15/SUM(J15:M15)</f>
        <v>0.24081878386514149</v>
      </c>
      <c r="K18" s="89">
        <f>K15/SUM(J15:M15)</f>
        <v>0.24382901866345577</v>
      </c>
      <c r="L18" s="89">
        <f>L15/SUM(J15:M15)</f>
        <v>0.25225767609873573</v>
      </c>
      <c r="M18" s="92">
        <f>M15/SUM(J15:M15)</f>
        <v>0.26309452137266709</v>
      </c>
      <c r="N18" s="89">
        <f>N15/SUM(N15:Q15)</f>
        <v>0.25504697181690983</v>
      </c>
      <c r="O18" s="89">
        <f>O15/SUM(N15:Q15)</f>
        <v>0.24925044973016192</v>
      </c>
      <c r="P18" s="89">
        <f>P15/SUM(N15:Q15)</f>
        <v>0.24085548670797521</v>
      </c>
      <c r="Q18" s="92">
        <f>Q15/SUM(N15:Q15)</f>
        <v>0.25484709174495301</v>
      </c>
      <c r="R18" s="89">
        <f>R15/SUM(R15:U15)</f>
        <v>0.25024117306579202</v>
      </c>
      <c r="S18" s="89">
        <f>S15/SUM(R15:U15)</f>
        <v>0.24368126567624929</v>
      </c>
      <c r="T18" s="89">
        <f>T15/SUM(R15:U15)</f>
        <v>0.24290951186571486</v>
      </c>
      <c r="U18" s="92">
        <f>U15/SUM(R15:U15)</f>
        <v>0.26316804939224392</v>
      </c>
      <c r="V18" s="89">
        <f>V15/SUM(V15:Y15)</f>
        <v>0.24332182445938583</v>
      </c>
      <c r="W18" s="89">
        <f>W15/SUM(V15:Y15)</f>
        <v>0.23914228602580412</v>
      </c>
      <c r="X18" s="89">
        <f>X15/SUM(V15:Y15)</f>
        <v>0.2460476103943304</v>
      </c>
      <c r="Y18" s="92">
        <f>Y15/SUM(V15:Y15)</f>
        <v>0.27148827912047979</v>
      </c>
      <c r="Z18" s="89">
        <f>Z15/SUM(Z15:AC15)</f>
        <v>0.23628200864649151</v>
      </c>
      <c r="AA18" s="89">
        <f>AA15/SUM(Z15:AC15)</f>
        <v>0.24659128699700703</v>
      </c>
      <c r="AB18" s="89">
        <f>AB15/SUM(Z15:AC15)</f>
        <v>0.2472564017292983</v>
      </c>
      <c r="AC18" s="92">
        <f>AC15/SUM(Z15:AC15)</f>
        <v>0.26987030262720324</v>
      </c>
      <c r="AD18" s="89"/>
      <c r="AE18" s="89"/>
      <c r="AF18" s="89"/>
      <c r="AG18" s="92"/>
      <c r="AH18" s="89">
        <f>AH15/SUM(AH15:AI15,AJ14:AK14)</f>
        <v>0.24109183810676352</v>
      </c>
      <c r="AI18" s="89">
        <f>AI15/SUM(AH15:AI15,AJ14:AK14)</f>
        <v>0.26368159203980102</v>
      </c>
      <c r="AJ18" s="89">
        <f>AJ14/SUM(AH15:AI15,AJ14:AK14)</f>
        <v>0.23920935861234371</v>
      </c>
      <c r="AK18" s="92">
        <f>AK14/SUM(AH15:AI15,AJ14:AK14)</f>
        <v>0.25601721124109189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6"/>
      <c r="N19" s="9"/>
      <c r="O19" s="12">
        <v>127.5</v>
      </c>
      <c r="P19" s="12">
        <v>126.5</v>
      </c>
      <c r="Q19" s="6">
        <v>132.1</v>
      </c>
      <c r="R19" s="84">
        <v>129.19999999999999</v>
      </c>
      <c r="S19" s="84">
        <v>127.8</v>
      </c>
      <c r="T19" s="84">
        <v>126.3</v>
      </c>
      <c r="U19" s="84">
        <v>134.19999999999999</v>
      </c>
      <c r="V19" s="84">
        <v>130.30000000000001</v>
      </c>
      <c r="W19" s="64">
        <v>141.19999999999999</v>
      </c>
      <c r="X19" s="64">
        <v>140.1</v>
      </c>
      <c r="Y19" s="64">
        <v>159</v>
      </c>
      <c r="Z19" s="84">
        <v>154.19999999999999</v>
      </c>
      <c r="AA19" s="64">
        <v>153.30000000000001</v>
      </c>
      <c r="AB19" s="64">
        <v>153.9</v>
      </c>
      <c r="AC19" s="64">
        <v>176.6</v>
      </c>
      <c r="AD19" s="84">
        <v>155.80000000000001</v>
      </c>
      <c r="AE19" s="64">
        <v>83</v>
      </c>
      <c r="AF19" s="64">
        <v>164.1</v>
      </c>
      <c r="AG19" s="64">
        <v>179</v>
      </c>
      <c r="AH19" s="84">
        <v>161.69999999999999</v>
      </c>
      <c r="AI19" s="64">
        <v>177.1</v>
      </c>
      <c r="AJ19" s="85"/>
      <c r="AK19" s="13"/>
    </row>
    <row r="20" spans="1:38" x14ac:dyDescent="0.2">
      <c r="K20" s="7"/>
      <c r="L20" s="7"/>
      <c r="M20" s="118" t="s">
        <v>7</v>
      </c>
      <c r="N20" s="119"/>
      <c r="O20" s="7">
        <f t="shared" ref="O20:S20" si="13">IF(O15&gt;O19,1,0)</f>
        <v>0</v>
      </c>
      <c r="P20" s="7">
        <f t="shared" si="13"/>
        <v>0</v>
      </c>
      <c r="Q20" s="7">
        <f t="shared" si="13"/>
        <v>0</v>
      </c>
      <c r="R20" s="7">
        <f t="shared" si="13"/>
        <v>1</v>
      </c>
      <c r="S20" s="7">
        <f t="shared" si="13"/>
        <v>0</v>
      </c>
      <c r="T20" s="7">
        <f t="shared" ref="T20:AI20" si="14">IF(T15&gt;T19,1,0)</f>
        <v>0</v>
      </c>
      <c r="U20" s="7">
        <f t="shared" si="14"/>
        <v>1</v>
      </c>
      <c r="V20" s="7">
        <f t="shared" si="14"/>
        <v>1</v>
      </c>
      <c r="W20" s="7">
        <f t="shared" si="14"/>
        <v>0</v>
      </c>
      <c r="X20" s="7">
        <f t="shared" si="14"/>
        <v>0</v>
      </c>
      <c r="Y20" s="7">
        <f t="shared" si="14"/>
        <v>0</v>
      </c>
      <c r="Z20" s="7">
        <f t="shared" si="14"/>
        <v>0</v>
      </c>
      <c r="AA20" s="7">
        <f t="shared" si="14"/>
        <v>0</v>
      </c>
      <c r="AB20" s="7">
        <f t="shared" si="14"/>
        <v>0</v>
      </c>
      <c r="AC20" s="7">
        <f t="shared" si="14"/>
        <v>0</v>
      </c>
      <c r="AD20" s="7">
        <f t="shared" si="14"/>
        <v>0</v>
      </c>
      <c r="AE20" s="7">
        <f t="shared" si="14"/>
        <v>1</v>
      </c>
      <c r="AF20" s="7">
        <f t="shared" si="14"/>
        <v>1</v>
      </c>
      <c r="AG20" s="7">
        <f t="shared" si="14"/>
        <v>1</v>
      </c>
      <c r="AH20" s="7">
        <f t="shared" si="14"/>
        <v>1</v>
      </c>
      <c r="AI20" s="8">
        <f t="shared" si="14"/>
        <v>1</v>
      </c>
      <c r="AJ20" s="46" t="s">
        <v>8</v>
      </c>
      <c r="AK20" s="43">
        <f>AVERAGE(O20:AI20)</f>
        <v>0.38095238095238093</v>
      </c>
    </row>
    <row r="21" spans="1:38" x14ac:dyDescent="0.2">
      <c r="M21" s="113" t="s">
        <v>9</v>
      </c>
      <c r="N21" s="114"/>
      <c r="O21" s="6"/>
      <c r="P21" s="6"/>
      <c r="Q21" s="6"/>
      <c r="R21" s="6">
        <f t="shared" ref="R21" si="15">AVERAGE(O20:R20)</f>
        <v>0.25</v>
      </c>
      <c r="S21" s="6">
        <f t="shared" ref="S21" si="16">AVERAGE(P20:S20)</f>
        <v>0.25</v>
      </c>
      <c r="T21" s="6">
        <f t="shared" ref="T21" si="17">AVERAGE(Q20:T20)</f>
        <v>0.25</v>
      </c>
      <c r="U21" s="6">
        <f t="shared" ref="U21" si="18">AVERAGE(R20:U20)</f>
        <v>0.5</v>
      </c>
      <c r="V21" s="6">
        <f t="shared" ref="V21" si="19">AVERAGE(S20:V20)</f>
        <v>0.5</v>
      </c>
      <c r="W21" s="6">
        <f t="shared" ref="W21:AI21" si="20">AVERAGE(T20:W20)</f>
        <v>0.5</v>
      </c>
      <c r="X21" s="6">
        <f t="shared" si="20"/>
        <v>0.5</v>
      </c>
      <c r="Y21" s="6">
        <f t="shared" si="20"/>
        <v>0.25</v>
      </c>
      <c r="Z21" s="6">
        <f t="shared" si="20"/>
        <v>0</v>
      </c>
      <c r="AA21" s="6">
        <f t="shared" si="20"/>
        <v>0</v>
      </c>
      <c r="AB21" s="6">
        <f t="shared" si="20"/>
        <v>0</v>
      </c>
      <c r="AC21" s="6">
        <f t="shared" si="20"/>
        <v>0</v>
      </c>
      <c r="AD21" s="6">
        <f t="shared" si="20"/>
        <v>0</v>
      </c>
      <c r="AE21" s="6">
        <f t="shared" si="20"/>
        <v>0.25</v>
      </c>
      <c r="AF21" s="6">
        <f t="shared" si="20"/>
        <v>0.5</v>
      </c>
      <c r="AG21" s="6">
        <f t="shared" si="20"/>
        <v>0.75</v>
      </c>
      <c r="AH21" s="6">
        <f>AVERAGE(AE20:AH20)</f>
        <v>1</v>
      </c>
      <c r="AI21" s="10">
        <f t="shared" si="20"/>
        <v>1</v>
      </c>
      <c r="AJ21" s="42" t="s">
        <v>10</v>
      </c>
      <c r="AK21" s="43">
        <f>AVERAGE(R21:AI21)</f>
        <v>0.3611111111111111</v>
      </c>
    </row>
    <row r="22" spans="1:38" x14ac:dyDescent="0.2">
      <c r="K22" s="18"/>
      <c r="L22" s="18"/>
      <c r="M22" s="152" t="s">
        <v>11</v>
      </c>
      <c r="N22" s="153"/>
      <c r="O22" s="18">
        <f t="shared" ref="O22:S22" si="21">O15/O19-1</f>
        <v>-2.1960784313725501E-2</v>
      </c>
      <c r="P22" s="18">
        <f t="shared" si="21"/>
        <v>-4.743083003952564E-2</v>
      </c>
      <c r="Q22" s="18">
        <f t="shared" si="21"/>
        <v>-3.4822104466313397E-2</v>
      </c>
      <c r="R22" s="18">
        <f t="shared" si="21"/>
        <v>3.8699690402477227E-3</v>
      </c>
      <c r="S22" s="18">
        <f t="shared" si="21"/>
        <v>-1.1737089201877882E-2</v>
      </c>
      <c r="T22" s="18">
        <f t="shared" ref="T22:AI22" si="22">T15/T19-1</f>
        <v>-3.1670625494852889E-3</v>
      </c>
      <c r="U22" s="18">
        <f t="shared" si="22"/>
        <v>1.6393442622950838E-2</v>
      </c>
      <c r="V22" s="18">
        <f t="shared" si="22"/>
        <v>2.7628549501151234E-2</v>
      </c>
      <c r="W22" s="18">
        <f t="shared" si="22"/>
        <v>-6.7988668555240772E-2</v>
      </c>
      <c r="X22" s="18">
        <f t="shared" si="22"/>
        <v>-3.354746609564585E-2</v>
      </c>
      <c r="Y22" s="18">
        <f t="shared" si="22"/>
        <v>-6.0377358490566024E-2</v>
      </c>
      <c r="Z22" s="18">
        <f t="shared" si="22"/>
        <v>-7.8469520103761292E-2</v>
      </c>
      <c r="AA22" s="18">
        <f t="shared" si="22"/>
        <v>-3.2615786040443573E-2</v>
      </c>
      <c r="AB22" s="18">
        <f t="shared" si="22"/>
        <v>-3.3788174139051441E-2</v>
      </c>
      <c r="AC22" s="18">
        <f t="shared" si="22"/>
        <v>-8.0973952434881036E-2</v>
      </c>
      <c r="AD22" s="18">
        <f t="shared" si="22"/>
        <v>-4.0436456996148951E-2</v>
      </c>
      <c r="AE22" s="18">
        <f t="shared" si="22"/>
        <v>0.42530120481927702</v>
      </c>
      <c r="AF22" s="18">
        <f t="shared" si="22"/>
        <v>5.7282145033516141E-2</v>
      </c>
      <c r="AG22" s="18">
        <f t="shared" si="22"/>
        <v>1.7318435754190009E-2</v>
      </c>
      <c r="AH22" s="18">
        <f t="shared" si="22"/>
        <v>0.10884353741496611</v>
      </c>
      <c r="AI22" s="41">
        <f t="shared" si="22"/>
        <v>0.10728402032749851</v>
      </c>
      <c r="AJ22" s="42" t="s">
        <v>13</v>
      </c>
      <c r="AK22" s="44">
        <f>MEDIAN(O22:AI22)</f>
        <v>-2.1960784313725501E-2</v>
      </c>
    </row>
    <row r="23" spans="1:38" x14ac:dyDescent="0.2">
      <c r="M23" s="113" t="s">
        <v>12</v>
      </c>
      <c r="N23" s="114"/>
      <c r="O23" s="33"/>
      <c r="P23" s="33"/>
      <c r="Q23" s="33"/>
      <c r="R23" s="33">
        <f t="shared" ref="R23" si="23">AVERAGE(O22:R22)</f>
        <v>-2.5085937444829204E-2</v>
      </c>
      <c r="S23" s="33">
        <f t="shared" ref="S23" si="24">AVERAGE(P22:S22)</f>
        <v>-2.2530013666867299E-2</v>
      </c>
      <c r="T23" s="33">
        <f t="shared" ref="T23" si="25">AVERAGE(Q22:T22)</f>
        <v>-1.1464071794357211E-2</v>
      </c>
      <c r="U23" s="33">
        <f t="shared" ref="U23" si="26">AVERAGE(R22:U22)</f>
        <v>1.3398149779588475E-3</v>
      </c>
      <c r="V23" s="33">
        <f t="shared" ref="V23" si="27">AVERAGE(S22:V22)</f>
        <v>7.2794600931847253E-3</v>
      </c>
      <c r="W23" s="33">
        <f t="shared" ref="W23:AI23" si="28">AVERAGE(T22:W22)</f>
        <v>-6.7834347451559973E-3</v>
      </c>
      <c r="X23" s="33">
        <f t="shared" si="28"/>
        <v>-1.4378535631696138E-2</v>
      </c>
      <c r="Y23" s="33">
        <f t="shared" si="28"/>
        <v>-3.3571235910075353E-2</v>
      </c>
      <c r="Z23" s="33">
        <f t="shared" si="28"/>
        <v>-6.0095753311303485E-2</v>
      </c>
      <c r="AA23" s="33">
        <f t="shared" si="28"/>
        <v>-5.1252532682604185E-2</v>
      </c>
      <c r="AB23" s="33">
        <f t="shared" si="28"/>
        <v>-5.1312709693455583E-2</v>
      </c>
      <c r="AC23" s="33">
        <f t="shared" si="28"/>
        <v>-5.6461858179534336E-2</v>
      </c>
      <c r="AD23" s="33">
        <f t="shared" si="28"/>
        <v>-4.695359240263125E-2</v>
      </c>
      <c r="AE23" s="33">
        <f t="shared" si="28"/>
        <v>6.7525655312298899E-2</v>
      </c>
      <c r="AF23" s="33">
        <f t="shared" si="28"/>
        <v>9.0293235105440794E-2</v>
      </c>
      <c r="AG23" s="33">
        <f t="shared" si="28"/>
        <v>0.11486633215270856</v>
      </c>
      <c r="AH23" s="33">
        <f t="shared" si="28"/>
        <v>0.15218633075548732</v>
      </c>
      <c r="AI23" s="34">
        <f t="shared" si="28"/>
        <v>7.2682034632542691E-2</v>
      </c>
      <c r="AJ23" s="19" t="s">
        <v>14</v>
      </c>
      <c r="AK23" s="34">
        <f>MEDIAN(R23:AI23)</f>
        <v>-1.2921303713026674E-2</v>
      </c>
    </row>
    <row r="24" spans="1:38" x14ac:dyDescent="0.2">
      <c r="M24" s="118" t="s">
        <v>25</v>
      </c>
      <c r="N24" s="119"/>
      <c r="O24" s="102">
        <f>AVERAGE(R22,U22:V22,AE22:AI22)</f>
        <v>9.5490163064224698E-2</v>
      </c>
      <c r="P24" s="118" t="s">
        <v>29</v>
      </c>
      <c r="Q24" s="150"/>
      <c r="R24" s="111">
        <f>MEDIAN(R22,U22:V22,AE22:AI22)</f>
        <v>4.2455347267333687E-2</v>
      </c>
      <c r="AF24" s="3"/>
      <c r="AG24" s="143" t="s">
        <v>23</v>
      </c>
      <c r="AH24" s="144"/>
      <c r="AI24" s="144"/>
      <c r="AJ24" s="145"/>
      <c r="AK24" s="45">
        <f>AVERAGE(AG17:AJ17)</f>
        <v>0.78230064234721552</v>
      </c>
    </row>
    <row r="25" spans="1:38" x14ac:dyDescent="0.2">
      <c r="M25" s="120" t="s">
        <v>26</v>
      </c>
      <c r="N25" s="121"/>
      <c r="O25" s="101">
        <f>AVERAGE(O22:Q22,S22:T22,W22:AD22)</f>
        <v>-4.2101173340512818E-2</v>
      </c>
      <c r="P25" s="120" t="s">
        <v>30</v>
      </c>
      <c r="Q25" s="151"/>
      <c r="R25" s="34">
        <f>MEDIAN(O22:Q22,S22:T22,W22:AD22)</f>
        <v>-3.4822104466313397E-2</v>
      </c>
      <c r="AG25" s="146" t="s">
        <v>27</v>
      </c>
      <c r="AH25" s="147"/>
      <c r="AI25" s="147"/>
      <c r="AJ25" s="147"/>
      <c r="AK25" s="47">
        <f>AVERAGE(AJ18,AB18,T18,X18,L18,D18,P18)</f>
        <v>0.24537064914678997</v>
      </c>
    </row>
    <row r="26" spans="1:38" x14ac:dyDescent="0.2">
      <c r="AG26" s="148" t="s">
        <v>28</v>
      </c>
      <c r="AH26" s="149"/>
      <c r="AI26" s="149"/>
      <c r="AJ26" s="149"/>
      <c r="AK26" s="48">
        <f>_xlfn.STDEV.S(AJ18,AB18,P18,L18,H18)</f>
        <v>5.6139958509935058E-3</v>
      </c>
    </row>
    <row r="29" spans="1:38" ht="18" customHeight="1" x14ac:dyDescent="0.2"/>
  </sheetData>
  <mergeCells count="28"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  <mergeCell ref="AG10:AI10"/>
    <mergeCell ref="A1:C3"/>
    <mergeCell ref="K1:L1"/>
    <mergeCell ref="P1:Q1"/>
    <mergeCell ref="P2:Q2"/>
    <mergeCell ref="P3:Q3"/>
    <mergeCell ref="P4:Q4"/>
    <mergeCell ref="M21:N21"/>
    <mergeCell ref="V11:Y11"/>
    <mergeCell ref="M24:N24"/>
    <mergeCell ref="M25:N25"/>
    <mergeCell ref="H10:I10"/>
  </mergeCells>
  <conditionalFormatting sqref="K20:L20 AK20 O20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L22 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O21:AI21 AK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:AI23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K22:L22 O22:AI22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O23:AI23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H28" sqref="H28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8" t="s">
        <v>76</v>
      </c>
      <c r="B4" s="168"/>
      <c r="T4" s="71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170</v>
      </c>
      <c r="B6" t="s">
        <v>171</v>
      </c>
      <c r="C6" t="s">
        <v>172</v>
      </c>
      <c r="D6">
        <v>20170727</v>
      </c>
      <c r="E6">
        <v>145.77333899999999</v>
      </c>
      <c r="F6">
        <v>142.90170599999999</v>
      </c>
      <c r="G6">
        <v>139.98217099999999</v>
      </c>
      <c r="H6">
        <v>142.263656</v>
      </c>
      <c r="I6">
        <v>142.83134000000001</v>
      </c>
      <c r="J6">
        <v>142.75044239999997</v>
      </c>
      <c r="R6">
        <v>127.8</v>
      </c>
      <c r="S6">
        <v>126.3</v>
      </c>
      <c r="T6" s="94"/>
      <c r="U6" s="93"/>
    </row>
    <row r="7" spans="1:21" x14ac:dyDescent="0.2">
      <c r="A7" t="s">
        <v>170</v>
      </c>
      <c r="B7" t="s">
        <v>171</v>
      </c>
      <c r="C7" t="s">
        <v>168</v>
      </c>
      <c r="D7">
        <v>20171102</v>
      </c>
      <c r="E7">
        <v>139.54190700000001</v>
      </c>
      <c r="F7">
        <v>137.21771899999999</v>
      </c>
      <c r="G7">
        <v>127.11339700000001</v>
      </c>
      <c r="H7">
        <v>132.855402</v>
      </c>
      <c r="I7">
        <v>127.8554</v>
      </c>
      <c r="J7">
        <v>132.916765</v>
      </c>
      <c r="K7">
        <v>120.90100271422061</v>
      </c>
      <c r="L7">
        <v>121.27635417942456</v>
      </c>
      <c r="M7">
        <v>114.68904880107911</v>
      </c>
      <c r="N7">
        <v>117.94746279119946</v>
      </c>
      <c r="O7">
        <v>113.05737956389683</v>
      </c>
      <c r="P7">
        <v>117.59954741478268</v>
      </c>
      <c r="Q7">
        <v>117.57846591076721</v>
      </c>
      <c r="R7">
        <v>126.3</v>
      </c>
      <c r="S7">
        <v>125.9</v>
      </c>
      <c r="T7" s="94"/>
      <c r="U7" s="93"/>
    </row>
    <row r="8" spans="1:21" x14ac:dyDescent="0.2">
      <c r="A8" t="s">
        <v>170</v>
      </c>
      <c r="B8" t="s">
        <v>171</v>
      </c>
      <c r="C8" t="s">
        <v>166</v>
      </c>
      <c r="D8">
        <v>20180215</v>
      </c>
      <c r="E8">
        <v>149.65078700000001</v>
      </c>
      <c r="F8">
        <v>146.19375500000001</v>
      </c>
      <c r="G8">
        <v>145.71608499999999</v>
      </c>
      <c r="H8">
        <v>141.45914200000001</v>
      </c>
      <c r="I8">
        <v>132.03864999999999</v>
      </c>
      <c r="J8">
        <v>143.01168380000001</v>
      </c>
      <c r="K8">
        <v>135.0206148701981</v>
      </c>
      <c r="L8">
        <v>134.1356924501857</v>
      </c>
      <c r="M8">
        <v>144.32511076310863</v>
      </c>
      <c r="N8">
        <v>134.0533069012881</v>
      </c>
      <c r="O8">
        <v>130.01927204482564</v>
      </c>
      <c r="P8">
        <v>135.4620012789207</v>
      </c>
      <c r="Q8">
        <v>135.50266638475446</v>
      </c>
      <c r="R8">
        <v>134.19999999999999</v>
      </c>
      <c r="S8">
        <v>136.4</v>
      </c>
      <c r="T8" s="9"/>
      <c r="U8" s="63"/>
    </row>
    <row r="9" spans="1:21" x14ac:dyDescent="0.2">
      <c r="A9" t="s">
        <v>170</v>
      </c>
      <c r="B9" t="s">
        <v>171</v>
      </c>
      <c r="C9" t="s">
        <v>42</v>
      </c>
      <c r="D9">
        <v>20180426</v>
      </c>
      <c r="E9">
        <v>150.016199</v>
      </c>
      <c r="F9">
        <v>148.39851300000001</v>
      </c>
      <c r="G9">
        <v>127.293206</v>
      </c>
      <c r="H9">
        <v>145.858711</v>
      </c>
      <c r="I9">
        <v>144.26936799999999</v>
      </c>
      <c r="J9">
        <v>143.16719940000002</v>
      </c>
      <c r="K9">
        <v>136.73305669685519</v>
      </c>
      <c r="L9">
        <v>138.45705771221213</v>
      </c>
      <c r="M9">
        <v>119.15495326682708</v>
      </c>
      <c r="N9">
        <v>140.64222289995226</v>
      </c>
      <c r="O9">
        <v>149.034709118883</v>
      </c>
      <c r="P9">
        <v>136.54832583797605</v>
      </c>
      <c r="Q9">
        <v>136.76172092211763</v>
      </c>
      <c r="R9">
        <v>130.30000000000001</v>
      </c>
      <c r="S9">
        <v>133.9</v>
      </c>
      <c r="T9" s="9"/>
      <c r="U9" s="63"/>
    </row>
    <row r="10" spans="1:21" x14ac:dyDescent="0.2">
      <c r="A10" t="s">
        <v>170</v>
      </c>
      <c r="B10" t="s">
        <v>171</v>
      </c>
      <c r="C10" t="s">
        <v>43</v>
      </c>
      <c r="D10">
        <v>20180726</v>
      </c>
      <c r="E10">
        <v>138.32620600000001</v>
      </c>
      <c r="F10">
        <v>137.699555</v>
      </c>
      <c r="G10">
        <v>128.02744300000001</v>
      </c>
      <c r="H10">
        <v>143.37407300000001</v>
      </c>
      <c r="I10">
        <v>146.669893</v>
      </c>
      <c r="J10">
        <v>138.819434</v>
      </c>
      <c r="K10">
        <v>123.46585973292126</v>
      </c>
      <c r="L10">
        <v>124.24632863066492</v>
      </c>
      <c r="M10">
        <v>134.6723454957997</v>
      </c>
      <c r="N10">
        <v>131.61907330101116</v>
      </c>
      <c r="O10">
        <v>136.12798714623887</v>
      </c>
      <c r="P10">
        <v>129.83366504688362</v>
      </c>
      <c r="Q10">
        <v>129.99420989225325</v>
      </c>
      <c r="R10">
        <v>141.19999999999999</v>
      </c>
      <c r="S10">
        <v>131.6</v>
      </c>
      <c r="T10" s="9"/>
      <c r="U10" s="63"/>
    </row>
    <row r="11" spans="1:21" x14ac:dyDescent="0.2">
      <c r="A11" t="s">
        <v>170</v>
      </c>
      <c r="B11" t="s">
        <v>171</v>
      </c>
      <c r="C11" t="s">
        <v>44</v>
      </c>
      <c r="D11">
        <v>20181101</v>
      </c>
      <c r="E11">
        <v>137.997086</v>
      </c>
      <c r="F11">
        <v>137.19241500000001</v>
      </c>
      <c r="G11">
        <v>130.414018</v>
      </c>
      <c r="H11">
        <v>141.222104</v>
      </c>
      <c r="I11">
        <v>142.87522799999999</v>
      </c>
      <c r="J11">
        <v>137.94017019999998</v>
      </c>
      <c r="K11">
        <v>131.28688368420947</v>
      </c>
      <c r="L11">
        <v>131.11532433056882</v>
      </c>
      <c r="M11">
        <v>134.05317146574581</v>
      </c>
      <c r="N11">
        <v>129.62475360799715</v>
      </c>
      <c r="O11">
        <v>128.19522548366487</v>
      </c>
      <c r="P11">
        <v>130.76646313310857</v>
      </c>
      <c r="Q11">
        <v>130.84030361754913</v>
      </c>
      <c r="R11">
        <v>140.1</v>
      </c>
      <c r="S11">
        <v>135.4</v>
      </c>
      <c r="T11" s="9"/>
      <c r="U11" s="63"/>
    </row>
    <row r="12" spans="1:21" x14ac:dyDescent="0.2">
      <c r="A12" t="s">
        <v>170</v>
      </c>
      <c r="B12" t="s">
        <v>171</v>
      </c>
      <c r="C12" t="s">
        <v>45</v>
      </c>
      <c r="D12">
        <v>20190214</v>
      </c>
      <c r="E12">
        <v>146.88936899999999</v>
      </c>
      <c r="F12">
        <v>143.878488</v>
      </c>
      <c r="G12">
        <v>137.28422599999999</v>
      </c>
      <c r="H12">
        <v>140.569976</v>
      </c>
      <c r="I12">
        <v>140.09363400000001</v>
      </c>
      <c r="J12">
        <v>141.74313860000001</v>
      </c>
      <c r="K12">
        <v>144.12493146848044</v>
      </c>
      <c r="L12">
        <v>141.99871964641778</v>
      </c>
      <c r="M12">
        <v>142.53286943739437</v>
      </c>
      <c r="N12">
        <v>134.77475700546142</v>
      </c>
      <c r="O12">
        <v>132.76393892158831</v>
      </c>
      <c r="P12">
        <v>139.13293668271845</v>
      </c>
      <c r="Q12">
        <v>139.22135886034346</v>
      </c>
      <c r="R12">
        <v>159</v>
      </c>
      <c r="S12">
        <v>149.4</v>
      </c>
      <c r="T12" s="9"/>
      <c r="U12" s="63"/>
    </row>
    <row r="13" spans="1:21" x14ac:dyDescent="0.2">
      <c r="A13" t="s">
        <v>170</v>
      </c>
      <c r="B13" t="s">
        <v>171</v>
      </c>
      <c r="C13" t="s">
        <v>46</v>
      </c>
      <c r="D13">
        <v>20190425</v>
      </c>
      <c r="E13">
        <v>145.128728</v>
      </c>
      <c r="F13">
        <v>144.54439300000001</v>
      </c>
      <c r="G13">
        <v>135.91339600000001</v>
      </c>
      <c r="H13">
        <v>152.447541</v>
      </c>
      <c r="I13">
        <v>150.732573</v>
      </c>
      <c r="J13">
        <v>145.7533262</v>
      </c>
      <c r="K13">
        <v>147.60926614913842</v>
      </c>
      <c r="L13">
        <v>150.09145991442449</v>
      </c>
      <c r="M13">
        <v>147.90818984840985</v>
      </c>
      <c r="N13">
        <v>162.0236644658743</v>
      </c>
      <c r="O13">
        <v>160.74567960882504</v>
      </c>
      <c r="P13">
        <v>153.62681502157736</v>
      </c>
      <c r="Q13">
        <v>153.66751250137492</v>
      </c>
      <c r="R13">
        <v>154.19999999999999</v>
      </c>
      <c r="S13">
        <v>142.1</v>
      </c>
      <c r="T13" s="9"/>
      <c r="U13" s="63"/>
    </row>
    <row r="14" spans="1:21" x14ac:dyDescent="0.2">
      <c r="A14" t="s">
        <v>170</v>
      </c>
      <c r="B14" t="s">
        <v>171</v>
      </c>
      <c r="C14" t="s">
        <v>47</v>
      </c>
      <c r="D14">
        <v>20190725</v>
      </c>
      <c r="E14">
        <v>147.98257699999999</v>
      </c>
      <c r="F14">
        <v>143.27477999999999</v>
      </c>
      <c r="G14">
        <v>144.710746</v>
      </c>
      <c r="H14">
        <v>148.38721699999999</v>
      </c>
      <c r="I14">
        <v>143.50064900000001</v>
      </c>
      <c r="J14">
        <v>145.5711938</v>
      </c>
      <c r="K14">
        <v>144.89429130599146</v>
      </c>
      <c r="L14">
        <v>140.85185744977321</v>
      </c>
      <c r="M14">
        <v>151.29779412325183</v>
      </c>
      <c r="N14">
        <v>138.31527486363325</v>
      </c>
      <c r="O14">
        <v>135.28225397505818</v>
      </c>
      <c r="P14">
        <v>141.92243277244674</v>
      </c>
      <c r="Q14">
        <v>142.09398408169247</v>
      </c>
      <c r="R14">
        <v>153.30000000000001</v>
      </c>
      <c r="S14">
        <v>148.30000000000001</v>
      </c>
      <c r="T14" s="9"/>
      <c r="U14" s="63"/>
    </row>
    <row r="15" spans="1:21" x14ac:dyDescent="0.2">
      <c r="A15" t="s">
        <v>170</v>
      </c>
      <c r="B15" t="s">
        <v>171</v>
      </c>
      <c r="C15" t="s">
        <v>48</v>
      </c>
      <c r="D15">
        <v>20191031</v>
      </c>
      <c r="E15">
        <v>141.24518399999999</v>
      </c>
      <c r="F15">
        <v>143.10546500000001</v>
      </c>
      <c r="G15">
        <v>147.24199899999999</v>
      </c>
      <c r="H15">
        <v>146.20029700000001</v>
      </c>
      <c r="I15">
        <v>135.504212</v>
      </c>
      <c r="J15">
        <v>142.65943139999999</v>
      </c>
      <c r="K15">
        <v>141.54815527506324</v>
      </c>
      <c r="L15">
        <v>148.12474644525719</v>
      </c>
      <c r="M15">
        <v>150.89403555213516</v>
      </c>
      <c r="N15">
        <v>146.11436539779572</v>
      </c>
      <c r="O15">
        <v>140.03612373627664</v>
      </c>
      <c r="P15">
        <v>145.33365513019513</v>
      </c>
      <c r="Q15">
        <v>145.34184692278717</v>
      </c>
      <c r="R15">
        <v>153.9</v>
      </c>
      <c r="S15">
        <v>148.69999999999999</v>
      </c>
      <c r="T15" s="9"/>
      <c r="U15" s="63"/>
    </row>
    <row r="16" spans="1:21" x14ac:dyDescent="0.2">
      <c r="A16" t="s">
        <v>170</v>
      </c>
      <c r="B16" t="s">
        <v>171</v>
      </c>
      <c r="C16" t="s">
        <v>49</v>
      </c>
      <c r="D16">
        <v>20200213</v>
      </c>
      <c r="E16">
        <v>181.11380800000001</v>
      </c>
      <c r="F16">
        <v>177.66043300000001</v>
      </c>
      <c r="G16">
        <v>160.87175300000001</v>
      </c>
      <c r="H16">
        <v>176.18131199999999</v>
      </c>
      <c r="I16">
        <v>164.864677</v>
      </c>
      <c r="J16">
        <v>172.13839659999999</v>
      </c>
      <c r="K16">
        <v>190.67286039005762</v>
      </c>
      <c r="L16">
        <v>184.60585266327877</v>
      </c>
      <c r="M16">
        <v>162.46471681697287</v>
      </c>
      <c r="N16">
        <v>179.19362430843759</v>
      </c>
      <c r="O16">
        <v>180.91967111620116</v>
      </c>
      <c r="P16">
        <v>179.42718068635173</v>
      </c>
      <c r="Q16">
        <v>179.54731766354996</v>
      </c>
      <c r="R16">
        <v>176.6</v>
      </c>
      <c r="S16">
        <v>162.30000000000001</v>
      </c>
      <c r="T16" s="9"/>
      <c r="U16" s="63"/>
    </row>
    <row r="17" spans="1:21" x14ac:dyDescent="0.2">
      <c r="A17" t="s">
        <v>170</v>
      </c>
      <c r="B17" t="s">
        <v>171</v>
      </c>
      <c r="C17" t="s">
        <v>50</v>
      </c>
      <c r="D17">
        <v>20200430</v>
      </c>
      <c r="E17">
        <v>160.260355</v>
      </c>
      <c r="F17">
        <v>160.470933</v>
      </c>
      <c r="G17">
        <v>141.97220999999999</v>
      </c>
      <c r="H17">
        <v>153.518126</v>
      </c>
      <c r="I17">
        <v>148.51082299999999</v>
      </c>
      <c r="J17">
        <v>152.94648939999999</v>
      </c>
      <c r="K17">
        <v>143.61276980328304</v>
      </c>
      <c r="L17">
        <v>146.5966956519801</v>
      </c>
      <c r="M17">
        <v>143.23266361745928</v>
      </c>
      <c r="N17">
        <v>141.42244467903612</v>
      </c>
      <c r="O17">
        <v>146.20055072743082</v>
      </c>
      <c r="P17">
        <v>144.20498691702116</v>
      </c>
      <c r="Q17">
        <v>144.21168523270177</v>
      </c>
      <c r="R17">
        <v>155.80000000000001</v>
      </c>
      <c r="S17">
        <v>149.5</v>
      </c>
      <c r="T17" s="9"/>
      <c r="U17" s="63"/>
    </row>
    <row r="18" spans="1:21" x14ac:dyDescent="0.2">
      <c r="A18" t="s">
        <v>170</v>
      </c>
      <c r="B18" t="s">
        <v>171</v>
      </c>
      <c r="C18" t="s">
        <v>51</v>
      </c>
      <c r="D18">
        <v>20200730</v>
      </c>
      <c r="E18">
        <v>125.761956</v>
      </c>
      <c r="F18">
        <v>126.567809</v>
      </c>
      <c r="G18">
        <v>113.54716500000001</v>
      </c>
      <c r="H18">
        <v>126.435923</v>
      </c>
      <c r="I18">
        <v>125.03471</v>
      </c>
      <c r="J18">
        <v>123.4695126</v>
      </c>
      <c r="K18">
        <v>117.31792570907507</v>
      </c>
      <c r="L18">
        <v>117.91473441174546</v>
      </c>
      <c r="M18">
        <v>119.56777433766793</v>
      </c>
      <c r="N18">
        <v>123.12663645008277</v>
      </c>
      <c r="O18">
        <v>125.86752108295839</v>
      </c>
      <c r="P18">
        <v>120.68725608617991</v>
      </c>
      <c r="Q18">
        <v>120.74697467961825</v>
      </c>
      <c r="R18">
        <v>83</v>
      </c>
      <c r="S18">
        <v>118.3</v>
      </c>
      <c r="T18" s="9"/>
      <c r="U18" s="63"/>
    </row>
    <row r="19" spans="1:21" x14ac:dyDescent="0.2">
      <c r="A19" t="s">
        <v>170</v>
      </c>
      <c r="B19" t="s">
        <v>171</v>
      </c>
      <c r="C19" t="s">
        <v>52</v>
      </c>
      <c r="D19">
        <v>20201022</v>
      </c>
      <c r="E19">
        <v>156.536136</v>
      </c>
      <c r="F19">
        <v>158.73312100000001</v>
      </c>
      <c r="G19">
        <v>166.54729599999999</v>
      </c>
      <c r="H19">
        <v>168.66001399999999</v>
      </c>
      <c r="I19">
        <v>160.91075000000001</v>
      </c>
      <c r="J19">
        <v>162.27746339999999</v>
      </c>
      <c r="K19">
        <v>147.24822575755741</v>
      </c>
      <c r="L19">
        <v>148.36417223829798</v>
      </c>
      <c r="M19">
        <v>173.51860010595595</v>
      </c>
      <c r="N19">
        <v>157.80704710163738</v>
      </c>
      <c r="O19">
        <v>152.24365878082972</v>
      </c>
      <c r="P19">
        <v>155.48311089890865</v>
      </c>
      <c r="Q19">
        <v>155.77746914719785</v>
      </c>
      <c r="R19">
        <v>164.1</v>
      </c>
      <c r="S19">
        <v>173.5</v>
      </c>
    </row>
    <row r="20" spans="1:21" x14ac:dyDescent="0.2">
      <c r="A20" t="s">
        <v>170</v>
      </c>
      <c r="B20" t="s">
        <v>171</v>
      </c>
      <c r="C20" t="s">
        <v>53</v>
      </c>
      <c r="D20">
        <v>20210211</v>
      </c>
      <c r="E20">
        <v>167.766142</v>
      </c>
      <c r="F20">
        <v>168.610151</v>
      </c>
      <c r="G20">
        <v>184.48178300000001</v>
      </c>
      <c r="H20">
        <v>171.141592</v>
      </c>
      <c r="I20">
        <v>154.70415299999999</v>
      </c>
      <c r="J20">
        <v>169.3407642</v>
      </c>
      <c r="K20">
        <v>185.94700483088457</v>
      </c>
      <c r="L20">
        <v>184.29588616543359</v>
      </c>
      <c r="M20">
        <v>192.18318231056722</v>
      </c>
      <c r="N20">
        <v>176.05279110198583</v>
      </c>
      <c r="O20">
        <v>166.80781455247705</v>
      </c>
      <c r="P20">
        <v>181.05177375295355</v>
      </c>
      <c r="Q20">
        <v>181.05640878571694</v>
      </c>
      <c r="R20">
        <v>194.2</v>
      </c>
      <c r="S20">
        <v>182.1</v>
      </c>
    </row>
    <row r="21" spans="1:21" x14ac:dyDescent="0.2">
      <c r="A21" t="s">
        <v>170</v>
      </c>
      <c r="B21" t="s">
        <v>171</v>
      </c>
      <c r="C21" t="s">
        <v>54</v>
      </c>
      <c r="D21">
        <v>20210429</v>
      </c>
      <c r="E21">
        <v>181.555454</v>
      </c>
      <c r="F21">
        <v>172.43517199999999</v>
      </c>
      <c r="G21">
        <v>169.26591099999999</v>
      </c>
      <c r="H21">
        <v>183.338472</v>
      </c>
      <c r="I21">
        <v>158.451087</v>
      </c>
      <c r="J21">
        <v>173.00921920000002</v>
      </c>
      <c r="K21">
        <v>197.06746414541738</v>
      </c>
      <c r="L21">
        <v>186.23104620314348</v>
      </c>
      <c r="M21">
        <v>167.08057506740377</v>
      </c>
      <c r="N21">
        <v>195.07786132549239</v>
      </c>
      <c r="O21">
        <v>186.51046131062819</v>
      </c>
      <c r="P21">
        <v>186.04486028603858</v>
      </c>
      <c r="Q21">
        <v>186.33537805635396</v>
      </c>
      <c r="R21">
        <v>165.8</v>
      </c>
      <c r="S21">
        <v>179.3</v>
      </c>
    </row>
    <row r="22" spans="1:21" x14ac:dyDescent="0.2">
      <c r="A22" t="s">
        <v>170</v>
      </c>
      <c r="B22" t="s">
        <v>171</v>
      </c>
      <c r="C22" t="s">
        <v>55</v>
      </c>
      <c r="D22" s="12">
        <v>20210729</v>
      </c>
      <c r="E22">
        <v>199.07552200000001</v>
      </c>
      <c r="F22">
        <v>194.15910700000001</v>
      </c>
      <c r="G22">
        <v>194.22179499999999</v>
      </c>
      <c r="H22">
        <v>193.8236</v>
      </c>
      <c r="I22">
        <v>170.98030600000001</v>
      </c>
      <c r="J22">
        <v>190.452066</v>
      </c>
      <c r="K22" s="95">
        <v>196.60241710282088</v>
      </c>
      <c r="L22" s="95">
        <v>201.88878800840007</v>
      </c>
      <c r="M22" s="95">
        <v>205.73526965804709</v>
      </c>
      <c r="N22" s="95">
        <v>189.55416776899941</v>
      </c>
      <c r="O22" s="95">
        <v>193.47780722892742</v>
      </c>
      <c r="P22" s="95">
        <v>197.37708540447534</v>
      </c>
      <c r="Q22" s="95">
        <v>197.43925586194504</v>
      </c>
      <c r="R22" s="6">
        <v>177.1</v>
      </c>
      <c r="S22" s="10">
        <v>196.1</v>
      </c>
    </row>
    <row r="23" spans="1:21" x14ac:dyDescent="0.2">
      <c r="A23" t="s">
        <v>170</v>
      </c>
      <c r="B23" t="s">
        <v>171</v>
      </c>
      <c r="C23" t="s">
        <v>71</v>
      </c>
      <c r="D23" s="12">
        <v>20211028</v>
      </c>
      <c r="E23">
        <v>207.49387100000001</v>
      </c>
      <c r="F23">
        <v>204.17301800000001</v>
      </c>
      <c r="G23">
        <v>169.64659</v>
      </c>
      <c r="H23">
        <v>187.77887799999999</v>
      </c>
      <c r="I23">
        <v>162.76423700000001</v>
      </c>
      <c r="J23">
        <f>AVERAGE(E23:I23)</f>
        <v>186.37131879999998</v>
      </c>
      <c r="K23" s="95">
        <f>(E23/E22)*$S$22</f>
        <v>204.39252246742822</v>
      </c>
      <c r="L23" s="95">
        <f t="shared" ref="L23:P23" si="0">(F23/F22)*$S$22</f>
        <v>206.21401410648227</v>
      </c>
      <c r="M23" s="95">
        <f t="shared" si="0"/>
        <v>171.28714261445273</v>
      </c>
      <c r="N23" s="95">
        <f t="shared" si="0"/>
        <v>189.98428455461564</v>
      </c>
      <c r="O23" s="95">
        <f t="shared" si="0"/>
        <v>186.67686134390237</v>
      </c>
      <c r="P23" s="95">
        <f t="shared" si="0"/>
        <v>191.8982365708755</v>
      </c>
      <c r="Q23" s="95">
        <f>AVERAGE(K23:P23)</f>
        <v>191.74217694295945</v>
      </c>
      <c r="R23" s="6">
        <f>'1. Data &amp; Confidence Interval'!AJ14</f>
        <v>177.9</v>
      </c>
      <c r="S23" s="10"/>
    </row>
    <row r="24" spans="1:21" x14ac:dyDescent="0.2">
      <c r="A24" s="166" t="s">
        <v>75</v>
      </c>
      <c r="B24" s="167"/>
      <c r="C24" s="167"/>
      <c r="D24" s="167"/>
      <c r="E24" s="104">
        <f t="shared" ref="E24:R24" si="1">CORREL(E$6:E$22,$S$6:$S$22)</f>
        <v>0.87808187470816712</v>
      </c>
      <c r="F24" s="104">
        <f t="shared" si="1"/>
        <v>0.89967843904815747</v>
      </c>
      <c r="G24" s="105">
        <f t="shared" si="1"/>
        <v>0.95632041114045507</v>
      </c>
      <c r="H24" s="105">
        <f t="shared" si="1"/>
        <v>0.94046417747290179</v>
      </c>
      <c r="I24" s="104">
        <f t="shared" si="1"/>
        <v>0.83660506998655026</v>
      </c>
      <c r="J24" s="105">
        <f t="shared" si="1"/>
        <v>0.94315646694993593</v>
      </c>
      <c r="K24" s="104">
        <f t="shared" si="1"/>
        <v>0.90225450534967222</v>
      </c>
      <c r="L24" s="104">
        <f t="shared" si="1"/>
        <v>0.92150950010925148</v>
      </c>
      <c r="M24" s="104">
        <f t="shared" si="1"/>
        <v>0.95624513040896464</v>
      </c>
      <c r="N24" s="104">
        <f t="shared" si="1"/>
        <v>0.89037800873318407</v>
      </c>
      <c r="O24" s="104">
        <f t="shared" si="1"/>
        <v>0.84322923516198978</v>
      </c>
      <c r="P24" s="104">
        <f t="shared" si="1"/>
        <v>0.93688243685562245</v>
      </c>
      <c r="Q24" s="104">
        <f t="shared" si="1"/>
        <v>0.93710366202540674</v>
      </c>
      <c r="R24" s="104">
        <f t="shared" si="1"/>
        <v>0.86022717688712025</v>
      </c>
      <c r="S24" s="5"/>
    </row>
    <row r="26" spans="1:21" x14ac:dyDescent="0.2">
      <c r="A26" s="169" t="s">
        <v>77</v>
      </c>
      <c r="B26" s="170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8" si="2">A6</f>
        <v>GMED</v>
      </c>
      <c r="B28" s="9" t="str">
        <f t="shared" si="2"/>
        <v>MUSCULOSKELETAL SOLUTIONS</v>
      </c>
      <c r="C28" s="9" t="str">
        <f t="shared" si="2"/>
        <v>2017Q2</v>
      </c>
      <c r="D28" s="9">
        <f t="shared" si="2"/>
        <v>20170727</v>
      </c>
      <c r="E28" s="18">
        <f t="shared" ref="E28:R28" si="3">$S6/E6-1</f>
        <v>-0.13358642350917127</v>
      </c>
      <c r="F28" s="18">
        <f t="shared" si="3"/>
        <v>-0.11617570191919191</v>
      </c>
      <c r="G28" s="18">
        <f t="shared" si="3"/>
        <v>-9.7742240331449071E-2</v>
      </c>
      <c r="H28" s="18">
        <f t="shared" si="3"/>
        <v>-0.11221176545610501</v>
      </c>
      <c r="I28" s="18">
        <f t="shared" si="3"/>
        <v>-0.11574028501027867</v>
      </c>
      <c r="J28" s="18">
        <f t="shared" si="3"/>
        <v>-0.11523916930431854</v>
      </c>
      <c r="K28" s="18"/>
      <c r="L28" s="18"/>
      <c r="M28" s="18"/>
      <c r="N28" s="18"/>
      <c r="O28" s="18"/>
      <c r="P28" s="18"/>
      <c r="Q28" s="18"/>
      <c r="R28" s="41">
        <f t="shared" si="3"/>
        <v>-1.1737089201877882E-2</v>
      </c>
    </row>
    <row r="29" spans="1:21" x14ac:dyDescent="0.2">
      <c r="A29" s="9" t="str">
        <f>A7</f>
        <v>GMED</v>
      </c>
      <c r="B29" s="9" t="str">
        <f t="shared" ref="B29:D30" si="4">B7</f>
        <v>MUSCULOSKELETAL SOLUTIONS</v>
      </c>
      <c r="C29" s="9" t="str">
        <f t="shared" si="4"/>
        <v>2017Q3</v>
      </c>
      <c r="D29" s="9">
        <f t="shared" si="4"/>
        <v>20171102</v>
      </c>
      <c r="E29" s="18">
        <f t="shared" ref="E29:R30" si="5">$S7/E7-1</f>
        <v>-9.7762079459040252E-2</v>
      </c>
      <c r="F29" s="18">
        <f t="shared" si="5"/>
        <v>-8.2480011200302683E-2</v>
      </c>
      <c r="G29" s="18">
        <f t="shared" si="5"/>
        <v>-9.5457837540129375E-3</v>
      </c>
      <c r="H29" s="18">
        <f t="shared" si="5"/>
        <v>-5.2353174167505734E-2</v>
      </c>
      <c r="I29" s="18">
        <f t="shared" si="5"/>
        <v>-1.5293839759603411E-2</v>
      </c>
      <c r="J29" s="18">
        <f t="shared" si="5"/>
        <v>-5.2790669408783741E-2</v>
      </c>
      <c r="K29" s="18">
        <f t="shared" si="5"/>
        <v>4.134785629194293E-2</v>
      </c>
      <c r="L29" s="18">
        <f t="shared" si="5"/>
        <v>3.8124874810590903E-2</v>
      </c>
      <c r="M29" s="18">
        <f t="shared" si="5"/>
        <v>9.7750842962919471E-2</v>
      </c>
      <c r="N29" s="18">
        <f t="shared" si="5"/>
        <v>6.7424402531479632E-2</v>
      </c>
      <c r="O29" s="18">
        <f t="shared" si="5"/>
        <v>0.1135938271844068</v>
      </c>
      <c r="P29" s="18">
        <f t="shared" si="5"/>
        <v>7.0582351443420066E-2</v>
      </c>
      <c r="Q29" s="18">
        <f t="shared" si="5"/>
        <v>7.0774303991584464E-2</v>
      </c>
      <c r="R29" s="41">
        <f t="shared" si="5"/>
        <v>-3.1670625494852889E-3</v>
      </c>
    </row>
    <row r="30" spans="1:21" x14ac:dyDescent="0.2">
      <c r="A30" s="9" t="str">
        <f>A8</f>
        <v>GMED</v>
      </c>
      <c r="B30" s="9" t="str">
        <f t="shared" si="4"/>
        <v>MUSCULOSKELETAL SOLUTIONS</v>
      </c>
      <c r="C30" s="9" t="str">
        <f t="shared" si="4"/>
        <v>2017Q4</v>
      </c>
      <c r="D30" s="9">
        <f t="shared" si="4"/>
        <v>20180215</v>
      </c>
      <c r="E30" s="18">
        <f t="shared" ref="E30:E40" si="6">$S8/E8-1</f>
        <v>-8.8544719781527115E-2</v>
      </c>
      <c r="F30" s="18">
        <f t="shared" si="5"/>
        <v>-6.6991609867329882E-2</v>
      </c>
      <c r="G30" s="18">
        <f t="shared" si="5"/>
        <v>-6.3933127217904562E-2</v>
      </c>
      <c r="H30" s="18">
        <f t="shared" si="5"/>
        <v>-3.5763980528031203E-2</v>
      </c>
      <c r="I30" s="18">
        <f t="shared" si="5"/>
        <v>3.3030858767489901E-2</v>
      </c>
      <c r="J30" s="18">
        <f t="shared" si="5"/>
        <v>-4.6231773686731481E-2</v>
      </c>
      <c r="K30" s="18">
        <f t="shared" ref="K30:Q30" si="7">$S8/K8-1</f>
        <v>1.0216107600516944E-2</v>
      </c>
      <c r="L30" s="18">
        <f t="shared" si="7"/>
        <v>1.688072360498083E-2</v>
      </c>
      <c r="M30" s="18">
        <f t="shared" si="7"/>
        <v>-5.4911516930111204E-2</v>
      </c>
      <c r="N30" s="18">
        <f t="shared" si="7"/>
        <v>1.7505671086800678E-2</v>
      </c>
      <c r="O30" s="18">
        <f t="shared" si="7"/>
        <v>4.907524749849812E-2</v>
      </c>
      <c r="P30" s="18">
        <f t="shared" si="7"/>
        <v>6.9244416310367818E-3</v>
      </c>
      <c r="Q30" s="18">
        <f t="shared" si="7"/>
        <v>6.6222579908323809E-3</v>
      </c>
      <c r="R30" s="41">
        <f>$S8/R8-1</f>
        <v>1.6393442622950838E-2</v>
      </c>
    </row>
    <row r="31" spans="1:21" x14ac:dyDescent="0.2">
      <c r="A31" s="9" t="str">
        <f t="shared" ref="A31:D31" si="8">A9</f>
        <v>GMED</v>
      </c>
      <c r="B31" s="9" t="str">
        <f t="shared" si="8"/>
        <v>MUSCULOSKELETAL SOLUTIONS</v>
      </c>
      <c r="C31" s="9" t="str">
        <f t="shared" si="8"/>
        <v>2018Q1</v>
      </c>
      <c r="D31" s="9">
        <f t="shared" si="8"/>
        <v>20180426</v>
      </c>
      <c r="E31" s="18">
        <f t="shared" si="6"/>
        <v>-0.10742972497256775</v>
      </c>
      <c r="F31" s="18">
        <f t="shared" ref="F31:J31" si="9">$S9/F9-1</f>
        <v>-9.769985363667355E-2</v>
      </c>
      <c r="G31" s="18">
        <f t="shared" si="9"/>
        <v>5.1902173003640195E-2</v>
      </c>
      <c r="H31" s="18">
        <f t="shared" si="9"/>
        <v>-8.1988322246999701E-2</v>
      </c>
      <c r="I31" s="18">
        <f t="shared" si="9"/>
        <v>-7.187504973335701E-2</v>
      </c>
      <c r="J31" s="18">
        <f t="shared" si="9"/>
        <v>-6.4729906283268468E-2</v>
      </c>
      <c r="K31" s="18">
        <f t="shared" ref="K31:Q31" si="10">$S9/K9-1</f>
        <v>-2.0719617957025704E-2</v>
      </c>
      <c r="L31" s="18">
        <f t="shared" si="10"/>
        <v>-3.291314857841432E-2</v>
      </c>
      <c r="M31" s="18">
        <f t="shared" si="10"/>
        <v>0.12374682150354199</v>
      </c>
      <c r="N31" s="18">
        <f t="shared" si="10"/>
        <v>-4.7938824919941836E-2</v>
      </c>
      <c r="O31" s="18">
        <f t="shared" si="10"/>
        <v>-0.10155157284072824</v>
      </c>
      <c r="P31" s="18">
        <f t="shared" si="10"/>
        <v>-1.9394788048287537E-2</v>
      </c>
      <c r="Q31" s="18">
        <f t="shared" si="10"/>
        <v>-2.092486773947011E-2</v>
      </c>
      <c r="R31" s="41">
        <f t="shared" ref="R31:R38" si="11">$S9/R9-1</f>
        <v>2.7628549501151234E-2</v>
      </c>
    </row>
    <row r="32" spans="1:21" x14ac:dyDescent="0.2">
      <c r="A32" s="9" t="str">
        <f t="shared" ref="A32:D32" si="12">A10</f>
        <v>GMED</v>
      </c>
      <c r="B32" s="9" t="str">
        <f t="shared" si="12"/>
        <v>MUSCULOSKELETAL SOLUTIONS</v>
      </c>
      <c r="C32" s="9" t="str">
        <f t="shared" si="12"/>
        <v>2018Q2</v>
      </c>
      <c r="D32" s="9">
        <f t="shared" si="12"/>
        <v>20180726</v>
      </c>
      <c r="E32" s="18">
        <f t="shared" si="6"/>
        <v>-4.8625681239316432E-2</v>
      </c>
      <c r="F32" s="18">
        <f t="shared" ref="F32:J32" si="13">$S10/F10-1</f>
        <v>-4.4296112649020558E-2</v>
      </c>
      <c r="G32" s="18">
        <f t="shared" si="13"/>
        <v>2.7904618855818297E-2</v>
      </c>
      <c r="H32" s="18">
        <f t="shared" si="13"/>
        <v>-8.2121353977298361E-2</v>
      </c>
      <c r="I32" s="18">
        <f t="shared" si="13"/>
        <v>-0.10274701025383581</v>
      </c>
      <c r="J32" s="18">
        <f t="shared" si="13"/>
        <v>-5.2005931676684436E-2</v>
      </c>
      <c r="K32" s="18">
        <f t="shared" ref="K32:Q32" si="14">$S10/K10-1</f>
        <v>6.5881696241166132E-2</v>
      </c>
      <c r="L32" s="18">
        <f t="shared" si="14"/>
        <v>5.918622667068596E-2</v>
      </c>
      <c r="M32" s="18">
        <f t="shared" si="14"/>
        <v>-2.281348471721345E-2</v>
      </c>
      <c r="N32" s="18">
        <f t="shared" si="14"/>
        <v>-1.4491289547025055E-4</v>
      </c>
      <c r="O32" s="18">
        <f t="shared" si="14"/>
        <v>-3.3262720188278139E-2</v>
      </c>
      <c r="P32" s="18">
        <f t="shared" si="14"/>
        <v>1.3604599026597164E-2</v>
      </c>
      <c r="Q32" s="18">
        <f t="shared" si="14"/>
        <v>1.2352781782186462E-2</v>
      </c>
      <c r="R32" s="41">
        <f t="shared" si="11"/>
        <v>-6.7988668555240772E-2</v>
      </c>
    </row>
    <row r="33" spans="1:18" x14ac:dyDescent="0.2">
      <c r="A33" s="9" t="str">
        <f t="shared" ref="A33:D33" si="15">A11</f>
        <v>GMED</v>
      </c>
      <c r="B33" s="9" t="str">
        <f t="shared" si="15"/>
        <v>MUSCULOSKELETAL SOLUTIONS</v>
      </c>
      <c r="C33" s="9" t="str">
        <f t="shared" si="15"/>
        <v>2018Q3</v>
      </c>
      <c r="D33" s="9">
        <f t="shared" si="15"/>
        <v>20181101</v>
      </c>
      <c r="E33" s="18">
        <f t="shared" si="6"/>
        <v>-1.8819861167213237E-2</v>
      </c>
      <c r="F33" s="18">
        <f t="shared" ref="F33:J33" si="16">$S11/F11-1</f>
        <v>-1.3064971558376604E-2</v>
      </c>
      <c r="G33" s="18">
        <f t="shared" si="16"/>
        <v>3.8231948347761335E-2</v>
      </c>
      <c r="H33" s="18">
        <f t="shared" si="16"/>
        <v>-4.1226577391879071E-2</v>
      </c>
      <c r="I33" s="18">
        <f t="shared" si="16"/>
        <v>-5.2319972500761258E-2</v>
      </c>
      <c r="J33" s="18">
        <f t="shared" si="16"/>
        <v>-1.8415014250866668E-2</v>
      </c>
      <c r="K33" s="18">
        <f t="shared" ref="K33:Q33" si="17">$S11/K11-1</f>
        <v>3.1329224979427472E-2</v>
      </c>
      <c r="L33" s="18">
        <f t="shared" si="17"/>
        <v>3.267867956173176E-2</v>
      </c>
      <c r="M33" s="18">
        <f t="shared" si="17"/>
        <v>1.0046972552218536E-2</v>
      </c>
      <c r="N33" s="18">
        <f t="shared" si="17"/>
        <v>4.4553576622162749E-2</v>
      </c>
      <c r="O33" s="18">
        <f t="shared" si="17"/>
        <v>5.6201582306613984E-2</v>
      </c>
      <c r="P33" s="18">
        <f t="shared" si="17"/>
        <v>3.5433678910279154E-2</v>
      </c>
      <c r="Q33" s="18">
        <f t="shared" si="17"/>
        <v>3.4849325906328055E-2</v>
      </c>
      <c r="R33" s="41">
        <f t="shared" si="11"/>
        <v>-3.354746609564585E-2</v>
      </c>
    </row>
    <row r="34" spans="1:18" x14ac:dyDescent="0.2">
      <c r="A34" s="9" t="str">
        <f t="shared" ref="A34:D34" si="18">A12</f>
        <v>GMED</v>
      </c>
      <c r="B34" s="9" t="str">
        <f t="shared" si="18"/>
        <v>MUSCULOSKELETAL SOLUTIONS</v>
      </c>
      <c r="C34" s="9" t="str">
        <f t="shared" si="18"/>
        <v>2018Q4</v>
      </c>
      <c r="D34" s="9">
        <f t="shared" si="18"/>
        <v>20190214</v>
      </c>
      <c r="E34" s="18">
        <f t="shared" si="6"/>
        <v>1.7091985737919702E-2</v>
      </c>
      <c r="F34" s="18">
        <f t="shared" ref="F34:J34" si="19">$S12/F12-1</f>
        <v>3.8376216463992918E-2</v>
      </c>
      <c r="G34" s="18">
        <f t="shared" si="19"/>
        <v>8.8253212717971152E-2</v>
      </c>
      <c r="H34" s="18">
        <f t="shared" si="19"/>
        <v>6.2815860479338737E-2</v>
      </c>
      <c r="I34" s="18">
        <f t="shared" si="19"/>
        <v>6.6429613782450714E-2</v>
      </c>
      <c r="J34" s="18">
        <f t="shared" si="19"/>
        <v>5.4019273706134685E-2</v>
      </c>
      <c r="K34" s="18">
        <f t="shared" ref="K34:Q34" si="20">$S12/K12-1</f>
        <v>3.6600666364744905E-2</v>
      </c>
      <c r="L34" s="18">
        <f t="shared" si="20"/>
        <v>5.2122162594224086E-2</v>
      </c>
      <c r="M34" s="18">
        <f t="shared" si="20"/>
        <v>4.8179276750068833E-2</v>
      </c>
      <c r="N34" s="18">
        <f t="shared" si="20"/>
        <v>0.10851618893251591</v>
      </c>
      <c r="O34" s="18">
        <f t="shared" si="20"/>
        <v>0.12530557027414746</v>
      </c>
      <c r="P34" s="18">
        <f t="shared" si="20"/>
        <v>7.3793190613770765E-2</v>
      </c>
      <c r="Q34" s="18">
        <f t="shared" si="20"/>
        <v>7.3111203790698465E-2</v>
      </c>
      <c r="R34" s="41">
        <f t="shared" si="11"/>
        <v>-6.0377358490566024E-2</v>
      </c>
    </row>
    <row r="35" spans="1:18" x14ac:dyDescent="0.2">
      <c r="A35" s="9" t="str">
        <f t="shared" ref="A35:D35" si="21">A13</f>
        <v>GMED</v>
      </c>
      <c r="B35" s="9" t="str">
        <f t="shared" si="21"/>
        <v>MUSCULOSKELETAL SOLUTIONS</v>
      </c>
      <c r="C35" s="9" t="str">
        <f t="shared" si="21"/>
        <v>2019Q1</v>
      </c>
      <c r="D35" s="9">
        <f t="shared" si="21"/>
        <v>20190425</v>
      </c>
      <c r="E35" s="18">
        <f t="shared" si="6"/>
        <v>-2.0869252020178974E-2</v>
      </c>
      <c r="F35" s="18">
        <f t="shared" ref="F35:J35" si="22">$S13/F13-1</f>
        <v>-1.6911019163503793E-2</v>
      </c>
      <c r="G35" s="18">
        <f>$S13/G13-1</f>
        <v>4.5518721348114966E-2</v>
      </c>
      <c r="H35" s="18">
        <f t="shared" si="22"/>
        <v>-6.7876076794180618E-2</v>
      </c>
      <c r="I35" s="18">
        <f t="shared" si="22"/>
        <v>-5.7270786454365119E-2</v>
      </c>
      <c r="J35" s="18">
        <f t="shared" si="22"/>
        <v>-2.5065130897849897E-2</v>
      </c>
      <c r="K35" s="18">
        <f t="shared" ref="K35:Q35" si="23">$S13/K13-1</f>
        <v>-3.732330830485997E-2</v>
      </c>
      <c r="L35" s="18">
        <f t="shared" si="23"/>
        <v>-5.3243934857991726E-2</v>
      </c>
      <c r="M35" s="18">
        <f t="shared" si="23"/>
        <v>-3.9268886018837934E-2</v>
      </c>
      <c r="N35" s="18">
        <f t="shared" si="23"/>
        <v>-0.12296762038776543</v>
      </c>
      <c r="O35" s="18">
        <f t="shared" si="23"/>
        <v>-0.11599490359056208</v>
      </c>
      <c r="P35" s="18">
        <f t="shared" si="23"/>
        <v>-7.5031269898802377E-2</v>
      </c>
      <c r="Q35" s="18">
        <f t="shared" si="23"/>
        <v>-7.5276239675392875E-2</v>
      </c>
      <c r="R35" s="41">
        <f t="shared" si="11"/>
        <v>-7.8469520103761292E-2</v>
      </c>
    </row>
    <row r="36" spans="1:18" x14ac:dyDescent="0.2">
      <c r="A36" s="9" t="str">
        <f t="shared" ref="A36:D36" si="24">A14</f>
        <v>GMED</v>
      </c>
      <c r="B36" s="9" t="str">
        <f t="shared" si="24"/>
        <v>MUSCULOSKELETAL SOLUTIONS</v>
      </c>
      <c r="C36" s="9" t="str">
        <f t="shared" si="24"/>
        <v>2019Q2</v>
      </c>
      <c r="D36" s="9">
        <f t="shared" si="24"/>
        <v>20190725</v>
      </c>
      <c r="E36" s="18">
        <f t="shared" si="6"/>
        <v>2.1450025160734132E-3</v>
      </c>
      <c r="F36" s="18">
        <f t="shared" ref="F36:J36" si="25">$S14/F14-1</f>
        <v>3.5074002556486406E-2</v>
      </c>
      <c r="G36" s="18">
        <f>$S14/G14-1</f>
        <v>2.4802954163473112E-2</v>
      </c>
      <c r="H36" s="18">
        <f t="shared" si="25"/>
        <v>-5.8776626291190404E-4</v>
      </c>
      <c r="I36" s="18">
        <f t="shared" si="25"/>
        <v>3.3444803444756532E-2</v>
      </c>
      <c r="J36" s="18">
        <f t="shared" si="25"/>
        <v>1.8745509525388115E-2</v>
      </c>
      <c r="K36" s="18">
        <f t="shared" ref="K36:Q36" si="26">$S14/K14-1</f>
        <v>2.3504781750278037E-2</v>
      </c>
      <c r="L36" s="18">
        <f t="shared" si="26"/>
        <v>5.2879263966275847E-2</v>
      </c>
      <c r="M36" s="18">
        <f t="shared" si="26"/>
        <v>-1.9813865368121131E-2</v>
      </c>
      <c r="N36" s="18">
        <f t="shared" si="26"/>
        <v>7.218815959561109E-2</v>
      </c>
      <c r="O36" s="18">
        <f t="shared" si="26"/>
        <v>9.6226560708708275E-2</v>
      </c>
      <c r="P36" s="18">
        <f t="shared" si="26"/>
        <v>4.4936992010127241E-2</v>
      </c>
      <c r="Q36" s="18">
        <f t="shared" si="26"/>
        <v>4.3675430444258589E-2</v>
      </c>
      <c r="R36" s="41">
        <f t="shared" si="11"/>
        <v>-3.2615786040443573E-2</v>
      </c>
    </row>
    <row r="37" spans="1:18" x14ac:dyDescent="0.2">
      <c r="A37" s="9" t="str">
        <f t="shared" ref="A37:D37" si="27">A15</f>
        <v>GMED</v>
      </c>
      <c r="B37" s="9" t="str">
        <f t="shared" si="27"/>
        <v>MUSCULOSKELETAL SOLUTIONS</v>
      </c>
      <c r="C37" s="9" t="str">
        <f t="shared" si="27"/>
        <v>2019Q3</v>
      </c>
      <c r="D37" s="9">
        <f t="shared" si="27"/>
        <v>20191031</v>
      </c>
      <c r="E37" s="18">
        <f t="shared" si="6"/>
        <v>5.2779257946238944E-2</v>
      </c>
      <c r="F37" s="18">
        <f t="shared" ref="F37:J37" si="28">$S15/F15-1</f>
        <v>3.909379002402158E-2</v>
      </c>
      <c r="G37" s="18">
        <f t="shared" si="28"/>
        <v>9.9020728453977913E-3</v>
      </c>
      <c r="H37" s="18">
        <f t="shared" si="28"/>
        <v>1.7097797003791104E-2</v>
      </c>
      <c r="I37" s="18">
        <f t="shared" si="28"/>
        <v>9.7382862165199757E-2</v>
      </c>
      <c r="J37" s="18">
        <f t="shared" si="28"/>
        <v>4.2342581494405174E-2</v>
      </c>
      <c r="K37" s="18">
        <f t="shared" ref="K37:Q37" si="29">$S15/K15-1</f>
        <v>5.0525877296238475E-2</v>
      </c>
      <c r="L37" s="18">
        <f t="shared" si="29"/>
        <v>3.8835749498169481E-3</v>
      </c>
      <c r="M37" s="18">
        <f t="shared" si="29"/>
        <v>-1.4540240401862081E-2</v>
      </c>
      <c r="N37" s="18">
        <f t="shared" si="29"/>
        <v>1.769596435754206E-2</v>
      </c>
      <c r="O37" s="18">
        <f t="shared" si="29"/>
        <v>6.1868866636437536E-2</v>
      </c>
      <c r="P37" s="18">
        <f t="shared" si="29"/>
        <v>2.3162872128889678E-2</v>
      </c>
      <c r="Q37" s="18">
        <f t="shared" si="29"/>
        <v>2.310520437377428E-2</v>
      </c>
      <c r="R37" s="41">
        <f t="shared" si="11"/>
        <v>-3.3788174139051441E-2</v>
      </c>
    </row>
    <row r="38" spans="1:18" x14ac:dyDescent="0.2">
      <c r="A38" s="9" t="str">
        <f t="shared" ref="A38:D38" si="30">A16</f>
        <v>GMED</v>
      </c>
      <c r="B38" s="9" t="str">
        <f t="shared" si="30"/>
        <v>MUSCULOSKELETAL SOLUTIONS</v>
      </c>
      <c r="C38" s="9" t="str">
        <f t="shared" si="30"/>
        <v>2019Q4</v>
      </c>
      <c r="D38" s="9">
        <f t="shared" si="30"/>
        <v>20200213</v>
      </c>
      <c r="E38" s="18">
        <f t="shared" si="6"/>
        <v>-0.10387837464054639</v>
      </c>
      <c r="F38" s="18">
        <f t="shared" ref="F38:J38" si="31">$S16/F16-1</f>
        <v>-8.6459504463776704E-2</v>
      </c>
      <c r="G38" s="18">
        <f t="shared" ref="G38:G43" si="32">$S16/G16-1</f>
        <v>8.8781714214303253E-3</v>
      </c>
      <c r="H38" s="18">
        <f t="shared" si="31"/>
        <v>-7.878992296299836E-2</v>
      </c>
      <c r="I38" s="18">
        <f t="shared" si="31"/>
        <v>-1.5556255267463959E-2</v>
      </c>
      <c r="J38" s="18">
        <f t="shared" si="31"/>
        <v>-5.7153992335954973E-2</v>
      </c>
      <c r="K38" s="18">
        <f t="shared" ref="K38:Q38" si="33">$S16/K16-1</f>
        <v>-0.14880387451059118</v>
      </c>
      <c r="L38" s="18">
        <f t="shared" si="33"/>
        <v>-0.12082960719541569</v>
      </c>
      <c r="M38" s="18">
        <f t="shared" si="33"/>
        <v>-1.0138620877198079E-3</v>
      </c>
      <c r="N38" s="18">
        <f t="shared" si="33"/>
        <v>-9.4275811283103361E-2</v>
      </c>
      <c r="O38" s="18">
        <f t="shared" si="33"/>
        <v>-0.10291678622520872</v>
      </c>
      <c r="P38" s="18">
        <f t="shared" si="33"/>
        <v>-9.5454772352974504E-2</v>
      </c>
      <c r="Q38" s="18">
        <f t="shared" si="33"/>
        <v>-9.6060012970337727E-2</v>
      </c>
      <c r="R38" s="41">
        <f t="shared" si="11"/>
        <v>-8.0973952434881036E-2</v>
      </c>
    </row>
    <row r="39" spans="1:18" x14ac:dyDescent="0.2">
      <c r="A39" s="9" t="str">
        <f t="shared" ref="A39:D39" si="34">A17</f>
        <v>GMED</v>
      </c>
      <c r="B39" s="9" t="str">
        <f t="shared" si="34"/>
        <v>MUSCULOSKELETAL SOLUTIONS</v>
      </c>
      <c r="C39" s="9" t="str">
        <f t="shared" si="34"/>
        <v>2020Q1</v>
      </c>
      <c r="D39" s="9">
        <f t="shared" si="34"/>
        <v>20200430</v>
      </c>
      <c r="E39" s="18">
        <f t="shared" si="6"/>
        <v>-6.7142962462550471E-2</v>
      </c>
      <c r="F39" s="18">
        <f t="shared" ref="F39:J39" si="35">$S17/F17-1</f>
        <v>-6.8367104215689922E-2</v>
      </c>
      <c r="G39" s="18">
        <f t="shared" si="32"/>
        <v>5.3022982455510181E-2</v>
      </c>
      <c r="H39" s="18">
        <f t="shared" si="35"/>
        <v>-2.6173625907861875E-2</v>
      </c>
      <c r="I39" s="18">
        <f t="shared" si="35"/>
        <v>6.6606391373913443E-3</v>
      </c>
      <c r="J39" s="18">
        <f t="shared" si="35"/>
        <v>-2.2533955591399035E-2</v>
      </c>
      <c r="K39" s="18">
        <f t="shared" ref="K39:Q39" si="36">$S17/K17-1</f>
        <v>4.0993779346927939E-2</v>
      </c>
      <c r="L39" s="18">
        <f t="shared" si="36"/>
        <v>1.9804705250057841E-2</v>
      </c>
      <c r="M39" s="18">
        <f t="shared" si="36"/>
        <v>4.3756334793014107E-2</v>
      </c>
      <c r="N39" s="18">
        <f t="shared" si="36"/>
        <v>5.7116501834600708E-2</v>
      </c>
      <c r="O39" s="18">
        <f t="shared" si="36"/>
        <v>2.2567967467649996E-2</v>
      </c>
      <c r="P39" s="18">
        <f t="shared" si="36"/>
        <v>3.6718654438946174E-2</v>
      </c>
      <c r="Q39" s="18">
        <f t="shared" si="36"/>
        <v>3.6670501137026079E-2</v>
      </c>
      <c r="R39" s="41">
        <f t="shared" ref="R39" si="37">$S17/R17-1</f>
        <v>-4.0436456996148951E-2</v>
      </c>
    </row>
    <row r="40" spans="1:18" x14ac:dyDescent="0.2">
      <c r="A40" s="9" t="str">
        <f t="shared" ref="A40:D40" si="38">A18</f>
        <v>GMED</v>
      </c>
      <c r="B40" s="9" t="str">
        <f t="shared" si="38"/>
        <v>MUSCULOSKELETAL SOLUTIONS</v>
      </c>
      <c r="C40" s="9" t="str">
        <f t="shared" si="38"/>
        <v>2020Q2</v>
      </c>
      <c r="D40" s="9">
        <f t="shared" si="38"/>
        <v>20200730</v>
      </c>
      <c r="E40" s="18">
        <f t="shared" si="6"/>
        <v>-5.9333969010469279E-2</v>
      </c>
      <c r="F40" s="18">
        <f t="shared" ref="F40:I40" si="39">$S18/F18-1</f>
        <v>-6.532315811834899E-2</v>
      </c>
      <c r="G40" s="18">
        <f t="shared" si="32"/>
        <v>4.1857804199690873E-2</v>
      </c>
      <c r="H40" s="18">
        <f t="shared" si="39"/>
        <v>-6.4348191613233241E-2</v>
      </c>
      <c r="I40" s="18">
        <f t="shared" si="39"/>
        <v>-5.3862723398966583E-2</v>
      </c>
      <c r="J40" s="18">
        <f>$S18/J18-1</f>
        <v>-4.1868737400361344E-2</v>
      </c>
      <c r="K40" s="18">
        <f t="shared" ref="K40:Q40" si="40">$S18/K18-1</f>
        <v>8.3710505874461383E-3</v>
      </c>
      <c r="L40" s="18">
        <f t="shared" si="40"/>
        <v>3.2673235467692852E-3</v>
      </c>
      <c r="M40" s="18">
        <f t="shared" si="40"/>
        <v>-1.0602976802826847E-2</v>
      </c>
      <c r="N40" s="18">
        <f t="shared" si="40"/>
        <v>-3.9200587210384441E-2</v>
      </c>
      <c r="O40" s="18">
        <f t="shared" si="40"/>
        <v>-6.0122905558541162E-2</v>
      </c>
      <c r="P40" s="18">
        <f t="shared" si="40"/>
        <v>-1.9780515056827874E-2</v>
      </c>
      <c r="Q40" s="18">
        <f t="shared" si="40"/>
        <v>-2.0265308394772474E-2</v>
      </c>
      <c r="R40" s="41">
        <f>$S18/R18-1</f>
        <v>0.42530120481927702</v>
      </c>
    </row>
    <row r="41" spans="1:18" x14ac:dyDescent="0.2">
      <c r="A41" s="9" t="str">
        <f t="shared" ref="A41:D41" si="41">A19</f>
        <v>GMED</v>
      </c>
      <c r="B41" s="9" t="str">
        <f t="shared" si="41"/>
        <v>MUSCULOSKELETAL SOLUTIONS</v>
      </c>
      <c r="C41" s="9" t="str">
        <f t="shared" si="41"/>
        <v>2020Q3</v>
      </c>
      <c r="D41" s="9">
        <f t="shared" si="41"/>
        <v>20201022</v>
      </c>
      <c r="E41" s="18">
        <f t="shared" ref="E41:I41" si="42">$S19/E19-1</f>
        <v>0.10837027432438995</v>
      </c>
      <c r="F41" s="18">
        <f t="shared" si="42"/>
        <v>9.3029601553666907E-2</v>
      </c>
      <c r="G41" s="18">
        <f t="shared" si="32"/>
        <v>4.1746123575611804E-2</v>
      </c>
      <c r="H41" s="18">
        <f t="shared" si="42"/>
        <v>2.8696701044979234E-2</v>
      </c>
      <c r="I41" s="18">
        <f t="shared" si="42"/>
        <v>7.8237470150378297E-2</v>
      </c>
      <c r="J41" s="18">
        <f>$S19/J19-1</f>
        <v>6.9156470435684847E-2</v>
      </c>
      <c r="K41" s="18">
        <f t="shared" ref="K41:Q41" si="43">$S19/K19-1</f>
        <v>0.17828244861616094</v>
      </c>
      <c r="L41" s="18">
        <f t="shared" si="43"/>
        <v>0.16941979578014044</v>
      </c>
      <c r="M41" s="18">
        <f t="shared" si="43"/>
        <v>-1.0719372992062937E-4</v>
      </c>
      <c r="N41" s="18">
        <f t="shared" si="43"/>
        <v>9.9443929701411804E-2</v>
      </c>
      <c r="O41" s="18">
        <f t="shared" si="43"/>
        <v>0.13962053585279999</v>
      </c>
      <c r="P41" s="18">
        <f t="shared" si="43"/>
        <v>0.11587682415748346</v>
      </c>
      <c r="Q41" s="18">
        <f t="shared" si="43"/>
        <v>0.11376825512587896</v>
      </c>
      <c r="R41" s="41">
        <f>$S19/R19-1</f>
        <v>5.7282145033516141E-2</v>
      </c>
    </row>
    <row r="42" spans="1:18" x14ac:dyDescent="0.2">
      <c r="A42" s="9" t="str">
        <f t="shared" ref="A42:D42" si="44">A20</f>
        <v>GMED</v>
      </c>
      <c r="B42" s="9" t="str">
        <f t="shared" si="44"/>
        <v>MUSCULOSKELETAL SOLUTIONS</v>
      </c>
      <c r="C42" s="9" t="str">
        <f t="shared" si="44"/>
        <v>2020Q4</v>
      </c>
      <c r="D42" s="9">
        <f t="shared" si="44"/>
        <v>20210211</v>
      </c>
      <c r="E42" s="18">
        <f t="shared" ref="E42:J42" si="45">$S20/E20-1</f>
        <v>8.5439516156960771E-2</v>
      </c>
      <c r="F42" s="18">
        <f t="shared" si="45"/>
        <v>8.0006149807670734E-2</v>
      </c>
      <c r="G42" s="18">
        <f t="shared" si="32"/>
        <v>-1.291066771617233E-2</v>
      </c>
      <c r="H42" s="18">
        <f t="shared" si="45"/>
        <v>6.4031237947114628E-2</v>
      </c>
      <c r="I42" s="18">
        <f t="shared" si="45"/>
        <v>0.17708540119152461</v>
      </c>
      <c r="J42" s="18">
        <f t="shared" si="45"/>
        <v>7.5346511280241391E-2</v>
      </c>
      <c r="K42" s="18">
        <f t="shared" ref="K42:Q42" si="46">$S20/K20-1</f>
        <v>-2.0688716305935384E-2</v>
      </c>
      <c r="L42" s="18">
        <f t="shared" si="46"/>
        <v>-1.1915003699336291E-2</v>
      </c>
      <c r="M42" s="18">
        <f t="shared" si="46"/>
        <v>-5.2466517565896265E-2</v>
      </c>
      <c r="N42" s="18">
        <f t="shared" si="46"/>
        <v>3.4348838550994909E-2</v>
      </c>
      <c r="O42" s="18">
        <f t="shared" si="46"/>
        <v>9.167547388921693E-2</v>
      </c>
      <c r="P42" s="18">
        <f t="shared" si="46"/>
        <v>5.7896491446516318E-3</v>
      </c>
      <c r="Q42" s="18">
        <f t="shared" si="46"/>
        <v>5.763900992414861E-3</v>
      </c>
      <c r="R42" s="41">
        <f>$S20/R20-1</f>
        <v>-6.2306900102986562E-2</v>
      </c>
    </row>
    <row r="43" spans="1:18" x14ac:dyDescent="0.2">
      <c r="A43" s="9" t="str">
        <f t="shared" ref="A43:D44" si="47">A21</f>
        <v>GMED</v>
      </c>
      <c r="B43" s="9" t="str">
        <f t="shared" si="47"/>
        <v>MUSCULOSKELETAL SOLUTIONS</v>
      </c>
      <c r="C43" s="9" t="str">
        <f t="shared" si="47"/>
        <v>2021Q1</v>
      </c>
      <c r="D43" s="9">
        <f t="shared" si="47"/>
        <v>20210429</v>
      </c>
      <c r="E43" s="18">
        <f>$S21/E21-1</f>
        <v>-1.2422948197414074E-2</v>
      </c>
      <c r="F43" s="18">
        <f t="shared" ref="F43:J43" si="48">$S21/F21-1</f>
        <v>3.9811065923372135E-2</v>
      </c>
      <c r="G43" s="18">
        <f t="shared" si="32"/>
        <v>5.9280034241507851E-2</v>
      </c>
      <c r="H43" s="18">
        <f t="shared" si="48"/>
        <v>-2.2027411682584486E-2</v>
      </c>
      <c r="I43" s="18">
        <f t="shared" si="48"/>
        <v>0.13157948862793223</v>
      </c>
      <c r="J43" s="18">
        <f t="shared" si="48"/>
        <v>3.6360957115977754E-2</v>
      </c>
      <c r="K43" s="18">
        <f t="shared" ref="K43:Q43" si="49">$S21/K21-1</f>
        <v>-9.0159297591136833E-2</v>
      </c>
      <c r="L43" s="18">
        <f t="shared" si="49"/>
        <v>-3.7217458337118425E-2</v>
      </c>
      <c r="M43" s="18">
        <f t="shared" si="49"/>
        <v>7.3134922642363875E-2</v>
      </c>
      <c r="N43" s="18">
        <f t="shared" si="49"/>
        <v>-8.0879814953305318E-2</v>
      </c>
      <c r="O43" s="18">
        <f t="shared" si="49"/>
        <v>-3.8659822403309341E-2</v>
      </c>
      <c r="P43" s="18">
        <f t="shared" si="49"/>
        <v>-3.6253945826122513E-2</v>
      </c>
      <c r="Q43" s="18">
        <f t="shared" si="49"/>
        <v>-3.7756534103932871E-2</v>
      </c>
      <c r="R43" s="41">
        <f>$S21/R21-1</f>
        <v>8.1423401688781594E-2</v>
      </c>
    </row>
    <row r="44" spans="1:18" x14ac:dyDescent="0.2">
      <c r="A44" s="9" t="str">
        <f t="shared" si="47"/>
        <v>GMED</v>
      </c>
      <c r="B44" s="9" t="str">
        <f t="shared" si="47"/>
        <v>MUSCULOSKELETAL SOLUTIONS</v>
      </c>
      <c r="C44" s="9" t="str">
        <f t="shared" si="47"/>
        <v>2021Q2</v>
      </c>
      <c r="D44" s="9">
        <f t="shared" si="47"/>
        <v>20210729</v>
      </c>
      <c r="E44" s="18">
        <f>$S22/E22-1</f>
        <v>-1.4946699474182479E-2</v>
      </c>
      <c r="F44" s="18">
        <f t="shared" ref="F44:Q44" si="50">$S22/F22-1</f>
        <v>9.9964046497185155E-3</v>
      </c>
      <c r="G44" s="18">
        <f t="shared" si="50"/>
        <v>9.670413148019863E-3</v>
      </c>
      <c r="H44" s="18">
        <f t="shared" si="50"/>
        <v>1.1744699819836057E-2</v>
      </c>
      <c r="I44" s="18">
        <f t="shared" si="50"/>
        <v>0.14691571554445559</v>
      </c>
      <c r="J44" s="18">
        <f t="shared" si="50"/>
        <v>2.9655409461402105E-2</v>
      </c>
      <c r="K44" s="18">
        <f t="shared" si="50"/>
        <v>-2.5554980972494201E-3</v>
      </c>
      <c r="L44" s="18">
        <f t="shared" si="50"/>
        <v>-2.8673152508891242E-2</v>
      </c>
      <c r="M44" s="18">
        <f t="shared" si="50"/>
        <v>-4.6833339145309849E-2</v>
      </c>
      <c r="N44" s="18">
        <f t="shared" si="50"/>
        <v>3.4532779247448131E-2</v>
      </c>
      <c r="O44" s="18">
        <f t="shared" si="50"/>
        <v>1.3552938234254075E-2</v>
      </c>
      <c r="P44" s="18">
        <f t="shared" si="50"/>
        <v>-6.4702820079558521E-3</v>
      </c>
      <c r="Q44" s="18">
        <f t="shared" si="50"/>
        <v>-6.7831285936444941E-3</v>
      </c>
      <c r="R44" s="41">
        <f>$S22/R22-1</f>
        <v>0.10728402032749851</v>
      </c>
    </row>
    <row r="45" spans="1:18" x14ac:dyDescent="0.2">
      <c r="A45" s="175" t="s">
        <v>78</v>
      </c>
      <c r="B45" s="175"/>
      <c r="C45" s="171"/>
      <c r="D45" s="172"/>
      <c r="E45" s="74" cm="1">
        <f t="array" ref="E45">SUM(ABS(E28:E44))/COUNT(E28:E44)</f>
        <v>6.1128748977397673E-2</v>
      </c>
      <c r="F45" s="74" cm="1">
        <f t="array" ref="F45">SUM(ABS(F28:F44))/COUNT(F28:F44)</f>
        <v>5.8420957515949633E-2</v>
      </c>
      <c r="G45" s="109" cm="1">
        <f t="array" ref="G45">SUM(ABS(G28:G44))/COUNT(G28:G44)</f>
        <v>4.0300179373146276E-2</v>
      </c>
      <c r="H45" s="74" cm="1">
        <f t="array" ref="H45">SUM(ABS(H28:H44))/COUNT(H28:H44)</f>
        <v>4.9991439134508785E-2</v>
      </c>
      <c r="I45" s="74" cm="1">
        <f t="array" ref="I45">SUM(ABS(I28:I44))/COUNT(I28:I44)</f>
        <v>7.3848986775894757E-2</v>
      </c>
      <c r="J45" s="109" cm="1">
        <f t="array" ref="J45">SUM(ABS(J28:J44))/COUNT(J28:J44)</f>
        <v>4.8332999638556036E-2</v>
      </c>
      <c r="K45" s="74" cm="1">
        <f t="array" ref="K45">SUM(ABS(K28:K44))/COUNT(K28:K44)</f>
        <v>5.0456487615103025E-2</v>
      </c>
      <c r="L45" s="74" cm="1">
        <f t="array" ref="L45">SUM(ABS(L28:L44))/COUNT(L28:L44)</f>
        <v>4.5814977244527599E-2</v>
      </c>
      <c r="M45" s="109" cm="1">
        <f t="array" ref="M45">SUM(ABS(M28:M44))/COUNT(M28:M44)</f>
        <v>4.1186690873246626E-2</v>
      </c>
      <c r="N45" s="74" cm="1">
        <f t="array" ref="N45">SUM(ABS(N28:N44))/COUNT(N28:N44)</f>
        <v>5.8670849006908644E-2</v>
      </c>
      <c r="O45" s="74" cm="1">
        <f t="array" ref="O45">SUM(ABS(O28:O44))/COUNT(O28:O44)</f>
        <v>7.638733005371004E-2</v>
      </c>
      <c r="P45" s="74" cm="1">
        <f t="array" ref="P45">SUM(ABS(P28:P44))/COUNT(P28:P44)</f>
        <v>4.2450551668510798E-2</v>
      </c>
      <c r="Q45" s="109" cm="1">
        <f t="array" ref="Q45">SUM(ABS(Q28:Q44))/COUNT(Q28:Q44)</f>
        <v>4.2359953563283322E-2</v>
      </c>
      <c r="R45" s="74" cm="1">
        <f t="array" ref="R45">SUM(ABS(R28:R44))/COUNT(R28:R44)</f>
        <v>7.1807129335486122E-2</v>
      </c>
    </row>
    <row r="46" spans="1:18" x14ac:dyDescent="0.2">
      <c r="A46" s="176" t="s">
        <v>79</v>
      </c>
      <c r="B46" s="176"/>
      <c r="C46" s="173"/>
      <c r="D46" s="174"/>
      <c r="E46" s="75" cm="1">
        <f t="array" ref="E46">SQRT(SUM(POWER(E28:E44,2))/COUNT(E28:E44))</f>
        <v>7.3268965220796234E-2</v>
      </c>
      <c r="F46" s="75" cm="1">
        <f t="array" ref="F46">SQRT(SUM(POWER(F28:F44,2))/COUNT(F28:F44))</f>
        <v>6.6039075132292749E-2</v>
      </c>
      <c r="G46" s="110" cm="1">
        <f t="array" ref="G46">SQRT(SUM(POWER(G28:G44,2))/COUNT(G28:G44))</f>
        <v>4.8141651589600661E-2</v>
      </c>
      <c r="H46" s="75" cm="1">
        <f t="array" ref="H46">SQRT(SUM(POWER(H28:H44,2))/COUNT(H28:H44))</f>
        <v>5.8007580388941653E-2</v>
      </c>
      <c r="I46" s="75" cm="1">
        <f t="array" ref="I46">SQRT(SUM(POWER(I28:I44,2))/COUNT(I28:I44))</f>
        <v>8.7796958595888291E-2</v>
      </c>
      <c r="J46" s="110" cm="1">
        <f t="array" ref="J46">SQRT(SUM(POWER(J28:J44,2))/COUNT(J28:J44))</f>
        <v>5.3861065912691686E-2</v>
      </c>
      <c r="K46" s="75" cm="1">
        <f t="array" ref="K46">SQRT(SUM(POWER(K28:K44,2))/COUNT(K28:K44))</f>
        <v>6.9661796167743525E-2</v>
      </c>
      <c r="L46" s="75" cm="1">
        <f t="array" ref="L46">SQRT(SUM(POWER(L28:L44,2))/COUNT(L28:L44))</f>
        <v>6.2154344202349908E-2</v>
      </c>
      <c r="M46" s="110" cm="1">
        <f t="array" ref="M46">SQRT(SUM(POWER(M28:M44,2))/COUNT(M28:M44))</f>
        <v>5.3206768792008148E-2</v>
      </c>
      <c r="N46" s="75" cm="1">
        <f t="array" ref="N46">SQRT(SUM(POWER(N28:N44,2))/COUNT(N28:N44))</f>
        <v>6.8028786531907276E-2</v>
      </c>
      <c r="O46" s="75" cm="1">
        <f t="array" ref="O46">SQRT(SUM(POWER(O28:O44,2))/COUNT(O28:O44))</f>
        <v>8.5303058801543444E-2</v>
      </c>
      <c r="P46" s="75" cm="1">
        <f t="array" ref="P46">SQRT(SUM(POWER(P28:P44,2))/COUNT(P28:P44))</f>
        <v>5.3703989936808263E-2</v>
      </c>
      <c r="Q46" s="110" cm="1">
        <f t="array" ref="Q46">SQRT(SUM(POWER(Q28:Q44,2))/COUNT(Q28:Q44))</f>
        <v>5.3468370850882463E-2</v>
      </c>
      <c r="R46" s="75" cm="1">
        <f t="array" ref="R46">SQRT(SUM(POWER(R28:R44,2))/COUNT(R28:R44))</f>
        <v>0.11715050956498149</v>
      </c>
    </row>
    <row r="47" spans="1:18" x14ac:dyDescent="0.2">
      <c r="I47" s="3"/>
      <c r="J47" s="3"/>
      <c r="R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7"/>
  <sheetViews>
    <sheetView zoomScale="85" zoomScaleNormal="85" workbookViewId="0">
      <selection activeCell="E14" sqref="E14"/>
    </sheetView>
  </sheetViews>
  <sheetFormatPr defaultRowHeight="12.75" x14ac:dyDescent="0.2"/>
  <cols>
    <col min="1" max="1" width="9.140625" style="68"/>
    <col min="2" max="2" width="14.28515625" customWidth="1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147</v>
      </c>
    </row>
    <row r="4" spans="1:17" x14ac:dyDescent="0.2">
      <c r="A4" s="68" t="s">
        <v>101</v>
      </c>
      <c r="B4" t="s">
        <v>169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7" t="s">
        <v>83</v>
      </c>
      <c r="C7" s="177"/>
      <c r="D7" s="177" t="s">
        <v>112</v>
      </c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6"/>
      <c r="P7" s="6"/>
      <c r="Q7" s="6"/>
    </row>
    <row r="8" spans="1:17" ht="15" x14ac:dyDescent="0.2">
      <c r="A8" s="68" t="s">
        <v>60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8.4425596298408095E-2</v>
      </c>
      <c r="D9" s="2">
        <v>3.5038736485437087E-2</v>
      </c>
      <c r="E9" s="2">
        <v>3.9702823158823293E-2</v>
      </c>
      <c r="F9" s="2">
        <v>8.0073348587596321E-2</v>
      </c>
      <c r="G9" s="2">
        <v>5.258353182867552E-2</v>
      </c>
      <c r="H9" s="2">
        <v>4.0091712939314128E-2</v>
      </c>
      <c r="I9" s="2">
        <v>4.1791614397141727E-2</v>
      </c>
      <c r="J9" s="2">
        <v>5.2578402905680208E-2</v>
      </c>
      <c r="K9" s="2">
        <v>5.4811770556110077E-2</v>
      </c>
      <c r="L9" s="2">
        <v>5.557941602906373E-2</v>
      </c>
      <c r="M9" s="2">
        <v>0.21565219785673609</v>
      </c>
      <c r="O9" s="6"/>
      <c r="P9" s="6"/>
      <c r="Q9" s="6"/>
    </row>
    <row r="10" spans="1:17" ht="15" x14ac:dyDescent="0.2">
      <c r="B10" s="72" t="s">
        <v>97</v>
      </c>
      <c r="C10" s="2">
        <v>0.11373776024536141</v>
      </c>
      <c r="D10" s="2">
        <v>3.9970255535249188E-2</v>
      </c>
      <c r="E10" s="2">
        <v>4.473084817093223E-2</v>
      </c>
      <c r="F10" s="2">
        <v>0.10162703924355521</v>
      </c>
      <c r="G10" s="2">
        <v>7.4761262789152169E-2</v>
      </c>
      <c r="H10" s="2">
        <v>4.523097144950973E-2</v>
      </c>
      <c r="I10" s="2">
        <v>4.798071016607322E-2</v>
      </c>
      <c r="J10" s="2">
        <v>7.454713566714545E-2</v>
      </c>
      <c r="K10" s="2">
        <v>7.7459142850275511E-2</v>
      </c>
      <c r="L10" s="2">
        <v>6.4532347614973923E-2</v>
      </c>
      <c r="M10" s="2">
        <v>0.43103805134106088</v>
      </c>
      <c r="O10" s="6"/>
      <c r="P10" s="6"/>
      <c r="Q10" s="6"/>
    </row>
    <row r="11" spans="1:17" ht="15" x14ac:dyDescent="0.2">
      <c r="B11" s="72" t="s">
        <v>98</v>
      </c>
      <c r="C11" s="2">
        <v>2.4001948458300171E-2</v>
      </c>
      <c r="D11" s="2">
        <v>-3.5401967137656087E-2</v>
      </c>
      <c r="E11" s="2">
        <v>-4.2650387891420012E-2</v>
      </c>
      <c r="F11" s="2">
        <v>-4.6513326768874493E-2</v>
      </c>
      <c r="G11" s="2">
        <v>-2.5866079829466811E-2</v>
      </c>
      <c r="H11" s="2">
        <v>-4.3301610471222218E-2</v>
      </c>
      <c r="I11" s="2">
        <v>-4.4356269710672518E-2</v>
      </c>
      <c r="J11" s="2">
        <v>-2.6646054423559939E-2</v>
      </c>
      <c r="K11" s="2">
        <v>-2.6391199144719161E-2</v>
      </c>
      <c r="L11" s="2">
        <v>-4.595207004314722E-2</v>
      </c>
      <c r="M11" s="2">
        <v>-3.6524266206216127E-2</v>
      </c>
      <c r="O11" s="6"/>
      <c r="P11" s="6"/>
      <c r="Q11" s="6"/>
    </row>
    <row r="12" spans="1:17" x14ac:dyDescent="0.2">
      <c r="O12" s="6"/>
      <c r="P12" s="6"/>
      <c r="Q12" s="6"/>
    </row>
    <row r="13" spans="1:17" ht="15" x14ac:dyDescent="0.2">
      <c r="A13" s="68" t="s">
        <v>173</v>
      </c>
      <c r="B13" s="2"/>
      <c r="C13" s="112" t="s">
        <v>85</v>
      </c>
      <c r="D13" s="112" t="s">
        <v>86</v>
      </c>
      <c r="E13" s="112" t="s">
        <v>87</v>
      </c>
      <c r="F13" s="112" t="s">
        <v>88</v>
      </c>
      <c r="G13" s="112" t="s">
        <v>89</v>
      </c>
      <c r="H13" s="112" t="s">
        <v>90</v>
      </c>
      <c r="I13" s="112" t="s">
        <v>91</v>
      </c>
      <c r="J13" s="112" t="s">
        <v>92</v>
      </c>
      <c r="K13" s="112" t="s">
        <v>93</v>
      </c>
      <c r="L13" s="112" t="s">
        <v>94</v>
      </c>
      <c r="M13" s="112" t="s">
        <v>95</v>
      </c>
      <c r="O13" s="6"/>
      <c r="P13" s="6"/>
      <c r="Q13" s="6"/>
    </row>
    <row r="14" spans="1:17" ht="15" x14ac:dyDescent="0.2">
      <c r="B14" s="112" t="s">
        <v>96</v>
      </c>
      <c r="C14" s="2">
        <v>8.3662316245695256E-2</v>
      </c>
      <c r="D14" s="2">
        <v>3.4696178858160419E-2</v>
      </c>
      <c r="E14" s="2">
        <v>2.820669437907538E-2</v>
      </c>
      <c r="F14" s="2">
        <v>8.4966671341420691E-2</v>
      </c>
      <c r="G14" s="2">
        <v>4.5199680557354412E-2</v>
      </c>
      <c r="H14" s="2">
        <v>2.8816318753040669E-2</v>
      </c>
      <c r="I14" s="2">
        <v>3.0110721175774499E-2</v>
      </c>
      <c r="J14" s="2">
        <v>4.5315023022875697E-2</v>
      </c>
      <c r="K14" s="2">
        <v>4.6449769439827517E-2</v>
      </c>
      <c r="L14" s="2">
        <v>7.1339591451627368E-2</v>
      </c>
      <c r="M14" s="2">
        <v>0.1356887049679992</v>
      </c>
      <c r="O14" s="6"/>
      <c r="P14" s="6"/>
      <c r="Q14" s="6"/>
    </row>
    <row r="15" spans="1:17" ht="15" x14ac:dyDescent="0.2">
      <c r="B15" s="112" t="s">
        <v>97</v>
      </c>
      <c r="C15" s="2">
        <v>0.11596358753684979</v>
      </c>
      <c r="D15" s="2">
        <v>4.0170394102662238E-2</v>
      </c>
      <c r="E15" s="2">
        <v>3.2519279577168228E-2</v>
      </c>
      <c r="F15" s="2">
        <v>0.1046592260629069</v>
      </c>
      <c r="G15" s="2">
        <v>6.4188132728035641E-2</v>
      </c>
      <c r="H15" s="2">
        <v>3.3059978381054178E-2</v>
      </c>
      <c r="I15" s="2">
        <v>3.5073719151458987E-2</v>
      </c>
      <c r="J15" s="2">
        <v>6.4045698529028569E-2</v>
      </c>
      <c r="K15" s="2">
        <v>6.6302924960790446E-2</v>
      </c>
      <c r="L15" s="2">
        <v>0.104551927101504</v>
      </c>
      <c r="M15" s="2">
        <v>0.2516722655668962</v>
      </c>
      <c r="O15" s="6"/>
      <c r="P15" s="6"/>
      <c r="Q15" s="6"/>
    </row>
    <row r="16" spans="1:17" ht="15" x14ac:dyDescent="0.2">
      <c r="B16" s="112" t="s">
        <v>98</v>
      </c>
      <c r="C16" s="2">
        <v>2.3271276595744569E-2</v>
      </c>
      <c r="D16" s="2">
        <v>-3.2682179144384982E-2</v>
      </c>
      <c r="E16" s="2">
        <v>-2.3031231581628678E-2</v>
      </c>
      <c r="F16" s="2">
        <v>-5.5063419429487892E-2</v>
      </c>
      <c r="G16" s="2">
        <v>-1.9012572222130712E-2</v>
      </c>
      <c r="H16" s="2">
        <v>-2.4595027320489789E-2</v>
      </c>
      <c r="I16" s="2">
        <v>-2.3056131600084129E-2</v>
      </c>
      <c r="J16" s="2">
        <v>-2.0072289639994519E-2</v>
      </c>
      <c r="K16" s="2">
        <v>-1.9637095289304681E-2</v>
      </c>
      <c r="L16" s="2">
        <v>-4.3431145777888758E-2</v>
      </c>
      <c r="M16" s="2">
        <v>-5.3784620376068022E-2</v>
      </c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A22" s="68" t="s">
        <v>103</v>
      </c>
      <c r="B22" t="s">
        <v>139</v>
      </c>
      <c r="O22" s="6"/>
      <c r="P22" s="6"/>
      <c r="Q22" s="6"/>
    </row>
    <row r="23" spans="1:17" x14ac:dyDescent="0.2">
      <c r="B23" t="s">
        <v>140</v>
      </c>
      <c r="H23" s="69" t="s">
        <v>106</v>
      </c>
      <c r="O23" s="6"/>
      <c r="P23" s="6"/>
      <c r="Q23" s="6"/>
    </row>
    <row r="24" spans="1:17" x14ac:dyDescent="0.2">
      <c r="H24" s="69"/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8" t="s">
        <v>105</v>
      </c>
      <c r="B27" s="178" t="s">
        <v>108</v>
      </c>
      <c r="C27" s="178"/>
      <c r="D27" s="178"/>
      <c r="E27" s="178"/>
      <c r="F27" s="67" t="e">
        <f>#REF!+#REF!*'2. Past Proj &amp; Candidate Model'!R21</f>
        <v>#REF!</v>
      </c>
      <c r="G27" s="70" t="s">
        <v>109</v>
      </c>
      <c r="H27" s="2" t="e">
        <f>'2. Past Proj &amp; Candidate Model'!S21/'3. Improved Alpha Model'!F27-1</f>
        <v>#REF!</v>
      </c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B31" s="179" t="s">
        <v>159</v>
      </c>
      <c r="C31" s="179"/>
      <c r="D31" s="179"/>
      <c r="E31" s="3">
        <f>C9</f>
        <v>8.4425596298408095E-2</v>
      </c>
      <c r="F31" t="s">
        <v>110</v>
      </c>
      <c r="G31" s="179" t="s">
        <v>111</v>
      </c>
      <c r="H31" s="179"/>
      <c r="I31" s="3" t="e">
        <f>#REF!</f>
        <v>#REF!</v>
      </c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O33" s="6"/>
      <c r="P33" s="6"/>
      <c r="Q33" s="6"/>
    </row>
    <row r="34" spans="1:17" x14ac:dyDescent="0.2">
      <c r="A34" s="68" t="s">
        <v>107</v>
      </c>
      <c r="B34" t="s">
        <v>113</v>
      </c>
      <c r="O34" s="6"/>
      <c r="P34" s="6"/>
      <c r="Q34" s="6"/>
    </row>
    <row r="35" spans="1:17" x14ac:dyDescent="0.2">
      <c r="B35" t="s">
        <v>114</v>
      </c>
      <c r="O35" s="6"/>
      <c r="P35" s="6"/>
      <c r="Q35" s="6"/>
    </row>
    <row r="36" spans="1:17" x14ac:dyDescent="0.2">
      <c r="B36" t="s">
        <v>115</v>
      </c>
      <c r="O36" s="6"/>
      <c r="P36" s="6"/>
      <c r="Q36" s="6"/>
    </row>
    <row r="37" spans="1:17" x14ac:dyDescent="0.2">
      <c r="B37" t="s">
        <v>116</v>
      </c>
      <c r="O37" s="6"/>
      <c r="P37" s="6"/>
      <c r="Q37" s="6"/>
    </row>
    <row r="38" spans="1:17" x14ac:dyDescent="0.2">
      <c r="B38" t="s">
        <v>117</v>
      </c>
      <c r="O38" s="6"/>
      <c r="P38" s="6"/>
      <c r="Q38" s="6"/>
    </row>
    <row r="39" spans="1:17" x14ac:dyDescent="0.2">
      <c r="B39" t="s">
        <v>118</v>
      </c>
      <c r="O39" s="6"/>
      <c r="P39" s="6"/>
      <c r="Q39" s="6"/>
    </row>
    <row r="40" spans="1:17" x14ac:dyDescent="0.2">
      <c r="B40" t="s">
        <v>119</v>
      </c>
      <c r="O40" s="6"/>
      <c r="P40" s="6"/>
      <c r="Q40" s="6"/>
    </row>
    <row r="41" spans="1:17" x14ac:dyDescent="0.2">
      <c r="B41" t="s">
        <v>120</v>
      </c>
      <c r="O41" s="6"/>
      <c r="P41" s="6"/>
      <c r="Q41" s="6"/>
    </row>
    <row r="42" spans="1:17" x14ac:dyDescent="0.2">
      <c r="B42" t="s">
        <v>121</v>
      </c>
      <c r="O42" s="6"/>
      <c r="P42" s="6"/>
      <c r="Q42" s="6"/>
    </row>
    <row r="43" spans="1:17" x14ac:dyDescent="0.2">
      <c r="B43" t="s">
        <v>122</v>
      </c>
      <c r="O43" s="6"/>
      <c r="P43" s="6"/>
      <c r="Q43" s="6"/>
    </row>
    <row r="44" spans="1:17" x14ac:dyDescent="0.2">
      <c r="O44" s="6"/>
      <c r="P44" s="6"/>
      <c r="Q44" s="6"/>
    </row>
    <row r="45" spans="1:17" x14ac:dyDescent="0.2">
      <c r="O45" s="6"/>
      <c r="P45" s="6"/>
      <c r="Q45" s="6"/>
    </row>
    <row r="46" spans="1:17" x14ac:dyDescent="0.2">
      <c r="O46" s="6"/>
      <c r="P46" s="6"/>
    </row>
    <row r="47" spans="1:17" x14ac:dyDescent="0.2">
      <c r="O47" s="6"/>
      <c r="P47" s="6"/>
    </row>
  </sheetData>
  <mergeCells count="5">
    <mergeCell ref="D7:N7"/>
    <mergeCell ref="B7:C7"/>
    <mergeCell ref="B27:E27"/>
    <mergeCell ref="B31:D31"/>
    <mergeCell ref="G31:H31"/>
  </mergeCells>
  <conditionalFormatting sqref="C9:K9">
    <cfRule type="colorScale" priority="10">
      <colorScale>
        <cfvo type="min"/>
        <cfvo type="max"/>
        <color rgb="FF63BE7B"/>
        <color rgb="FFFCFCFF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9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K14">
    <cfRule type="colorScale" priority="6">
      <colorScale>
        <cfvo type="min"/>
        <cfvo type="max"/>
        <color rgb="FF63BE7B"/>
        <color rgb="FFFCFC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K15">
    <cfRule type="colorScale" priority="5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topLeftCell="A7" zoomScale="85" zoomScaleNormal="85" workbookViewId="0">
      <selection activeCell="C45" sqref="C45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8" t="s">
        <v>124</v>
      </c>
      <c r="B1" t="s">
        <v>84</v>
      </c>
    </row>
    <row r="2" spans="1:25" x14ac:dyDescent="0.2">
      <c r="A2" s="68" t="s">
        <v>99</v>
      </c>
      <c r="B2" s="76" t="s">
        <v>160</v>
      </c>
      <c r="C2" s="77" t="str">
        <f>F5</f>
        <v>LR_CON</v>
      </c>
      <c r="D2" t="s">
        <v>161</v>
      </c>
    </row>
    <row r="4" spans="1:25" x14ac:dyDescent="0.2">
      <c r="A4" s="68" t="s">
        <v>100</v>
      </c>
      <c r="B4" t="s">
        <v>123</v>
      </c>
    </row>
    <row r="5" spans="1:25" ht="15" x14ac:dyDescent="0.2">
      <c r="A5" s="68" t="s">
        <v>174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7.5296084621125733E-2</v>
      </c>
      <c r="D6" s="2">
        <v>3.5865914541765402E-2</v>
      </c>
      <c r="E6" s="2">
        <v>2.7937160701283721E-2</v>
      </c>
      <c r="F6" s="2">
        <v>7.984273245218601E-2</v>
      </c>
      <c r="G6" s="2">
        <v>4.2848379977433529E-2</v>
      </c>
      <c r="H6" s="2">
        <v>2.8502247261233869E-2</v>
      </c>
      <c r="I6" s="2">
        <v>2.9651054707330721E-2</v>
      </c>
      <c r="J6" s="2">
        <v>4.2952194954465367E-2</v>
      </c>
      <c r="K6" s="2">
        <v>4.3973529492192492E-2</v>
      </c>
      <c r="L6" s="2">
        <v>6.6475731020774448E-2</v>
      </c>
      <c r="M6" s="2">
        <v>0.12380825075486469</v>
      </c>
    </row>
    <row r="7" spans="1:25" ht="15" x14ac:dyDescent="0.2">
      <c r="B7" s="72" t="s">
        <v>97</v>
      </c>
      <c r="C7" s="2">
        <v>0.11001271867822821</v>
      </c>
      <c r="D7" s="2">
        <v>4.0835407694155293E-2</v>
      </c>
      <c r="E7" s="2">
        <v>3.1887868013739162E-2</v>
      </c>
      <c r="F7" s="2">
        <v>9.9859657511018635E-2</v>
      </c>
      <c r="G7" s="2">
        <v>6.1279163922227972E-2</v>
      </c>
      <c r="H7" s="2">
        <v>3.2397370521837707E-2</v>
      </c>
      <c r="I7" s="2">
        <v>3.4238076836589283E-2</v>
      </c>
      <c r="J7" s="2">
        <v>6.114489209566832E-2</v>
      </c>
      <c r="K7" s="2">
        <v>6.3273250857798197E-2</v>
      </c>
      <c r="L7" s="2">
        <v>9.944610799976783E-2</v>
      </c>
      <c r="M7" s="2">
        <v>0.23881696720603071</v>
      </c>
    </row>
    <row r="8" spans="1:25" ht="15" x14ac:dyDescent="0.2">
      <c r="B8" s="72" t="s">
        <v>98</v>
      </c>
      <c r="C8" s="2">
        <v>1.163563829787229E-2</v>
      </c>
      <c r="D8" s="2">
        <v>-3.6377700523201162E-2</v>
      </c>
      <c r="E8" s="2">
        <v>-2.3812646971707041E-2</v>
      </c>
      <c r="F8" s="2">
        <v>-4.7720988662539543E-2</v>
      </c>
      <c r="G8" s="2">
        <v>-2.0349623490138139E-2</v>
      </c>
      <c r="H8" s="2">
        <v>-2.4963918744425832E-2</v>
      </c>
      <c r="I8" s="2">
        <v>-2.3831170815377441E-2</v>
      </c>
      <c r="J8" s="2">
        <v>-2.0879515989383479E-2</v>
      </c>
      <c r="K8" s="2">
        <v>-2.0662232626390942E-2</v>
      </c>
      <c r="L8" s="2">
        <v>-3.9806388016352168E-2</v>
      </c>
      <c r="M8" s="2">
        <v>-4.573489506047318E-2</v>
      </c>
    </row>
    <row r="10" spans="1:25" ht="15" x14ac:dyDescent="0.2">
      <c r="A10" s="68" t="s">
        <v>101</v>
      </c>
      <c r="B10" s="73" t="s">
        <v>162</v>
      </c>
    </row>
    <row r="12" spans="1:25" x14ac:dyDescent="0.2">
      <c r="A12" s="68" t="s">
        <v>102</v>
      </c>
      <c r="B12" t="s">
        <v>138</v>
      </c>
    </row>
    <row r="13" spans="1:25" ht="15" x14ac:dyDescent="0.2">
      <c r="B13" s="72" t="s">
        <v>125</v>
      </c>
      <c r="C13" s="72" t="s">
        <v>126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127</v>
      </c>
      <c r="P13" s="72" t="s">
        <v>128</v>
      </c>
      <c r="Q13" s="72" t="s">
        <v>129</v>
      </c>
      <c r="R13" s="72" t="s">
        <v>130</v>
      </c>
      <c r="S13" s="72" t="s">
        <v>131</v>
      </c>
      <c r="T13" s="72" t="s">
        <v>132</v>
      </c>
      <c r="U13" s="72" t="s">
        <v>133</v>
      </c>
      <c r="V13" s="72" t="s">
        <v>134</v>
      </c>
      <c r="W13" s="72" t="s">
        <v>135</v>
      </c>
      <c r="X13" s="72" t="s">
        <v>136</v>
      </c>
      <c r="Y13" s="72" t="s">
        <v>137</v>
      </c>
    </row>
    <row r="14" spans="1:25" x14ac:dyDescent="0.2">
      <c r="B14" t="s">
        <v>168</v>
      </c>
      <c r="C14">
        <v>125.9</v>
      </c>
      <c r="D14">
        <v>126.3</v>
      </c>
      <c r="E14">
        <v>127.11339700000001</v>
      </c>
    </row>
    <row r="15" spans="1:25" x14ac:dyDescent="0.2">
      <c r="B15" t="s">
        <v>166</v>
      </c>
      <c r="C15">
        <v>137.1</v>
      </c>
      <c r="D15">
        <v>134.19999999999999</v>
      </c>
      <c r="E15">
        <v>145.71608499999999</v>
      </c>
    </row>
    <row r="16" spans="1:25" x14ac:dyDescent="0.2">
      <c r="B16" t="s">
        <v>42</v>
      </c>
      <c r="C16">
        <v>132.9</v>
      </c>
      <c r="D16">
        <v>130.30000000000001</v>
      </c>
      <c r="E16">
        <v>127.293206</v>
      </c>
    </row>
    <row r="17" spans="2:25" x14ac:dyDescent="0.2">
      <c r="B17" t="s">
        <v>43</v>
      </c>
      <c r="C17">
        <v>131.6</v>
      </c>
      <c r="D17">
        <v>141.19999999999999</v>
      </c>
      <c r="E17">
        <v>128.02744300000001</v>
      </c>
    </row>
    <row r="18" spans="2:25" x14ac:dyDescent="0.2">
      <c r="B18" t="s">
        <v>44</v>
      </c>
      <c r="C18">
        <v>135.5</v>
      </c>
      <c r="D18">
        <v>140.1</v>
      </c>
      <c r="E18">
        <v>130.414018</v>
      </c>
    </row>
    <row r="19" spans="2:25" x14ac:dyDescent="0.2">
      <c r="B19" t="s">
        <v>45</v>
      </c>
      <c r="C19">
        <v>150.30000000000001</v>
      </c>
      <c r="D19">
        <v>159</v>
      </c>
      <c r="E19">
        <v>137.28422599999999</v>
      </c>
    </row>
    <row r="20" spans="2:25" x14ac:dyDescent="0.2">
      <c r="B20" t="s">
        <v>46</v>
      </c>
      <c r="C20">
        <v>141.30000000000001</v>
      </c>
      <c r="D20">
        <v>154.19999999999999</v>
      </c>
      <c r="E20">
        <v>135.91339600000001</v>
      </c>
    </row>
    <row r="21" spans="2:25" x14ac:dyDescent="0.2">
      <c r="B21" t="s">
        <v>47</v>
      </c>
      <c r="C21">
        <v>149.6</v>
      </c>
      <c r="D21">
        <v>153.30000000000001</v>
      </c>
      <c r="E21">
        <v>144.710746</v>
      </c>
      <c r="F21">
        <v>144.07911933201541</v>
      </c>
      <c r="G21">
        <v>143.55936773881959</v>
      </c>
      <c r="H21">
        <v>146.75571919556921</v>
      </c>
      <c r="I21">
        <v>143.81993185893089</v>
      </c>
      <c r="J21">
        <v>141.52468218442451</v>
      </c>
      <c r="K21">
        <v>146.59718546985681</v>
      </c>
      <c r="L21">
        <v>146.66229054472001</v>
      </c>
      <c r="M21">
        <v>139.6113555641509</v>
      </c>
      <c r="N21">
        <v>141.0635267528269</v>
      </c>
      <c r="O21" s="2">
        <v>2.4732620320855769E-2</v>
      </c>
      <c r="P21" s="2">
        <v>-3.2682179144384982E-2</v>
      </c>
      <c r="Q21" s="2">
        <v>-3.6904282540003767E-2</v>
      </c>
      <c r="R21" s="2">
        <v>-4.0378557895591187E-2</v>
      </c>
      <c r="S21" s="2">
        <v>-1.9012572222130712E-2</v>
      </c>
      <c r="T21" s="2">
        <v>-3.8636819124793553E-2</v>
      </c>
      <c r="U21" s="2">
        <v>-5.3979397162937537E-2</v>
      </c>
      <c r="V21" s="2">
        <v>-2.0072289639994519E-2</v>
      </c>
      <c r="W21" s="2">
        <v>-1.9637095289304681E-2</v>
      </c>
      <c r="X21" s="2">
        <v>-6.6769013608616756E-2</v>
      </c>
      <c r="Y21" s="2">
        <v>-5.7061986946344352E-2</v>
      </c>
    </row>
    <row r="22" spans="2:25" x14ac:dyDescent="0.2">
      <c r="B22" t="s">
        <v>48</v>
      </c>
      <c r="C22">
        <v>150.4</v>
      </c>
      <c r="D22">
        <v>153.9</v>
      </c>
      <c r="E22">
        <v>147.24199899999999</v>
      </c>
      <c r="F22">
        <v>148.2065553861282</v>
      </c>
      <c r="G22">
        <v>145.41570070719669</v>
      </c>
      <c r="H22">
        <v>149.23473156296271</v>
      </c>
      <c r="I22">
        <v>147.9613796953906</v>
      </c>
      <c r="J22">
        <v>148.20404931453959</v>
      </c>
      <c r="K22">
        <v>149.102049637584</v>
      </c>
      <c r="L22">
        <v>149.23228787075971</v>
      </c>
      <c r="M22">
        <v>139.84223238251661</v>
      </c>
      <c r="N22">
        <v>131.33109536361741</v>
      </c>
      <c r="O22" s="2">
        <v>2.3271276595744569E-2</v>
      </c>
      <c r="P22" s="2">
        <v>-2.0997347074468209E-2</v>
      </c>
      <c r="Q22" s="2">
        <v>-1.4584073230530461E-2</v>
      </c>
      <c r="R22" s="2">
        <v>-3.3140287851086032E-2</v>
      </c>
      <c r="S22" s="2">
        <v>-7.7477954590249309E-3</v>
      </c>
      <c r="T22" s="2">
        <v>-1.621423074873252E-2</v>
      </c>
      <c r="U22" s="2">
        <v>-1.460073594056133E-2</v>
      </c>
      <c r="V22" s="2">
        <v>-8.6299891118083449E-3</v>
      </c>
      <c r="W22" s="2">
        <v>-7.7640434125021418E-3</v>
      </c>
      <c r="X22" s="2">
        <v>-7.0197922988586403E-2</v>
      </c>
      <c r="Y22" s="2">
        <v>-0.12678792976318251</v>
      </c>
    </row>
    <row r="23" spans="2:25" x14ac:dyDescent="0.2">
      <c r="B23" t="s">
        <v>49</v>
      </c>
      <c r="C23">
        <v>164.3</v>
      </c>
      <c r="D23">
        <v>176.6</v>
      </c>
      <c r="E23">
        <v>160.87175300000001</v>
      </c>
      <c r="F23">
        <v>160.51596865113839</v>
      </c>
      <c r="G23">
        <v>161.9577500628051</v>
      </c>
      <c r="H23">
        <v>167.2996283139652</v>
      </c>
      <c r="I23">
        <v>160.13781928933821</v>
      </c>
      <c r="J23">
        <v>160.51187757810621</v>
      </c>
      <c r="K23">
        <v>167.0751957783049</v>
      </c>
      <c r="L23">
        <v>166.07239322520169</v>
      </c>
      <c r="M23">
        <v>118.04603007284091</v>
      </c>
      <c r="N23">
        <v>164.20870173664301</v>
      </c>
      <c r="O23" s="2">
        <v>7.4863055386487964E-2</v>
      </c>
      <c r="P23" s="2">
        <v>-2.086577601947659E-2</v>
      </c>
      <c r="Q23" s="2">
        <v>-2.3031231581628678E-2</v>
      </c>
      <c r="R23" s="2">
        <v>-1.425593388432711E-2</v>
      </c>
      <c r="S23" s="2">
        <v>1.8257019561565221E-2</v>
      </c>
      <c r="T23" s="2">
        <v>-2.533281016836186E-2</v>
      </c>
      <c r="U23" s="2">
        <v>-2.3056131600084129E-2</v>
      </c>
      <c r="V23" s="2">
        <v>1.6891027256876742E-2</v>
      </c>
      <c r="W23" s="2">
        <v>1.0787542454057549E-2</v>
      </c>
      <c r="X23" s="2">
        <v>-0.28152142378063938</v>
      </c>
      <c r="Y23" s="2">
        <v>-5.5568023954366552E-4</v>
      </c>
    </row>
    <row r="24" spans="2:25" x14ac:dyDescent="0.2">
      <c r="B24" t="s">
        <v>50</v>
      </c>
      <c r="C24">
        <v>151.9</v>
      </c>
      <c r="D24">
        <v>155.80000000000001</v>
      </c>
      <c r="E24">
        <v>141.97220999999999</v>
      </c>
      <c r="F24">
        <v>145.1386405943573</v>
      </c>
      <c r="G24">
        <v>148.26173030214201</v>
      </c>
      <c r="H24">
        <v>147.68951199932559</v>
      </c>
      <c r="I24">
        <v>145.1386112222612</v>
      </c>
      <c r="J24">
        <v>145.13832291603359</v>
      </c>
      <c r="K24">
        <v>147.67258589292879</v>
      </c>
      <c r="L24">
        <v>147.68913146834561</v>
      </c>
      <c r="M24">
        <v>145.30280895633871</v>
      </c>
      <c r="N24">
        <v>146.17562271575301</v>
      </c>
      <c r="O24" s="2">
        <v>2.5674786043449641E-2</v>
      </c>
      <c r="P24" s="2">
        <v>-6.5357406188281897E-2</v>
      </c>
      <c r="Q24" s="2">
        <v>-4.4511911821215833E-2</v>
      </c>
      <c r="R24" s="2">
        <v>-2.3951742579710441E-2</v>
      </c>
      <c r="S24" s="2">
        <v>-2.7718815014314391E-2</v>
      </c>
      <c r="T24" s="2">
        <v>-4.4512105185904087E-2</v>
      </c>
      <c r="U24" s="2">
        <v>-4.4514003186085338E-2</v>
      </c>
      <c r="V24" s="2">
        <v>-2.7830244286183081E-2</v>
      </c>
      <c r="W24" s="2">
        <v>-2.7721320155723261E-2</v>
      </c>
      <c r="X24" s="2">
        <v>-4.3431145777888758E-2</v>
      </c>
      <c r="Y24" s="2">
        <v>-3.7685169744878337E-2</v>
      </c>
    </row>
    <row r="25" spans="2:25" x14ac:dyDescent="0.2">
      <c r="B25" t="s">
        <v>51</v>
      </c>
      <c r="C25">
        <v>118.3</v>
      </c>
      <c r="D25">
        <v>83</v>
      </c>
      <c r="E25">
        <v>113.54716500000001</v>
      </c>
      <c r="F25">
        <v>118.9839345740717</v>
      </c>
      <c r="G25">
        <v>95.543028240260782</v>
      </c>
      <c r="H25">
        <v>99.587899045370435</v>
      </c>
      <c r="I25">
        <v>118.9841477406772</v>
      </c>
      <c r="J25">
        <v>118.9864187237368</v>
      </c>
      <c r="K25">
        <v>99.717428284506468</v>
      </c>
      <c r="L25">
        <v>99.590516036247749</v>
      </c>
      <c r="M25">
        <v>114.5218421934885</v>
      </c>
      <c r="N25">
        <v>32.759820646037042</v>
      </c>
      <c r="O25" s="2">
        <v>-0.2983939137785292</v>
      </c>
      <c r="P25" s="2">
        <v>-4.0176120033812213E-2</v>
      </c>
      <c r="Q25" s="2">
        <v>5.7813573463374457E-3</v>
      </c>
      <c r="R25" s="2">
        <v>-0.19236662518799</v>
      </c>
      <c r="S25" s="2">
        <v>-0.1581749869368517</v>
      </c>
      <c r="T25" s="2">
        <v>5.7831592618531316E-3</v>
      </c>
      <c r="U25" s="2">
        <v>5.802356075544024E-3</v>
      </c>
      <c r="V25" s="2">
        <v>-0.15708006521972551</v>
      </c>
      <c r="W25" s="2">
        <v>-0.1581528652895372</v>
      </c>
      <c r="X25" s="2">
        <v>-3.193709050305571E-2</v>
      </c>
      <c r="Y25" s="2">
        <v>-0.72307843917128456</v>
      </c>
    </row>
    <row r="26" spans="2:25" x14ac:dyDescent="0.2">
      <c r="B26" t="s">
        <v>52</v>
      </c>
      <c r="C26">
        <v>173.5</v>
      </c>
      <c r="D26">
        <v>164.1</v>
      </c>
      <c r="E26">
        <v>166.54729599999999</v>
      </c>
      <c r="F26">
        <v>169.2329301802302</v>
      </c>
      <c r="G26">
        <v>151.77743631953979</v>
      </c>
      <c r="H26">
        <v>162.2285292453661</v>
      </c>
      <c r="I26">
        <v>169.232762759895</v>
      </c>
      <c r="J26">
        <v>169.23082255967859</v>
      </c>
      <c r="K26">
        <v>162.05942649458319</v>
      </c>
      <c r="L26">
        <v>159.08206785303861</v>
      </c>
      <c r="M26">
        <v>167.2224871507895</v>
      </c>
      <c r="N26">
        <v>168.81396013969999</v>
      </c>
      <c r="O26" s="2">
        <v>-5.4178674351585077E-2</v>
      </c>
      <c r="P26" s="2">
        <v>-4.0073221902017342E-2</v>
      </c>
      <c r="Q26" s="2">
        <v>-2.4594062361785411E-2</v>
      </c>
      <c r="R26" s="2">
        <v>-0.1252020961409808</v>
      </c>
      <c r="S26" s="2">
        <v>-6.496524930624703E-2</v>
      </c>
      <c r="T26" s="2">
        <v>-2.4595027320489789E-2</v>
      </c>
      <c r="U26" s="2">
        <v>-2.4606210030670761E-2</v>
      </c>
      <c r="V26" s="2">
        <v>-6.5939904930355953E-2</v>
      </c>
      <c r="W26" s="2">
        <v>-8.3100473469518432E-2</v>
      </c>
      <c r="X26" s="2">
        <v>-3.6181630254815578E-2</v>
      </c>
      <c r="Y26" s="2">
        <v>-2.7008875275504111E-2</v>
      </c>
    </row>
    <row r="27" spans="2:25" x14ac:dyDescent="0.2">
      <c r="B27" t="s">
        <v>53</v>
      </c>
      <c r="C27">
        <v>182.1</v>
      </c>
      <c r="D27">
        <v>194.2</v>
      </c>
      <c r="E27">
        <v>184.48178300000001</v>
      </c>
      <c r="F27">
        <v>188.7778319344684</v>
      </c>
      <c r="G27">
        <v>172.07295132189029</v>
      </c>
      <c r="H27">
        <v>187.0175957263389</v>
      </c>
      <c r="I27">
        <v>188.77765169510431</v>
      </c>
      <c r="J27">
        <v>188.7754884364453</v>
      </c>
      <c r="K27">
        <v>186.8495764639076</v>
      </c>
      <c r="L27">
        <v>187.0173885272209</v>
      </c>
      <c r="M27">
        <v>190.32995626709291</v>
      </c>
      <c r="N27">
        <v>207.788089770906</v>
      </c>
      <c r="O27" s="2">
        <v>6.6447007138934699E-2</v>
      </c>
      <c r="P27" s="2">
        <v>1.307953322350364E-2</v>
      </c>
      <c r="Q27" s="2">
        <v>3.6671235224977387E-2</v>
      </c>
      <c r="R27" s="2">
        <v>-5.5063419429487892E-2</v>
      </c>
      <c r="S27" s="2">
        <v>2.7004918870614288E-2</v>
      </c>
      <c r="T27" s="2">
        <v>3.6670245442637528E-2</v>
      </c>
      <c r="U27" s="2">
        <v>3.6658365933252453E-2</v>
      </c>
      <c r="V27" s="2">
        <v>2.6082243074725842E-2</v>
      </c>
      <c r="W27" s="2">
        <v>2.7003781039104391E-2</v>
      </c>
      <c r="X27" s="2">
        <v>4.5194707672119312E-2</v>
      </c>
      <c r="Y27" s="2">
        <v>0.14106584168537101</v>
      </c>
    </row>
    <row r="28" spans="2:25" x14ac:dyDescent="0.2">
      <c r="B28" t="s">
        <v>54</v>
      </c>
      <c r="C28">
        <v>181.9</v>
      </c>
      <c r="D28">
        <v>165.8</v>
      </c>
      <c r="E28">
        <v>169.26591099999999</v>
      </c>
      <c r="F28">
        <v>171.371731630657</v>
      </c>
      <c r="G28">
        <v>157.46555135493131</v>
      </c>
      <c r="H28">
        <v>168.41886938969651</v>
      </c>
      <c r="I28">
        <v>171.3149821341859</v>
      </c>
      <c r="J28">
        <v>171.370880405582</v>
      </c>
      <c r="K28">
        <v>168.33437952931871</v>
      </c>
      <c r="L28">
        <v>168.42083334569139</v>
      </c>
      <c r="M28">
        <v>171.27638506128491</v>
      </c>
      <c r="N28">
        <v>172.0465131053644</v>
      </c>
      <c r="O28" s="2">
        <v>-8.8510170423309442E-2</v>
      </c>
      <c r="P28" s="2">
        <v>-6.9456234194612554E-2</v>
      </c>
      <c r="Q28" s="2">
        <v>-5.7879430287757112E-2</v>
      </c>
      <c r="R28" s="2">
        <v>-0.13432901948910789</v>
      </c>
      <c r="S28" s="2">
        <v>-7.4112867566264562E-2</v>
      </c>
      <c r="T28" s="2">
        <v>-5.8191412126520792E-2</v>
      </c>
      <c r="U28" s="2">
        <v>-5.788410991983528E-2</v>
      </c>
      <c r="V28" s="2">
        <v>-7.4577352779996331E-2</v>
      </c>
      <c r="W28" s="2">
        <v>-7.4102070666897002E-2</v>
      </c>
      <c r="X28" s="2">
        <v>-5.8403600542688998E-2</v>
      </c>
      <c r="Y28" s="2">
        <v>-5.4169801509816429E-2</v>
      </c>
    </row>
    <row r="29" spans="2:25" x14ac:dyDescent="0.2">
      <c r="B29" t="s">
        <v>55</v>
      </c>
      <c r="C29">
        <v>196.1</v>
      </c>
      <c r="D29">
        <v>177.1</v>
      </c>
      <c r="E29">
        <v>194.22179499999999</v>
      </c>
      <c r="F29">
        <v>198.04191260992039</v>
      </c>
      <c r="G29">
        <v>167.4669762795956</v>
      </c>
      <c r="H29">
        <v>194.17765129447341</v>
      </c>
      <c r="I29">
        <v>197.94550874796209</v>
      </c>
      <c r="J29">
        <v>198.04044494174121</v>
      </c>
      <c r="K29">
        <v>193.99543697329119</v>
      </c>
      <c r="L29">
        <v>194.18239042304839</v>
      </c>
      <c r="M29">
        <v>194.44887958570419</v>
      </c>
      <c r="N29">
        <v>185.55283594425299</v>
      </c>
      <c r="O29" s="2">
        <v>-9.6889342172361004E-2</v>
      </c>
      <c r="P29" s="2">
        <v>-9.5777919428863267E-3</v>
      </c>
      <c r="Q29" s="2">
        <v>9.9026650174423025E-3</v>
      </c>
      <c r="R29" s="2">
        <v>-0.1460123596145049</v>
      </c>
      <c r="S29" s="2">
        <v>-9.802900079176835E-3</v>
      </c>
      <c r="T29" s="2">
        <v>9.4110593980727408E-3</v>
      </c>
      <c r="U29" s="2">
        <v>9.8951807329996644E-3</v>
      </c>
      <c r="V29" s="2">
        <v>-1.073209090621496E-2</v>
      </c>
      <c r="W29" s="2">
        <v>-9.778733181803001E-3</v>
      </c>
      <c r="X29" s="2">
        <v>-8.4197879362354344E-3</v>
      </c>
      <c r="Y29" s="2">
        <v>-5.3784620376068022E-2</v>
      </c>
    </row>
    <row r="30" spans="2:25" x14ac:dyDescent="0.2">
      <c r="B30" t="s">
        <v>71</v>
      </c>
      <c r="C30">
        <v>177.9</v>
      </c>
      <c r="D30">
        <v>177.9</v>
      </c>
      <c r="E30">
        <v>169.64659</v>
      </c>
      <c r="F30">
        <v>173.36152948275401</v>
      </c>
      <c r="G30">
        <v>171.89991645230981</v>
      </c>
      <c r="H30">
        <v>174.04194056052589</v>
      </c>
      <c r="I30">
        <v>173.33231007775839</v>
      </c>
      <c r="J30">
        <v>173.36104935019119</v>
      </c>
      <c r="K30">
        <v>174.04192853793239</v>
      </c>
      <c r="L30">
        <v>174.0418168834974</v>
      </c>
      <c r="M30">
        <v>173.8614943872428</v>
      </c>
      <c r="N30">
        <v>174.8963074313593</v>
      </c>
      <c r="O30" s="2">
        <v>0</v>
      </c>
      <c r="P30" s="2">
        <v>-4.6393535694210231E-2</v>
      </c>
      <c r="Q30" s="2">
        <v>-2.5511357601158861E-2</v>
      </c>
      <c r="R30" s="2">
        <v>-3.372728244907397E-2</v>
      </c>
      <c r="S30" s="2">
        <v>-2.168667475814556E-2</v>
      </c>
      <c r="T30" s="2">
        <v>-2.567560383497269E-2</v>
      </c>
      <c r="U30" s="2">
        <v>-2.551405649133676E-2</v>
      </c>
      <c r="V30" s="2">
        <v>-2.1686742338772439E-2</v>
      </c>
      <c r="W30" s="2">
        <v>-2.1687369963477199E-2</v>
      </c>
      <c r="X30" s="2">
        <v>-2.2700987143098209E-2</v>
      </c>
      <c r="Y30" s="2">
        <v>-1.6884162836653949E-2</v>
      </c>
    </row>
    <row r="31" spans="2:25" x14ac:dyDescent="0.2">
      <c r="C31" s="108" t="s">
        <v>148</v>
      </c>
      <c r="D31" s="108"/>
      <c r="E31" s="108"/>
      <c r="F31">
        <f t="shared" ref="F31:F36" si="0">F$30/(1+Q31)</f>
        <v>176.28292406885299</v>
      </c>
      <c r="M31" s="107" t="s">
        <v>141</v>
      </c>
      <c r="N31" s="107"/>
      <c r="O31" s="107"/>
      <c r="P31" s="107"/>
      <c r="Q31" s="3">
        <f>AVERAGE(Q21:Q29)</f>
        <v>-1.6572192692684902E-2</v>
      </c>
    </row>
    <row r="32" spans="2:25" x14ac:dyDescent="0.2">
      <c r="C32" s="96" t="s">
        <v>149</v>
      </c>
      <c r="D32" s="96"/>
      <c r="E32" s="96"/>
      <c r="F32">
        <f t="shared" si="0"/>
        <v>177.44838431571509</v>
      </c>
      <c r="I32" s="3"/>
      <c r="M32" s="96" t="s">
        <v>143</v>
      </c>
      <c r="N32" s="96"/>
      <c r="O32" s="96"/>
      <c r="P32" s="96"/>
      <c r="Q32" s="1">
        <f>MEDIAN(Q21:Q29)</f>
        <v>-2.3031231581628678E-2</v>
      </c>
    </row>
    <row r="33" spans="1:17" x14ac:dyDescent="0.2">
      <c r="C33" s="97" t="s">
        <v>150</v>
      </c>
      <c r="D33" s="97"/>
      <c r="E33" s="97"/>
      <c r="F33">
        <f t="shared" si="0"/>
        <v>179.38606059497681</v>
      </c>
      <c r="M33" s="97" t="s">
        <v>142</v>
      </c>
      <c r="N33" s="97"/>
      <c r="O33" s="97"/>
      <c r="P33" s="97"/>
      <c r="Q33" s="1">
        <f>AVERAGE(Q28,Q26,Q21:Q24)</f>
        <v>-3.3584165303820211E-2</v>
      </c>
    </row>
    <row r="34" spans="1:17" x14ac:dyDescent="0.2">
      <c r="C34" s="98" t="s">
        <v>151</v>
      </c>
      <c r="D34" s="98"/>
      <c r="E34" s="98"/>
      <c r="F34">
        <f t="shared" si="0"/>
        <v>178.86136854907244</v>
      </c>
      <c r="H34" s="3"/>
      <c r="M34" s="98" t="s">
        <v>144</v>
      </c>
      <c r="N34" s="98"/>
      <c r="O34" s="98"/>
      <c r="P34" s="98"/>
      <c r="Q34" s="1">
        <f>MEDIAN(Q28,Q26,Q21:Q24)</f>
        <v>-3.0749172450894591E-2</v>
      </c>
    </row>
    <row r="35" spans="1:17" x14ac:dyDescent="0.2">
      <c r="C35" s="99" t="s">
        <v>152</v>
      </c>
      <c r="D35" s="99"/>
      <c r="E35" s="99"/>
      <c r="F35">
        <f>F$30/(1+Q35)</f>
        <v>170.38796095416129</v>
      </c>
      <c r="I35" s="103"/>
      <c r="M35" s="99" t="s">
        <v>145</v>
      </c>
      <c r="N35" s="99"/>
      <c r="O35" s="99"/>
      <c r="P35" s="99"/>
      <c r="Q35" s="1">
        <f>AVERAGE(Q29,Q27,Q25)</f>
        <v>1.7451752529585713E-2</v>
      </c>
    </row>
    <row r="36" spans="1:17" x14ac:dyDescent="0.2">
      <c r="C36" s="100" t="s">
        <v>153</v>
      </c>
      <c r="D36" s="100"/>
      <c r="E36" s="100"/>
      <c r="F36">
        <f t="shared" si="0"/>
        <v>171.6616219442889</v>
      </c>
      <c r="M36" s="100" t="s">
        <v>146</v>
      </c>
      <c r="N36" s="100"/>
      <c r="O36" s="100"/>
      <c r="P36" s="100"/>
      <c r="Q36" s="1">
        <f>MEDIAN(Q29,Q27,Q25)</f>
        <v>9.9026650174423025E-3</v>
      </c>
    </row>
    <row r="38" spans="1:17" x14ac:dyDescent="0.2">
      <c r="A38" s="68" t="s">
        <v>103</v>
      </c>
      <c r="B38" t="s">
        <v>154</v>
      </c>
    </row>
    <row r="39" spans="1:17" x14ac:dyDescent="0.2">
      <c r="B39" t="s">
        <v>155</v>
      </c>
    </row>
    <row r="45" spans="1:17" x14ac:dyDescent="0.2">
      <c r="A45" s="68" t="s">
        <v>105</v>
      </c>
      <c r="B45" s="78" t="s">
        <v>156</v>
      </c>
      <c r="C45" s="79">
        <f>F36</f>
        <v>171.6616219442889</v>
      </c>
      <c r="D45" t="s">
        <v>167</v>
      </c>
    </row>
    <row r="47" spans="1:17" x14ac:dyDescent="0.2">
      <c r="B47" s="180" t="s">
        <v>164</v>
      </c>
      <c r="C47" s="180"/>
      <c r="D47" s="2">
        <f>C45/D30-1</f>
        <v>-3.5066768160264772E-2</v>
      </c>
    </row>
    <row r="48" spans="1:17" x14ac:dyDescent="0.2">
      <c r="B48" s="168" t="s">
        <v>163</v>
      </c>
      <c r="C48" s="168"/>
      <c r="D48" s="2">
        <f>'1. Data &amp; Confidence Interval'!R25</f>
        <v>-3.4822104466313397E-2</v>
      </c>
    </row>
  </sheetData>
  <mergeCells count="2">
    <mergeCell ref="B48:C48"/>
    <mergeCell ref="B47:C47"/>
  </mergeCells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2:Q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2021-10-29T18:05:06Z</dcterms:modified>
</cp:coreProperties>
</file>