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INSP\"/>
    </mc:Choice>
  </mc:AlternateContent>
  <xr:revisionPtr revIDLastSave="0" documentId="13_ncr:1_{F3898D96-4B72-4468-B245-37C3B77E526C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4" l="1"/>
  <c r="E30" i="4"/>
  <c r="F34" i="4"/>
  <c r="P34" i="4"/>
  <c r="P33" i="4"/>
  <c r="P32" i="4"/>
  <c r="P31" i="4"/>
  <c r="P30" i="4"/>
  <c r="P29" i="4"/>
  <c r="P15" i="4"/>
  <c r="P16" i="4"/>
  <c r="P17" i="4"/>
  <c r="P18" i="4"/>
  <c r="P19" i="4"/>
  <c r="P14" i="4"/>
  <c r="AB17" i="1" l="1"/>
  <c r="AA17" i="1"/>
  <c r="Z17" i="1"/>
  <c r="Y17" i="1"/>
  <c r="X17" i="1"/>
  <c r="W17" i="1"/>
  <c r="V17" i="1"/>
  <c r="U17" i="1"/>
  <c r="T17" i="1"/>
  <c r="S17" i="1"/>
  <c r="R17" i="1"/>
  <c r="Q17" i="1"/>
  <c r="P17" i="1"/>
  <c r="E34" i="4"/>
  <c r="E33" i="4"/>
  <c r="F33" i="4" s="1"/>
  <c r="E32" i="4"/>
  <c r="E31" i="4"/>
  <c r="E29" i="4"/>
  <c r="D46" i="4"/>
  <c r="Q25" i="1"/>
  <c r="N25" i="1"/>
  <c r="Q24" i="1"/>
  <c r="N24" i="1"/>
  <c r="R39" i="2" a="1"/>
  <c r="R39" i="2" s="1"/>
  <c r="R40" i="2" a="1"/>
  <c r="R40" i="2" s="1"/>
  <c r="Q39" i="2" a="1"/>
  <c r="Q39" i="2" s="1"/>
  <c r="P39" i="2" a="1"/>
  <c r="P39" i="2" s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J40" i="2" a="1"/>
  <c r="J40" i="2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/>
  <c r="Q40" i="2" a="1"/>
  <c r="Q40" i="2" s="1"/>
  <c r="A25" i="2"/>
  <c r="B25" i="2"/>
  <c r="C25" i="2"/>
  <c r="D25" i="2"/>
  <c r="E25" i="2"/>
  <c r="F25" i="2"/>
  <c r="G25" i="2"/>
  <c r="H25" i="2"/>
  <c r="I25" i="2"/>
  <c r="J25" i="2"/>
  <c r="R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R37" i="2"/>
  <c r="R36" i="2"/>
  <c r="R35" i="2"/>
  <c r="R34" i="2"/>
  <c r="R33" i="2"/>
  <c r="R31" i="2"/>
  <c r="R30" i="2"/>
  <c r="R29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L32" i="2"/>
  <c r="M32" i="2"/>
  <c r="N32" i="2"/>
  <c r="F29" i="2"/>
  <c r="G29" i="2"/>
  <c r="F30" i="2"/>
  <c r="G30" i="2"/>
  <c r="F31" i="2"/>
  <c r="G31" i="2"/>
  <c r="K20" i="2"/>
  <c r="J20" i="2"/>
  <c r="AC26" i="1"/>
  <c r="AC25" i="1"/>
  <c r="AC24" i="1"/>
  <c r="AC23" i="1"/>
  <c r="AC22" i="1"/>
  <c r="AC21" i="1"/>
  <c r="AC20" i="1"/>
  <c r="AA21" i="1"/>
  <c r="Z21" i="1"/>
  <c r="Y21" i="1"/>
  <c r="X21" i="1"/>
  <c r="W21" i="1"/>
  <c r="V21" i="1"/>
  <c r="U21" i="1"/>
  <c r="T21" i="1"/>
  <c r="R21" i="1"/>
  <c r="Z23" i="1"/>
  <c r="Y23" i="1"/>
  <c r="X23" i="1"/>
  <c r="W23" i="1"/>
  <c r="V23" i="1"/>
  <c r="U23" i="1"/>
  <c r="T23" i="1"/>
  <c r="S23" i="1"/>
  <c r="R23" i="1"/>
  <c r="Q23" i="1"/>
  <c r="X22" i="1"/>
  <c r="W22" i="1"/>
  <c r="V22" i="1"/>
  <c r="U22" i="1"/>
  <c r="T22" i="1"/>
  <c r="S22" i="1"/>
  <c r="R22" i="1"/>
  <c r="N22" i="1"/>
  <c r="O22" i="1"/>
  <c r="P22" i="1"/>
  <c r="Q21" i="1"/>
  <c r="S21" i="1"/>
  <c r="N20" i="1"/>
  <c r="O20" i="1"/>
  <c r="P20" i="1"/>
  <c r="Q20" i="1"/>
  <c r="F18" i="1"/>
  <c r="F17" i="1"/>
  <c r="M33" i="2"/>
  <c r="L36" i="2"/>
  <c r="L37" i="2"/>
  <c r="M38" i="2"/>
  <c r="L38" i="2"/>
  <c r="M36" i="2"/>
  <c r="M35" i="2"/>
  <c r="L35" i="2"/>
  <c r="M34" i="2"/>
  <c r="L34" i="2"/>
  <c r="P31" i="2"/>
  <c r="P30" i="2"/>
  <c r="O29" i="2"/>
  <c r="M21" i="2"/>
  <c r="O30" i="2"/>
  <c r="M20" i="2"/>
  <c r="N20" i="2"/>
  <c r="O20" i="2"/>
  <c r="L20" i="2"/>
  <c r="R21" i="2"/>
  <c r="K21" i="2"/>
  <c r="I21" i="2"/>
  <c r="H21" i="2"/>
  <c r="G21" i="2"/>
  <c r="F21" i="2"/>
  <c r="E21" i="2"/>
  <c r="R20" i="2"/>
  <c r="H29" i="2"/>
  <c r="I29" i="2"/>
  <c r="J29" i="2"/>
  <c r="H30" i="2"/>
  <c r="I30" i="2"/>
  <c r="J30" i="2"/>
  <c r="H31" i="2"/>
  <c r="I31" i="2"/>
  <c r="J31" i="2"/>
  <c r="O31" i="2"/>
  <c r="F32" i="2"/>
  <c r="J21" i="2" l="1"/>
  <c r="P20" i="2"/>
  <c r="Q20" i="2" s="1"/>
  <c r="L21" i="2"/>
  <c r="Q31" i="2"/>
  <c r="L33" i="2"/>
  <c r="M37" i="2"/>
  <c r="Q30" i="2"/>
  <c r="P21" i="2"/>
  <c r="Q29" i="2"/>
  <c r="P29" i="2"/>
  <c r="N21" i="2"/>
  <c r="O21" i="2"/>
  <c r="AC18" i="1"/>
  <c r="AB18" i="1"/>
  <c r="Q22" i="1"/>
  <c r="X20" i="1"/>
  <c r="W20" i="1"/>
  <c r="V20" i="1"/>
  <c r="U20" i="1"/>
  <c r="T20" i="1"/>
  <c r="S20" i="1"/>
  <c r="R20" i="1"/>
  <c r="C2" i="4"/>
  <c r="Q21" i="2" l="1"/>
  <c r="D45" i="4"/>
  <c r="Z20" i="1"/>
  <c r="AA20" i="1"/>
  <c r="Z22" i="1"/>
  <c r="AA22" i="1"/>
  <c r="A29" i="2" l="1"/>
  <c r="B29" i="2"/>
  <c r="C29" i="2"/>
  <c r="D29" i="2"/>
  <c r="E29" i="2"/>
  <c r="G37" i="2" l="1"/>
  <c r="G36" i="2"/>
  <c r="E38" i="2"/>
  <c r="E37" i="2"/>
  <c r="E36" i="2"/>
  <c r="E35" i="2"/>
  <c r="E34" i="2"/>
  <c r="E33" i="2"/>
  <c r="E32" i="2"/>
  <c r="E31" i="2"/>
  <c r="J17" i="1"/>
  <c r="I17" i="1"/>
  <c r="H17" i="1"/>
  <c r="G17" i="1"/>
  <c r="E40" i="2" l="1" a="1"/>
  <c r="E40" i="2" s="1"/>
  <c r="E39" i="2" a="1"/>
  <c r="E39" i="2" s="1"/>
  <c r="AB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30" i="2"/>
  <c r="B30" i="2"/>
  <c r="C30" i="2"/>
  <c r="D30" i="2"/>
  <c r="E30" i="2"/>
  <c r="Y20" i="1"/>
  <c r="AA18" i="1"/>
  <c r="Z18" i="1"/>
  <c r="K18" i="1"/>
  <c r="J18" i="1"/>
  <c r="I18" i="1"/>
  <c r="H18" i="1"/>
  <c r="G18" i="1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B31" i="2"/>
  <c r="C31" i="2"/>
  <c r="D31" i="2"/>
  <c r="A31" i="2"/>
  <c r="I25" i="3"/>
  <c r="E25" i="3"/>
  <c r="C7" i="1" l="1"/>
  <c r="AB10" i="1"/>
  <c r="H10" i="1"/>
  <c r="Y22" i="1"/>
  <c r="U18" i="1"/>
  <c r="T18" i="1"/>
  <c r="S18" i="1"/>
  <c r="R18" i="1"/>
  <c r="Q18" i="1"/>
  <c r="P18" i="1"/>
  <c r="O18" i="1"/>
  <c r="N18" i="1"/>
  <c r="M18" i="1"/>
  <c r="L18" i="1"/>
  <c r="K17" i="1"/>
  <c r="L17" i="1"/>
  <c r="M17" i="1"/>
  <c r="N17" i="1"/>
  <c r="O17" i="1"/>
  <c r="F21" i="3"/>
  <c r="AA23" i="1" l="1"/>
  <c r="B7" i="1"/>
  <c r="R38" i="2"/>
  <c r="R32" i="2"/>
  <c r="I2" i="1" l="1"/>
  <c r="H2" i="1"/>
  <c r="I3" i="1"/>
  <c r="H3" i="1"/>
  <c r="H21" i="3"/>
  <c r="J2" i="1" l="1"/>
  <c r="K2" i="1" s="1"/>
  <c r="J3" i="1"/>
  <c r="K3" i="1" s="1"/>
  <c r="O32" i="2"/>
  <c r="P32" i="2"/>
  <c r="Q32" i="2"/>
  <c r="K33" i="2"/>
  <c r="N33" i="2"/>
  <c r="O33" i="2"/>
  <c r="P33" i="2"/>
  <c r="Q33" i="2"/>
  <c r="K34" i="2"/>
  <c r="N34" i="2"/>
  <c r="O34" i="2"/>
  <c r="P34" i="2"/>
  <c r="Q34" i="2"/>
  <c r="K35" i="2"/>
  <c r="N35" i="2"/>
  <c r="O35" i="2"/>
  <c r="P35" i="2"/>
  <c r="Q35" i="2"/>
  <c r="K36" i="2"/>
  <c r="N36" i="2"/>
  <c r="O36" i="2"/>
  <c r="P36" i="2"/>
  <c r="Q36" i="2"/>
  <c r="K37" i="2"/>
  <c r="N37" i="2"/>
  <c r="O37" i="2"/>
  <c r="P37" i="2"/>
  <c r="Q37" i="2"/>
  <c r="K38" i="2"/>
  <c r="N38" i="2"/>
  <c r="O38" i="2"/>
  <c r="P38" i="2"/>
  <c r="Q38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H40" i="2" l="1" a="1"/>
  <c r="H40" i="2" s="1"/>
  <c r="H39" i="2" a="1"/>
  <c r="H39" i="2" s="1"/>
  <c r="I40" i="2" a="1"/>
  <c r="I40" i="2" s="1"/>
  <c r="I39" i="2" a="1"/>
  <c r="I39" i="2" s="1"/>
  <c r="G40" i="2" a="1"/>
  <c r="G40" i="2" s="1"/>
  <c r="G39" i="2" a="1"/>
  <c r="G39" i="2" s="1"/>
  <c r="F40" i="2" a="1"/>
  <c r="F40" i="2" s="1"/>
  <c r="F39" i="2" a="1"/>
  <c r="F39" i="2" s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<sst xmlns="http://schemas.openxmlformats.org/spreadsheetml/2006/main" count="293" uniqueCount="170">
  <si>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</si>
  <si>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</si>
  <si>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</si>
  <si>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</si>
  <si>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</si>
  <si>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</si>
  <si>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</si>
  <si>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</si>
  <si>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</si>
  <si>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</si>
  <si>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</si>
  <si>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</si>
  <si>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</si>
  <si>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</si>
  <si>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</si>
  <si>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</si>
  <si>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</si>
  <si>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</si>
  <si>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</si>
  <si>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</si>
  <si>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</si>
  <si>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</si>
  <si>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</si>
  <si>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</si>
  <si>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</si>
  <si>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</si>
  <si>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</si>
  <si>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</si>
  <si>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</si>
  <si>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</si>
  <si>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</si>
  <si>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</si>
  <si>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</si>
  <si>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</si>
  <si>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</si>
  <si>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</si>
  <si>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</si>
  <si>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</si>
  <si>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</si>
  <si>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</si>
  <si>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</si>
  <si>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</si>
  <si>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</si>
  <si>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</si>
  <si>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</si>
  <si>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</si>
  <si>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</si>
  <si>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</si>
  <si>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</si>
  <si>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</si>
  <si>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</si>
  <si>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</si>
  <si>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</si>
  <si>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</si>
  <si>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</si>
  <si>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</si>
  <si>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</si>
  <si>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</si>
  <si>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</si>
  <si>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</si>
  <si>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</si>
  <si>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</si>
  <si>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</si>
  <si>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</si>
  <si>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</si>
  <si>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</si>
  <si>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</si>
  <si>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</si>
  <si>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</si>
  <si>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</si>
  <si>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</si>
  <si>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</si>
  <si>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</si>
  <si>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</si>
  <si>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</si>
  <si>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</si>
  <si>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</si>
  <si>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</si>
  <si>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</si>
  <si>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</si>
  <si>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</si>
  <si>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</si>
  <si>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</si>
  <si>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</si>
  <si>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</si>
  <si>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</si>
  <si>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</si>
  <si>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</si>
  <si>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</si>
  <si>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</si>
  <si>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</si>
  <si>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</si>
  <si>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</si>
  <si>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</si>
  <si>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</si>
  <si>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</si>
  <si>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</si>
  <si>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</si>
  <si>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</si>
  <si>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</si>
  <si>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</si>
  <si>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</si>
  <si>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</si>
  <si>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</si>
  <si>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</si>
  <si>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</si>
  <si>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</si>
  <si>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</si>
  <si>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</si>
  <si>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</si>
  <si>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</si>
  <si>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</si>
  <si>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</si>
  <si>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</si>
  <si>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</si>
  <si>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</si>
  <si>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</si>
  <si>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</si>
  <si>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</si>
  <si>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</si>
  <si>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</si>
  <si>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</si>
  <si>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</si>
  <si>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</si>
  <si>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</si>
  <si>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</si>
  <si>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</si>
  <si>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</si>
  <si>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</si>
  <si>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</si>
  <si>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</si>
  <si>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</si>
  <si>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</si>
  <si>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</si>
  <si>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</si>
  <si>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</si>
  <si>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</si>
  <si>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</si>
  <si>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</si>
  <si>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</si>
  <si>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</si>
  <si>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</si>
  <si>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</si>
  <si>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</si>
  <si>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</si>
  <si>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</si>
  <si>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</si>
  <si>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</si>
  <si>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</si>
  <si>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</si>
  <si>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</si>
  <si>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</si>
  <si>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</si>
  <si>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</si>
  <si>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</si>
  <si>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</si>
  <si>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</si>
  <si>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</si>
  <si>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</si>
  <si>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</si>
  <si>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</si>
  <si>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</si>
  <si>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</si>
  <si>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</si>
  <si>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</si>
  <si>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</si>
  <si>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</si>
  <si>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</si>
  <si>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INSP</t>
  </si>
  <si>
    <t>HYPOSSAL NERVE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</si>
</sst>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D29"/>
  <sheetViews>
    <sheetView zoomScale="70" zoomScaleNormal="70" workbookViewId="0">
      <selection activeCell="Q25" sqref="Q25"/>
    </sheetView>
  </sheetViews>
  <sheetFormatPr defaultRowHeight="12.75" x14ac:dyDescent="0.2"/>
  <cols>
    <col min="1" max="1" width="17.85546875" bestFit="1" customWidth="1"/>
    <col min="2" max="5" width="17.85546875" customWidth="1"/>
    <col min="6" max="27" width="10.7109375" customWidth="1"/>
    <col min="28" max="28" width="17.85546875" customWidth="1"/>
    <col min="29" max="30" width="10.7109375" customWidth="1"/>
  </cols>
  <sheetData>
    <row r="1" spans="1:29" x14ac:dyDescent="0.2">
      <c r="A1" s="136" t="s">
        <v>168</v>
      </c>
      <c r="B1" s="137"/>
      <c r="C1" s="138"/>
      <c r="F1" s="145" t="s">
        <v>35</v>
      </c>
      <c r="G1" s="146"/>
      <c r="H1" s="60" t="s">
        <v>31</v>
      </c>
      <c r="I1" s="60" t="s">
        <v>32</v>
      </c>
      <c r="J1" s="4" t="s">
        <v>39</v>
      </c>
      <c r="K1" s="147" t="s">
        <v>41</v>
      </c>
      <c r="L1" s="148"/>
    </row>
    <row r="2" spans="1:29" x14ac:dyDescent="0.2">
      <c r="A2" s="139"/>
      <c r="B2" s="140"/>
      <c r="C2" s="141"/>
      <c r="F2" s="58" t="s">
        <v>37</v>
      </c>
      <c r="G2" s="59"/>
      <c r="H2" s="61">
        <f>$B$7*($AC$25-2*$AC$26)</f>
        <v>46.914309853266701</v>
      </c>
      <c r="I2" s="61">
        <f>$B$7*($AC$25+2*$AC$26)</f>
        <v>54.334614710156913</v>
      </c>
      <c r="J2" s="63">
        <f>AVERAGE(H2:I2)</f>
        <v>50.624462281711807</v>
      </c>
      <c r="K2" s="149">
        <f>$J$2/X14-1</f>
        <v>0.5294399480879699</v>
      </c>
      <c r="L2" s="150"/>
    </row>
    <row r="3" spans="1:29" x14ac:dyDescent="0.2">
      <c r="A3" s="142"/>
      <c r="B3" s="143"/>
      <c r="C3" s="144"/>
      <c r="F3" s="44" t="s">
        <v>38</v>
      </c>
      <c r="G3" s="18"/>
      <c r="H3" s="62">
        <f>$C$7*($AC$25-2*$AC$26)</f>
        <v>47.584514279741938</v>
      </c>
      <c r="I3" s="62">
        <f>$C$7*($AC$25+2*$AC$26)</f>
        <v>55.110823491730585</v>
      </c>
      <c r="J3" s="64">
        <f>AVERAGE(H3:I3)</f>
        <v>51.347668885736262</v>
      </c>
      <c r="K3" s="106">
        <f>$J$3/X15-1</f>
        <v>0.55128909020351236</v>
      </c>
      <c r="L3" s="107"/>
    </row>
    <row r="4" spans="1:29" x14ac:dyDescent="0.2">
      <c r="A4" s="49"/>
      <c r="B4" s="49"/>
      <c r="C4" s="49"/>
      <c r="I4" s="4" t="s">
        <v>40</v>
      </c>
      <c r="J4" s="64">
        <f>AVERAGE(J2:J3)</f>
        <v>50.986065583724034</v>
      </c>
      <c r="K4" s="106">
        <f>$J$4/X15-1</f>
        <v>0.54036451914574113</v>
      </c>
      <c r="L4" s="107"/>
    </row>
    <row r="5" spans="1:29" x14ac:dyDescent="0.2">
      <c r="A5" s="57" t="s">
        <v>34</v>
      </c>
      <c r="B5" s="47" t="s">
        <v>31</v>
      </c>
      <c r="C5" s="48" t="s">
        <v>32</v>
      </c>
    </row>
    <row r="6" spans="1:29" ht="15.75" x14ac:dyDescent="0.25">
      <c r="A6" s="51" t="s">
        <v>33</v>
      </c>
      <c r="B6" s="55">
        <v>210</v>
      </c>
      <c r="C6" s="56">
        <v>213</v>
      </c>
    </row>
    <row r="7" spans="1:29" ht="14.25" x14ac:dyDescent="0.2">
      <c r="A7" s="52" t="s">
        <v>36</v>
      </c>
      <c r="B7" s="53">
        <f>B6*$AC$24</f>
        <v>195.87122352605039</v>
      </c>
      <c r="C7" s="54">
        <f>C6*$AC$24</f>
        <v>198.66938386213681</v>
      </c>
    </row>
    <row r="10" spans="1:29" x14ac:dyDescent="0.2">
      <c r="F10" s="108" t="s">
        <v>15</v>
      </c>
      <c r="G10" s="108"/>
      <c r="H10" s="34">
        <f>AVERAGE(F13:AB13)</f>
        <v>1.8167779232810446</v>
      </c>
      <c r="Y10" s="108" t="s">
        <v>16</v>
      </c>
      <c r="Z10" s="108"/>
      <c r="AA10" s="108"/>
      <c r="AB10" s="78">
        <f>AVERAGE(X13:AB13)</f>
        <v>2.3011642357348689</v>
      </c>
    </row>
    <row r="11" spans="1:29" x14ac:dyDescent="0.2">
      <c r="A11" s="50" t="s">
        <v>6</v>
      </c>
      <c r="B11" s="151">
        <v>2012</v>
      </c>
      <c r="C11" s="152"/>
      <c r="D11" s="152"/>
      <c r="E11" s="153"/>
      <c r="F11" s="117">
        <v>2016</v>
      </c>
      <c r="G11" s="118"/>
      <c r="H11" s="118"/>
      <c r="I11" s="119"/>
      <c r="J11" s="120">
        <v>2017</v>
      </c>
      <c r="K11" s="121"/>
      <c r="L11" s="121"/>
      <c r="M11" s="122"/>
      <c r="N11" s="132">
        <v>2018</v>
      </c>
      <c r="O11" s="133"/>
      <c r="P11" s="133"/>
      <c r="Q11" s="134"/>
      <c r="R11" s="123">
        <v>2019</v>
      </c>
      <c r="S11" s="124"/>
      <c r="T11" s="124"/>
      <c r="U11" s="125"/>
      <c r="V11" s="126">
        <v>2020</v>
      </c>
      <c r="W11" s="127"/>
      <c r="X11" s="127"/>
      <c r="Y11" s="128"/>
      <c r="Z11" s="117">
        <v>2021</v>
      </c>
      <c r="AA11" s="118"/>
      <c r="AB11" s="118"/>
      <c r="AC11" s="119"/>
    </row>
    <row r="12" spans="1:29" x14ac:dyDescent="0.2">
      <c r="A12" s="13" t="s">
        <v>19</v>
      </c>
      <c r="B12" s="99" t="s">
        <v>20</v>
      </c>
      <c r="C12" s="99" t="s">
        <v>3</v>
      </c>
      <c r="D12" s="99" t="s">
        <v>4</v>
      </c>
      <c r="E12" s="102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25" t="s">
        <v>3</v>
      </c>
      <c r="P12" s="25" t="s">
        <v>4</v>
      </c>
      <c r="Q12" s="25" t="s">
        <v>5</v>
      </c>
      <c r="R12" s="26" t="s">
        <v>20</v>
      </c>
      <c r="S12" s="27" t="s">
        <v>3</v>
      </c>
      <c r="T12" s="27" t="s">
        <v>4</v>
      </c>
      <c r="U12" s="27" t="s">
        <v>5</v>
      </c>
      <c r="V12" s="28" t="s">
        <v>20</v>
      </c>
      <c r="W12" s="19" t="s">
        <v>3</v>
      </c>
      <c r="X12" s="19" t="s">
        <v>4</v>
      </c>
      <c r="Y12" s="19" t="s">
        <v>5</v>
      </c>
      <c r="Z12" s="36" t="s">
        <v>20</v>
      </c>
      <c r="AA12" s="37" t="s">
        <v>3</v>
      </c>
      <c r="AB12" s="38" t="s">
        <v>21</v>
      </c>
      <c r="AC12" s="29" t="s">
        <v>22</v>
      </c>
    </row>
    <row r="13" spans="1:29" x14ac:dyDescent="0.2">
      <c r="A13" s="33" t="s">
        <v>2</v>
      </c>
      <c r="F13" s="81"/>
      <c r="G13" s="81"/>
      <c r="H13" s="81"/>
      <c r="I13" s="81"/>
      <c r="J13" s="81">
        <f t="shared" ref="J13:AA13" si="0">J15/F15</f>
        <v>1.6666666666666665</v>
      </c>
      <c r="K13" s="81">
        <f t="shared" si="0"/>
        <v>1.53125</v>
      </c>
      <c r="L13" s="81">
        <f t="shared" si="0"/>
        <v>1.7105263157894737</v>
      </c>
      <c r="M13" s="81">
        <f t="shared" si="0"/>
        <v>2.0487804878048781</v>
      </c>
      <c r="N13" s="81">
        <f t="shared" si="0"/>
        <v>1.9333333333333331</v>
      </c>
      <c r="O13" s="81">
        <f t="shared" si="0"/>
        <v>1.9387755102040816</v>
      </c>
      <c r="P13" s="81">
        <f t="shared" si="0"/>
        <v>1.7384615384615385</v>
      </c>
      <c r="Q13" s="81">
        <f t="shared" si="0"/>
        <v>1.7619047619047619</v>
      </c>
      <c r="R13" s="81">
        <f t="shared" si="0"/>
        <v>1.6551724137931036</v>
      </c>
      <c r="S13" s="81">
        <f t="shared" si="0"/>
        <v>1.6631578947368422</v>
      </c>
      <c r="T13" s="81">
        <f t="shared" si="0"/>
        <v>1.6460176991150444</v>
      </c>
      <c r="U13" s="81">
        <f t="shared" si="0"/>
        <v>1.6824324324324322</v>
      </c>
      <c r="V13" s="81">
        <f t="shared" si="0"/>
        <v>1.3402777777777779</v>
      </c>
      <c r="W13" s="81">
        <f t="shared" si="0"/>
        <v>0.69620253164556956</v>
      </c>
      <c r="X13" s="81">
        <f t="shared" si="0"/>
        <v>1.7795698924731183</v>
      </c>
      <c r="Y13" s="81">
        <f t="shared" si="0"/>
        <v>1.7148594377510042</v>
      </c>
      <c r="Z13" s="81">
        <f t="shared" si="0"/>
        <v>1.9585492227979273</v>
      </c>
      <c r="AA13" s="81">
        <f t="shared" si="0"/>
        <v>4.4909090909090912</v>
      </c>
      <c r="AB13" s="81">
        <f>AB14/X14</f>
        <v>1.5619335347432024</v>
      </c>
      <c r="AC13" s="30"/>
    </row>
    <row r="14" spans="1:29" x14ac:dyDescent="0.2">
      <c r="A14" s="14" t="s">
        <v>0</v>
      </c>
      <c r="B14" s="6"/>
      <c r="C14" s="6"/>
      <c r="D14" s="6"/>
      <c r="E14" s="6"/>
      <c r="F14" s="9">
        <v>2.7</v>
      </c>
      <c r="G14" s="6">
        <v>3.2</v>
      </c>
      <c r="H14" s="6">
        <v>3.8</v>
      </c>
      <c r="I14" s="6">
        <v>4.0999999999999996</v>
      </c>
      <c r="J14" s="9">
        <v>4.5</v>
      </c>
      <c r="K14" s="6">
        <v>4.9000000000000004</v>
      </c>
      <c r="L14" s="6">
        <v>6.5</v>
      </c>
      <c r="M14" s="6">
        <v>8.4</v>
      </c>
      <c r="N14" s="9">
        <v>8.6999999999999993</v>
      </c>
      <c r="O14" s="6">
        <v>9.5</v>
      </c>
      <c r="P14" s="6">
        <v>11.3</v>
      </c>
      <c r="Q14" s="6">
        <v>14.8</v>
      </c>
      <c r="R14" s="9">
        <v>14.4</v>
      </c>
      <c r="S14" s="6">
        <v>15.8</v>
      </c>
      <c r="T14" s="6">
        <v>18.600000000000001</v>
      </c>
      <c r="U14" s="6">
        <v>24.9</v>
      </c>
      <c r="V14" s="9">
        <v>19.3</v>
      </c>
      <c r="W14" s="6">
        <v>11</v>
      </c>
      <c r="X14" s="6">
        <v>33.1</v>
      </c>
      <c r="Y14" s="6">
        <v>42.7</v>
      </c>
      <c r="Z14" s="6">
        <v>37.799999999999997</v>
      </c>
      <c r="AA14" s="6">
        <v>49.4</v>
      </c>
      <c r="AB14" s="101">
        <v>51.7</v>
      </c>
      <c r="AC14" s="101">
        <v>60.8</v>
      </c>
    </row>
    <row r="15" spans="1:29" x14ac:dyDescent="0.2">
      <c r="A15" s="14" t="s">
        <v>1</v>
      </c>
      <c r="B15" s="6"/>
      <c r="C15" s="6"/>
      <c r="D15" s="6"/>
      <c r="E15" s="6"/>
      <c r="F15" s="9">
        <v>2.7</v>
      </c>
      <c r="G15" s="6">
        <v>3.2</v>
      </c>
      <c r="H15" s="6">
        <v>3.8</v>
      </c>
      <c r="I15" s="6">
        <v>4.0999999999999996</v>
      </c>
      <c r="J15" s="9">
        <v>4.5</v>
      </c>
      <c r="K15" s="6">
        <v>4.9000000000000004</v>
      </c>
      <c r="L15" s="6">
        <v>6.5</v>
      </c>
      <c r="M15" s="6">
        <v>8.4</v>
      </c>
      <c r="N15" s="9">
        <v>8.6999999999999993</v>
      </c>
      <c r="O15" s="6">
        <v>9.5</v>
      </c>
      <c r="P15" s="6">
        <v>11.3</v>
      </c>
      <c r="Q15" s="6">
        <v>14.8</v>
      </c>
      <c r="R15" s="9">
        <v>14.4</v>
      </c>
      <c r="S15" s="6">
        <v>15.8</v>
      </c>
      <c r="T15" s="6">
        <v>18.600000000000001</v>
      </c>
      <c r="U15" s="6">
        <v>24.9</v>
      </c>
      <c r="V15" s="9">
        <v>19.3</v>
      </c>
      <c r="W15" s="6">
        <v>11</v>
      </c>
      <c r="X15" s="6">
        <v>33.1</v>
      </c>
      <c r="Y15" s="6">
        <v>42.7</v>
      </c>
      <c r="Z15" s="9">
        <v>37.799999999999997</v>
      </c>
      <c r="AA15" s="6">
        <v>49.4</v>
      </c>
      <c r="AB15" s="9"/>
      <c r="AC15" s="10"/>
    </row>
    <row r="16" spans="1:29" x14ac:dyDescent="0.2">
      <c r="A16" s="14" t="s">
        <v>157</v>
      </c>
      <c r="B16" s="9"/>
      <c r="C16" s="9"/>
      <c r="D16" s="9"/>
      <c r="E16" s="9"/>
      <c r="F16" s="9">
        <v>3</v>
      </c>
      <c r="G16" s="6">
        <v>3.6</v>
      </c>
      <c r="H16" s="6">
        <v>4.7</v>
      </c>
      <c r="I16" s="10">
        <v>5.2</v>
      </c>
      <c r="J16" s="9">
        <v>5.3</v>
      </c>
      <c r="K16" s="6">
        <v>6</v>
      </c>
      <c r="L16" s="6">
        <v>7.3</v>
      </c>
      <c r="M16" s="10">
        <v>10</v>
      </c>
      <c r="N16" s="9">
        <v>10</v>
      </c>
      <c r="O16" s="6">
        <v>10.9</v>
      </c>
      <c r="P16" s="6">
        <v>13.1</v>
      </c>
      <c r="Q16" s="10">
        <v>16.600000000000001</v>
      </c>
      <c r="R16" s="9">
        <v>16.3</v>
      </c>
      <c r="S16" s="6">
        <v>18</v>
      </c>
      <c r="T16" s="6">
        <v>20.9</v>
      </c>
      <c r="U16" s="10">
        <v>26.9</v>
      </c>
      <c r="V16" s="9">
        <v>21.3</v>
      </c>
      <c r="W16" s="6">
        <v>12.2</v>
      </c>
      <c r="X16" s="6">
        <v>35.799999999999997</v>
      </c>
      <c r="Y16" s="10">
        <v>46</v>
      </c>
      <c r="Z16" s="9">
        <v>40.4</v>
      </c>
      <c r="AA16">
        <v>53</v>
      </c>
      <c r="AB16" s="100">
        <v>55.3</v>
      </c>
      <c r="AC16" s="10"/>
    </row>
    <row r="17" spans="1:30" x14ac:dyDescent="0.2">
      <c r="A17" s="82" t="s">
        <v>18</v>
      </c>
      <c r="B17" s="83"/>
      <c r="C17" s="83"/>
      <c r="D17" s="83"/>
      <c r="E17" s="83"/>
      <c r="F17" s="83">
        <f>F15/F16</f>
        <v>0.9</v>
      </c>
      <c r="G17" s="83">
        <f>G15/G16</f>
        <v>0.88888888888888895</v>
      </c>
      <c r="H17" s="83">
        <f>H15/H16</f>
        <v>0.80851063829787229</v>
      </c>
      <c r="I17" s="83">
        <f>I15/I16</f>
        <v>0.78846153846153832</v>
      </c>
      <c r="J17" s="83">
        <f>J15/J16</f>
        <v>0.84905660377358494</v>
      </c>
      <c r="K17" s="83">
        <f t="shared" ref="K17:O17" si="1">K15/K16</f>
        <v>0.81666666666666676</v>
      </c>
      <c r="L17" s="83">
        <f t="shared" si="1"/>
        <v>0.8904109589041096</v>
      </c>
      <c r="M17" s="83">
        <f t="shared" si="1"/>
        <v>0.84000000000000008</v>
      </c>
      <c r="N17" s="83">
        <f t="shared" si="1"/>
        <v>0.86999999999999988</v>
      </c>
      <c r="O17" s="83">
        <f t="shared" si="1"/>
        <v>0.87155963302752293</v>
      </c>
      <c r="P17" s="83">
        <f t="shared" ref="P17:AA17" si="2">P15/P16</f>
        <v>0.86259541984732835</v>
      </c>
      <c r="Q17" s="83">
        <f t="shared" si="2"/>
        <v>0.89156626506024095</v>
      </c>
      <c r="R17" s="83">
        <f t="shared" si="2"/>
        <v>0.8834355828220859</v>
      </c>
      <c r="S17" s="83">
        <f t="shared" si="2"/>
        <v>0.87777777777777777</v>
      </c>
      <c r="T17" s="83">
        <f t="shared" si="2"/>
        <v>0.88995215311004794</v>
      </c>
      <c r="U17" s="83">
        <f t="shared" si="2"/>
        <v>0.92565055762081783</v>
      </c>
      <c r="V17" s="83">
        <f t="shared" si="2"/>
        <v>0.9061032863849765</v>
      </c>
      <c r="W17" s="83">
        <f t="shared" si="2"/>
        <v>0.90163934426229508</v>
      </c>
      <c r="X17" s="83">
        <f t="shared" si="2"/>
        <v>0.92458100558659229</v>
      </c>
      <c r="Y17" s="83">
        <f t="shared" si="2"/>
        <v>0.92826086956521747</v>
      </c>
      <c r="Z17" s="83">
        <f t="shared" si="2"/>
        <v>0.93564356435643559</v>
      </c>
      <c r="AA17" s="83">
        <f t="shared" si="2"/>
        <v>0.93207547169811322</v>
      </c>
      <c r="AB17" s="103">
        <f>AB14/AB16</f>
        <v>0.93490054249547927</v>
      </c>
      <c r="AC17" s="84"/>
    </row>
    <row r="18" spans="1:30" x14ac:dyDescent="0.2">
      <c r="A18" s="82" t="s">
        <v>24</v>
      </c>
      <c r="B18" s="83"/>
      <c r="C18" s="83"/>
      <c r="D18" s="83"/>
      <c r="E18" s="85"/>
      <c r="F18" s="83">
        <f>F15/SUM(F15:I15)</f>
        <v>0.19565217391304351</v>
      </c>
      <c r="G18" s="83">
        <f>G15/SUM(F15:I15)</f>
        <v>0.23188405797101452</v>
      </c>
      <c r="H18" s="83">
        <f>H15/SUM(F15:I15)</f>
        <v>0.27536231884057971</v>
      </c>
      <c r="I18" s="85">
        <f>I15/SUM(F15:I15)</f>
        <v>0.29710144927536231</v>
      </c>
      <c r="J18" s="83">
        <f>J15/SUM(J15:M15)</f>
        <v>0.18518518518518517</v>
      </c>
      <c r="K18" s="83">
        <f>K15/SUM(J15:M15)</f>
        <v>0.20164609053497942</v>
      </c>
      <c r="L18" s="83">
        <f>L15/SUM(J15:M15)</f>
        <v>0.26748971193415638</v>
      </c>
      <c r="M18" s="85">
        <f>M15/SUM(J15:M15)</f>
        <v>0.34567901234567899</v>
      </c>
      <c r="N18" s="83">
        <f>N15/SUM(N15:Q15)</f>
        <v>0.19638826185101579</v>
      </c>
      <c r="O18" s="83">
        <f>O15/SUM(N15:Q15)</f>
        <v>0.2144469525959368</v>
      </c>
      <c r="P18" s="83">
        <f>P15/SUM(N15:Q15)</f>
        <v>0.25507900677200906</v>
      </c>
      <c r="Q18" s="85">
        <f>Q15/SUM(N15:Q15)</f>
        <v>0.3340857787810384</v>
      </c>
      <c r="R18" s="83">
        <f>R15/SUM(R15:U15)</f>
        <v>0.19538670284938942</v>
      </c>
      <c r="S18" s="83">
        <f>S15/SUM(R15:U15)</f>
        <v>0.21438263229308005</v>
      </c>
      <c r="T18" s="83">
        <f>T15/SUM(R15:U15)</f>
        <v>0.25237449118046135</v>
      </c>
      <c r="U18" s="85">
        <f>U15/SUM(R15:U15)</f>
        <v>0.33785617367706916</v>
      </c>
      <c r="V18" s="83"/>
      <c r="W18" s="83"/>
      <c r="X18" s="83"/>
      <c r="Y18" s="85"/>
      <c r="Z18" s="83">
        <f>Z15/SUM(Z15:AA15,AB14:AC14)</f>
        <v>0.18928392588883325</v>
      </c>
      <c r="AA18" s="83">
        <f>AA15/SUM(Z15:AA15,AB14:AC14)</f>
        <v>0.24737105658487732</v>
      </c>
      <c r="AB18" s="83">
        <f>AB14/SUM(Z15:AA15,AB14:AC14)</f>
        <v>0.25888833249874815</v>
      </c>
      <c r="AC18" s="85">
        <f>AC14/SUM(Z15:AA15,AB14:AC14)</f>
        <v>0.30445668502754131</v>
      </c>
      <c r="AD18" s="3"/>
    </row>
    <row r="19" spans="1:30" x14ac:dyDescent="0.2">
      <c r="A19" s="15" t="s">
        <v>17</v>
      </c>
      <c r="B19" s="11"/>
      <c r="C19" s="11"/>
      <c r="D19" s="11"/>
      <c r="E19" s="11"/>
      <c r="F19" s="9"/>
      <c r="G19" s="11"/>
      <c r="H19" s="11"/>
      <c r="I19" s="6"/>
      <c r="J19" s="79"/>
      <c r="K19" s="79"/>
      <c r="L19" s="79"/>
      <c r="M19" s="79"/>
      <c r="N19" s="79">
        <v>8.6999999999999993</v>
      </c>
      <c r="O19" s="62">
        <v>8.1999999999999993</v>
      </c>
      <c r="P19" s="62">
        <v>9.4</v>
      </c>
      <c r="Q19" s="62">
        <v>12.2</v>
      </c>
      <c r="R19" s="79">
        <v>13.1</v>
      </c>
      <c r="S19" s="62">
        <v>14.7</v>
      </c>
      <c r="T19" s="62">
        <v>16.8</v>
      </c>
      <c r="U19" s="62">
        <v>21.3</v>
      </c>
      <c r="V19" s="79">
        <v>19.2</v>
      </c>
      <c r="W19" s="62">
        <v>7</v>
      </c>
      <c r="X19" s="62">
        <v>21</v>
      </c>
      <c r="Y19" s="62">
        <v>39.4</v>
      </c>
      <c r="Z19" s="79">
        <v>34.1</v>
      </c>
      <c r="AA19" s="62">
        <v>40.5</v>
      </c>
      <c r="AB19" s="80"/>
      <c r="AC19" s="12"/>
    </row>
    <row r="20" spans="1:30" x14ac:dyDescent="0.2">
      <c r="F20" s="7"/>
      <c r="G20" s="7"/>
      <c r="H20" s="7"/>
      <c r="I20" s="7"/>
      <c r="J20" s="7"/>
      <c r="K20" s="7"/>
      <c r="L20" s="111" t="s">
        <v>7</v>
      </c>
      <c r="M20" s="129"/>
      <c r="N20" s="7">
        <f t="shared" ref="N20:P20" si="3">IF(N15&gt;N19,1,0)</f>
        <v>0</v>
      </c>
      <c r="O20" s="7">
        <f t="shared" si="3"/>
        <v>1</v>
      </c>
      <c r="P20" s="7">
        <f t="shared" si="3"/>
        <v>1</v>
      </c>
      <c r="Q20" s="7">
        <f>IF(Q15&gt;Q19,1,0)</f>
        <v>1</v>
      </c>
      <c r="R20" s="7">
        <f t="shared" ref="R20:X20" si="4">IF(R15&gt;R19,1,0)</f>
        <v>1</v>
      </c>
      <c r="S20" s="7">
        <f t="shared" si="4"/>
        <v>1</v>
      </c>
      <c r="T20" s="7">
        <f t="shared" si="4"/>
        <v>1</v>
      </c>
      <c r="U20" s="7">
        <f t="shared" si="4"/>
        <v>1</v>
      </c>
      <c r="V20" s="7">
        <f t="shared" si="4"/>
        <v>1</v>
      </c>
      <c r="W20" s="7">
        <f t="shared" si="4"/>
        <v>1</v>
      </c>
      <c r="X20" s="7">
        <f t="shared" si="4"/>
        <v>1</v>
      </c>
      <c r="Y20" s="7">
        <f t="shared" ref="Y20:AA20" si="5">IF(Y15&gt;Y19,1,0)</f>
        <v>1</v>
      </c>
      <c r="Z20" s="7">
        <f>IF(Z15&gt;Z19,1,0)</f>
        <v>1</v>
      </c>
      <c r="AA20" s="8">
        <f t="shared" si="5"/>
        <v>1</v>
      </c>
      <c r="AB20" s="44" t="s">
        <v>8</v>
      </c>
      <c r="AC20" s="41">
        <f>AVERAGE(N20:AA20)</f>
        <v>0.9285714285714286</v>
      </c>
    </row>
    <row r="21" spans="1:30" x14ac:dyDescent="0.2">
      <c r="F21" s="6"/>
      <c r="G21" s="6"/>
      <c r="H21" s="6"/>
      <c r="I21" s="6"/>
      <c r="J21" s="6"/>
      <c r="K21" s="6"/>
      <c r="L21" s="130" t="s">
        <v>9</v>
      </c>
      <c r="M21" s="131"/>
      <c r="N21" s="6"/>
      <c r="Q21" s="6">
        <f t="shared" ref="Q21" si="6">AVERAGE(N20:Q20)</f>
        <v>0.75</v>
      </c>
      <c r="R21" s="6">
        <f>AVERAGE(O20:R20)</f>
        <v>1</v>
      </c>
      <c r="S21" s="6">
        <f t="shared" ref="S21" si="7">AVERAGE(P20:S20)</f>
        <v>1</v>
      </c>
      <c r="T21" s="6">
        <f t="shared" ref="T21:AA21" si="8">AVERAGE(Q20:T20)</f>
        <v>1</v>
      </c>
      <c r="U21" s="6">
        <f t="shared" si="8"/>
        <v>1</v>
      </c>
      <c r="V21" s="6">
        <f t="shared" si="8"/>
        <v>1</v>
      </c>
      <c r="W21" s="6">
        <f t="shared" si="8"/>
        <v>1</v>
      </c>
      <c r="X21" s="6">
        <f t="shared" si="8"/>
        <v>1</v>
      </c>
      <c r="Y21" s="6">
        <f t="shared" si="8"/>
        <v>1</v>
      </c>
      <c r="Z21" s="6">
        <f t="shared" si="8"/>
        <v>1</v>
      </c>
      <c r="AA21" s="10">
        <f t="shared" si="8"/>
        <v>1</v>
      </c>
      <c r="AB21" s="40" t="s">
        <v>10</v>
      </c>
      <c r="AC21" s="41">
        <f>AVERAGE(Q21:AA21)</f>
        <v>0.97727272727272729</v>
      </c>
    </row>
    <row r="22" spans="1:30" x14ac:dyDescent="0.2">
      <c r="F22" s="17"/>
      <c r="G22" s="17"/>
      <c r="H22" s="17"/>
      <c r="I22" s="17"/>
      <c r="J22" s="17"/>
      <c r="K22" s="17"/>
      <c r="L22" s="115" t="s">
        <v>11</v>
      </c>
      <c r="M22" s="116"/>
      <c r="N22" s="17">
        <f t="shared" ref="N22:P22" si="9">N15/N19-1</f>
        <v>0</v>
      </c>
      <c r="O22" s="17">
        <f t="shared" si="9"/>
        <v>0.1585365853658538</v>
      </c>
      <c r="P22" s="17">
        <f t="shared" si="9"/>
        <v>0.2021276595744681</v>
      </c>
      <c r="Q22" s="17">
        <f t="shared" ref="Q22:X22" si="10">Q15/Q19-1</f>
        <v>0.21311475409836089</v>
      </c>
      <c r="R22" s="17">
        <f t="shared" si="10"/>
        <v>9.92366412213741E-2</v>
      </c>
      <c r="S22" s="17">
        <f t="shared" si="10"/>
        <v>7.4829931972789199E-2</v>
      </c>
      <c r="T22" s="17">
        <f t="shared" si="10"/>
        <v>0.10714285714285721</v>
      </c>
      <c r="U22" s="17">
        <f t="shared" si="10"/>
        <v>0.16901408450704225</v>
      </c>
      <c r="V22" s="17">
        <f t="shared" si="10"/>
        <v>5.2083333333334814E-3</v>
      </c>
      <c r="W22" s="17">
        <f t="shared" si="10"/>
        <v>0.5714285714285714</v>
      </c>
      <c r="X22" s="17">
        <f t="shared" si="10"/>
        <v>0.57619047619047636</v>
      </c>
      <c r="Y22" s="17">
        <f t="shared" ref="Y22:AA22" si="11">Y15/Y19-1</f>
        <v>8.3756345177665059E-2</v>
      </c>
      <c r="Z22" s="17">
        <f t="shared" si="11"/>
        <v>0.10850439882697938</v>
      </c>
      <c r="AA22" s="39">
        <f t="shared" si="11"/>
        <v>0.219753086419753</v>
      </c>
      <c r="AB22" s="40" t="s">
        <v>13</v>
      </c>
      <c r="AC22" s="42">
        <f>MEDIAN(O22:AA22)</f>
        <v>0.1585365853658538</v>
      </c>
    </row>
    <row r="23" spans="1:30" x14ac:dyDescent="0.2">
      <c r="F23" s="31"/>
      <c r="G23" s="31"/>
      <c r="H23" s="31"/>
      <c r="I23" s="31"/>
      <c r="J23" s="31"/>
      <c r="K23" s="31"/>
      <c r="L23" s="130" t="s">
        <v>12</v>
      </c>
      <c r="M23" s="131"/>
      <c r="N23" s="31"/>
      <c r="Q23" s="31">
        <f t="shared" ref="Q23:Z23" si="12">AVERAGE(N22:Q22)</f>
        <v>0.1434447497596707</v>
      </c>
      <c r="R23" s="31">
        <f t="shared" si="12"/>
        <v>0.16825391006501422</v>
      </c>
      <c r="S23" s="31">
        <f t="shared" si="12"/>
        <v>0.14732724671674807</v>
      </c>
      <c r="T23" s="31">
        <f t="shared" si="12"/>
        <v>0.12358104610884535</v>
      </c>
      <c r="U23" s="31">
        <f t="shared" si="12"/>
        <v>0.11255587871101569</v>
      </c>
      <c r="V23" s="31">
        <f t="shared" si="12"/>
        <v>8.9048801739005534E-2</v>
      </c>
      <c r="W23" s="31">
        <f t="shared" si="12"/>
        <v>0.21319846160295108</v>
      </c>
      <c r="X23" s="31">
        <f t="shared" si="12"/>
        <v>0.33046036636485587</v>
      </c>
      <c r="Y23" s="31">
        <f t="shared" si="12"/>
        <v>0.30914593153251158</v>
      </c>
      <c r="Z23" s="31">
        <f t="shared" si="12"/>
        <v>0.33496994790592305</v>
      </c>
      <c r="AA23" s="32">
        <f t="shared" ref="AA23" si="13">AVERAGE(X22:AA22)</f>
        <v>0.24705107665371845</v>
      </c>
      <c r="AB23" s="18" t="s">
        <v>14</v>
      </c>
      <c r="AC23" s="32">
        <f>MEDIAN(Q23:AA23)</f>
        <v>0.16825391006501422</v>
      </c>
    </row>
    <row r="24" spans="1:30" x14ac:dyDescent="0.2">
      <c r="L24" s="111" t="s">
        <v>25</v>
      </c>
      <c r="M24" s="129"/>
      <c r="N24" s="94">
        <f>AVERAGE(O22:AA22)</f>
        <v>0.19914182501996341</v>
      </c>
      <c r="O24" s="111" t="s">
        <v>29</v>
      </c>
      <c r="P24" s="112"/>
      <c r="Q24" s="45">
        <f>MEDIAN(O22:AA22)</f>
        <v>0.1585365853658538</v>
      </c>
      <c r="X24" s="3"/>
      <c r="Y24" s="154" t="s">
        <v>23</v>
      </c>
      <c r="Z24" s="155"/>
      <c r="AA24" s="155"/>
      <c r="AB24" s="156"/>
      <c r="AC24" s="43">
        <f>AVERAGE(Y17:AB17)</f>
        <v>0.93272011202881133</v>
      </c>
    </row>
    <row r="25" spans="1:30" x14ac:dyDescent="0.2">
      <c r="L25" s="113" t="s">
        <v>26</v>
      </c>
      <c r="M25" s="135"/>
      <c r="N25" s="93">
        <f>N22</f>
        <v>0</v>
      </c>
      <c r="O25" s="113" t="s">
        <v>30</v>
      </c>
      <c r="P25" s="114"/>
      <c r="Q25" s="32">
        <f>N22</f>
        <v>0</v>
      </c>
      <c r="Y25" s="157" t="s">
        <v>27</v>
      </c>
      <c r="Z25" s="158"/>
      <c r="AA25" s="158"/>
      <c r="AB25" s="158"/>
      <c r="AC25" s="45">
        <f>AVERAGE(AB18,T18,P18,L18)</f>
        <v>0.25845788559634375</v>
      </c>
    </row>
    <row r="26" spans="1:30" x14ac:dyDescent="0.2">
      <c r="Y26" s="109" t="s">
        <v>28</v>
      </c>
      <c r="Z26" s="110"/>
      <c r="AA26" s="110"/>
      <c r="AB26" s="110"/>
      <c r="AC26" s="46">
        <f>_xlfn.STDEV.S(AB18,T18,P18,L18,H18)</f>
        <v>9.4708971579780445E-3</v>
      </c>
    </row>
    <row r="29" spans="1:30" ht="18" customHeight="1" x14ac:dyDescent="0.2"/>
  </sheetData>
  <mergeCells count="26">
    <mergeCell ref="B11:E11"/>
    <mergeCell ref="L23:M23"/>
    <mergeCell ref="Y24:AB24"/>
    <mergeCell ref="Y25:AB25"/>
    <mergeCell ref="Y10:AA10"/>
    <mergeCell ref="A1:C3"/>
    <mergeCell ref="F1:G1"/>
    <mergeCell ref="K1:L1"/>
    <mergeCell ref="K2:L2"/>
    <mergeCell ref="K3:L3"/>
    <mergeCell ref="K4:L4"/>
    <mergeCell ref="F10:G10"/>
    <mergeCell ref="Y26:AB26"/>
    <mergeCell ref="O24:P24"/>
    <mergeCell ref="O25:P25"/>
    <mergeCell ref="L22:M22"/>
    <mergeCell ref="F11:I11"/>
    <mergeCell ref="J11:M11"/>
    <mergeCell ref="R11:U11"/>
    <mergeCell ref="V11:Y11"/>
    <mergeCell ref="Z11:AC11"/>
    <mergeCell ref="L20:M20"/>
    <mergeCell ref="L21:M21"/>
    <mergeCell ref="N11:Q11"/>
    <mergeCell ref="L24:M24"/>
    <mergeCell ref="L25:M25"/>
  </mergeCells>
  <conditionalFormatting sqref="AC22:AC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C20:AC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C20:AC21 AC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F20:K20 AC20 N20:AA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K21 N21 AC21 Q21:AA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K22 N22:AA22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F23:K23 N23 Q23:AA23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AC22:AC23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AC20:AC21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AC20:AC21 AC24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F22:K22 N22:AA22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F23:K23 N23 Q23:AA23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2"/>
  <sheetViews>
    <sheetView topLeftCell="A4" zoomScale="85" zoomScaleNormal="85" workbookViewId="0">
      <selection activeCell="K29" sqref="K29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1" t="s">
        <v>76</v>
      </c>
      <c r="B4" s="161"/>
      <c r="T4" s="69" t="s">
        <v>165</v>
      </c>
    </row>
    <row r="5" spans="1:21" x14ac:dyDescent="0.2">
      <c r="A5" s="16" t="s">
        <v>56</v>
      </c>
      <c r="B5" s="16" t="s">
        <v>57</v>
      </c>
      <c r="C5" s="16" t="s">
        <v>68</v>
      </c>
      <c r="D5" s="16" t="s">
        <v>58</v>
      </c>
      <c r="E5" s="16" t="s">
        <v>59</v>
      </c>
      <c r="F5" s="16" t="s">
        <v>69</v>
      </c>
      <c r="G5" s="16" t="s">
        <v>60</v>
      </c>
      <c r="H5" s="16" t="s">
        <v>61</v>
      </c>
      <c r="I5" s="16" t="s">
        <v>70</v>
      </c>
      <c r="J5" s="16" t="s">
        <v>62</v>
      </c>
      <c r="K5" s="16" t="s">
        <v>63</v>
      </c>
      <c r="L5" s="16" t="s">
        <v>73</v>
      </c>
      <c r="M5" s="16" t="s">
        <v>64</v>
      </c>
      <c r="N5" s="16" t="s">
        <v>65</v>
      </c>
      <c r="O5" s="16" t="s">
        <v>74</v>
      </c>
      <c r="P5" s="16" t="s">
        <v>66</v>
      </c>
      <c r="Q5" s="16" t="s">
        <v>67</v>
      </c>
      <c r="R5" s="16" t="s">
        <v>0</v>
      </c>
      <c r="S5" s="16" t="s">
        <v>72</v>
      </c>
      <c r="T5" s="35" t="s">
        <v>0</v>
      </c>
      <c r="U5" s="35" t="s">
        <v>72</v>
      </c>
    </row>
    <row r="6" spans="1:21" x14ac:dyDescent="0.2">
      <c r="A6" t="s">
        <v>168</v>
      </c>
      <c r="B6" t="s">
        <v>169</v>
      </c>
      <c r="C6" t="s">
        <v>42</v>
      </c>
      <c r="D6">
        <v>20180531</v>
      </c>
      <c r="E6">
        <v>13.425575</v>
      </c>
      <c r="F6">
        <v>13.051907999999999</v>
      </c>
      <c r="G6">
        <v>10.829696999999999</v>
      </c>
      <c r="H6">
        <v>9.7966420000000003</v>
      </c>
      <c r="I6">
        <v>10.642989999999999</v>
      </c>
      <c r="J6">
        <v>11.5493624</v>
      </c>
      <c r="R6">
        <v>8.6999999999999993</v>
      </c>
      <c r="S6">
        <v>8.6999999999999993</v>
      </c>
      <c r="T6" s="87"/>
      <c r="U6" s="86"/>
    </row>
    <row r="7" spans="1:21" x14ac:dyDescent="0.2">
      <c r="A7" t="s">
        <v>168</v>
      </c>
      <c r="B7" t="s">
        <v>169</v>
      </c>
      <c r="C7" t="s">
        <v>43</v>
      </c>
      <c r="D7">
        <v>20180802</v>
      </c>
      <c r="E7">
        <v>6.1476199999999999</v>
      </c>
      <c r="F7">
        <v>6.2485150000000003</v>
      </c>
      <c r="G7">
        <v>6.5415150000000004</v>
      </c>
      <c r="H7">
        <v>5.1039709999999996</v>
      </c>
      <c r="I7">
        <v>5.7646759999999997</v>
      </c>
      <c r="J7">
        <v>5.9612594000000003</v>
      </c>
      <c r="K7">
        <v>3.9837618872934675</v>
      </c>
      <c r="L7">
        <v>4.1650677050435849</v>
      </c>
      <c r="M7">
        <v>5.2551036746457447</v>
      </c>
      <c r="N7">
        <v>4.5326294152629032</v>
      </c>
      <c r="O7">
        <v>4.7122736373894929</v>
      </c>
      <c r="P7">
        <v>4.4905471820678171</v>
      </c>
      <c r="Q7">
        <v>4.5232305836171687</v>
      </c>
      <c r="R7">
        <v>8.1999999999999993</v>
      </c>
      <c r="S7">
        <v>9.5</v>
      </c>
      <c r="T7" s="87"/>
      <c r="U7" s="86"/>
    </row>
    <row r="8" spans="1:21" x14ac:dyDescent="0.2">
      <c r="A8" t="s">
        <v>168</v>
      </c>
      <c r="B8" t="s">
        <v>169</v>
      </c>
      <c r="C8" t="s">
        <v>44</v>
      </c>
      <c r="D8">
        <v>20181101</v>
      </c>
      <c r="E8">
        <v>11.012403000000001</v>
      </c>
      <c r="F8">
        <v>10.948</v>
      </c>
      <c r="G8">
        <v>9.5603990000000003</v>
      </c>
      <c r="H8">
        <v>11.006973</v>
      </c>
      <c r="I8">
        <v>10.010697</v>
      </c>
      <c r="J8">
        <v>10.5076944</v>
      </c>
      <c r="K8">
        <v>17.017614702925687</v>
      </c>
      <c r="L8">
        <v>16.644914831764027</v>
      </c>
      <c r="M8">
        <v>13.884213442910397</v>
      </c>
      <c r="N8">
        <v>20.487233077930892</v>
      </c>
      <c r="O8">
        <v>16.497305572767665</v>
      </c>
      <c r="P8">
        <v>16.745303316275752</v>
      </c>
      <c r="Q8">
        <v>16.879430824095738</v>
      </c>
      <c r="R8">
        <v>9.4</v>
      </c>
      <c r="S8">
        <v>11.3</v>
      </c>
      <c r="T8" s="87"/>
      <c r="U8" s="86"/>
    </row>
    <row r="9" spans="1:21" x14ac:dyDescent="0.2">
      <c r="A9" t="s">
        <v>168</v>
      </c>
      <c r="B9" t="s">
        <v>169</v>
      </c>
      <c r="C9" t="s">
        <v>45</v>
      </c>
      <c r="D9">
        <v>20190221</v>
      </c>
      <c r="E9">
        <v>10.43796</v>
      </c>
      <c r="F9">
        <v>11.281404</v>
      </c>
      <c r="G9">
        <v>14.369297</v>
      </c>
      <c r="H9">
        <v>10.921863999999999</v>
      </c>
      <c r="I9">
        <v>9.4278300000000002</v>
      </c>
      <c r="J9">
        <v>11.287671</v>
      </c>
      <c r="K9">
        <v>10.710554998759127</v>
      </c>
      <c r="L9">
        <v>11.644123602484473</v>
      </c>
      <c r="M9">
        <v>16.983920451437225</v>
      </c>
      <c r="N9">
        <v>11.212625233113592</v>
      </c>
      <c r="O9">
        <v>10.642064084049293</v>
      </c>
      <c r="P9">
        <v>12.13878872419434</v>
      </c>
      <c r="Q9">
        <v>12.22201284900634</v>
      </c>
      <c r="R9">
        <v>12.2</v>
      </c>
      <c r="S9">
        <v>14.8</v>
      </c>
      <c r="T9" s="87"/>
      <c r="U9" s="86"/>
    </row>
    <row r="10" spans="1:21" x14ac:dyDescent="0.2">
      <c r="A10" t="s">
        <v>168</v>
      </c>
      <c r="B10" t="s">
        <v>169</v>
      </c>
      <c r="C10" t="s">
        <v>46</v>
      </c>
      <c r="D10">
        <v>20190502</v>
      </c>
      <c r="E10">
        <v>12.814527</v>
      </c>
      <c r="F10">
        <v>12.351013999999999</v>
      </c>
      <c r="G10">
        <v>10.575538999999999</v>
      </c>
      <c r="H10">
        <v>11.824313</v>
      </c>
      <c r="I10">
        <v>8.3063739999999999</v>
      </c>
      <c r="J10">
        <v>11.174353399999999</v>
      </c>
      <c r="K10">
        <v>18.169738109745584</v>
      </c>
      <c r="L10">
        <v>16.20321435168885</v>
      </c>
      <c r="M10">
        <v>10.892528507135735</v>
      </c>
      <c r="N10">
        <v>16.022890634785419</v>
      </c>
      <c r="O10">
        <v>13.039515477050394</v>
      </c>
      <c r="P10">
        <v>14.651421920429822</v>
      </c>
      <c r="Q10">
        <v>14.829884833472635</v>
      </c>
      <c r="R10">
        <v>13.1</v>
      </c>
      <c r="S10">
        <v>14.4</v>
      </c>
      <c r="T10" s="87"/>
      <c r="U10" s="86"/>
    </row>
    <row r="11" spans="1:21" x14ac:dyDescent="0.2">
      <c r="A11" t="s">
        <v>168</v>
      </c>
      <c r="B11" t="s">
        <v>169</v>
      </c>
      <c r="C11" t="s">
        <v>47</v>
      </c>
      <c r="D11">
        <v>20190801</v>
      </c>
      <c r="E11">
        <v>18.412642000000002</v>
      </c>
      <c r="F11">
        <v>17.431459</v>
      </c>
      <c r="G11">
        <v>15.401617999999999</v>
      </c>
      <c r="H11">
        <v>18.287583999999999</v>
      </c>
      <c r="I11">
        <v>12.318327999999999</v>
      </c>
      <c r="J11">
        <v>16.370326200000001</v>
      </c>
      <c r="K11">
        <v>20.690739876703994</v>
      </c>
      <c r="L11">
        <v>20.323271401036386</v>
      </c>
      <c r="M11">
        <v>20.971347105807091</v>
      </c>
      <c r="N11">
        <v>22.271163627011564</v>
      </c>
      <c r="O11">
        <v>21.355157280421036</v>
      </c>
      <c r="P11">
        <v>21.095869160536843</v>
      </c>
      <c r="Q11">
        <v>21.117924741919484</v>
      </c>
      <c r="R11">
        <v>14.7</v>
      </c>
      <c r="S11">
        <v>15.8</v>
      </c>
      <c r="T11" s="87"/>
      <c r="U11" s="86"/>
    </row>
    <row r="12" spans="1:21" x14ac:dyDescent="0.2">
      <c r="A12" t="s">
        <v>168</v>
      </c>
      <c r="B12" t="s">
        <v>169</v>
      </c>
      <c r="C12" t="s">
        <v>48</v>
      </c>
      <c r="D12">
        <v>20191031</v>
      </c>
      <c r="E12">
        <v>20.350415000000002</v>
      </c>
      <c r="F12">
        <v>21.434076000000001</v>
      </c>
      <c r="G12">
        <v>20.813879</v>
      </c>
      <c r="H12">
        <v>22.721015999999999</v>
      </c>
      <c r="I12">
        <v>17.542828</v>
      </c>
      <c r="J12">
        <v>20.572442800000001</v>
      </c>
      <c r="K12">
        <v>17.46281478779634</v>
      </c>
      <c r="L12">
        <v>19.428000880477075</v>
      </c>
      <c r="M12">
        <v>21.352255860390773</v>
      </c>
      <c r="N12">
        <v>19.630370682097759</v>
      </c>
      <c r="O12">
        <v>22.501161066664245</v>
      </c>
      <c r="P12">
        <v>19.855718955679698</v>
      </c>
      <c r="Q12">
        <v>20.038387038850981</v>
      </c>
      <c r="R12">
        <v>16.8</v>
      </c>
      <c r="S12">
        <v>18.600000000000001</v>
      </c>
      <c r="T12" s="9"/>
      <c r="U12" s="61"/>
    </row>
    <row r="13" spans="1:21" x14ac:dyDescent="0.2">
      <c r="A13" t="s">
        <v>168</v>
      </c>
      <c r="B13" t="s">
        <v>169</v>
      </c>
      <c r="C13" t="s">
        <v>49</v>
      </c>
      <c r="D13">
        <v>20200220</v>
      </c>
      <c r="E13">
        <v>21.164017000000001</v>
      </c>
      <c r="F13">
        <v>21.311420999999999</v>
      </c>
      <c r="G13">
        <v>24.993203000000001</v>
      </c>
      <c r="H13">
        <v>23.723465999999998</v>
      </c>
      <c r="I13">
        <v>18.381536000000001</v>
      </c>
      <c r="J13">
        <v>21.914728599999997</v>
      </c>
      <c r="K13">
        <v>19.343621061290399</v>
      </c>
      <c r="L13">
        <v>18.49356280158753</v>
      </c>
      <c r="M13">
        <v>22.334788042152066</v>
      </c>
      <c r="N13">
        <v>19.420630996430795</v>
      </c>
      <c r="O13">
        <v>19.489250513087175</v>
      </c>
      <c r="P13">
        <v>19.813590244129877</v>
      </c>
      <c r="Q13">
        <v>19.815907276446307</v>
      </c>
      <c r="R13">
        <v>21.3</v>
      </c>
      <c r="S13">
        <v>24.9</v>
      </c>
      <c r="T13" s="9"/>
      <c r="U13" s="61"/>
    </row>
    <row r="14" spans="1:21" x14ac:dyDescent="0.2">
      <c r="A14" t="s">
        <v>168</v>
      </c>
      <c r="B14" t="s">
        <v>169</v>
      </c>
      <c r="C14" t="s">
        <v>50</v>
      </c>
      <c r="D14">
        <v>20200430</v>
      </c>
      <c r="E14">
        <v>26.708874000000002</v>
      </c>
      <c r="F14">
        <v>26.742882000000002</v>
      </c>
      <c r="G14">
        <v>22.631636</v>
      </c>
      <c r="H14">
        <v>26.300032000000002</v>
      </c>
      <c r="I14">
        <v>22.375095000000002</v>
      </c>
      <c r="J14">
        <v>24.951703800000001</v>
      </c>
      <c r="K14">
        <v>31.423664165455925</v>
      </c>
      <c r="L14">
        <v>31.246051673419618</v>
      </c>
      <c r="M14">
        <v>22.547239599502312</v>
      </c>
      <c r="N14">
        <v>27.604347391734414</v>
      </c>
      <c r="O14">
        <v>30.309755697238792</v>
      </c>
      <c r="P14">
        <v>28.350678484788542</v>
      </c>
      <c r="Q14">
        <v>28.580289502023266</v>
      </c>
      <c r="R14">
        <v>19.2</v>
      </c>
      <c r="S14">
        <v>19.3</v>
      </c>
      <c r="T14" s="9"/>
      <c r="U14" s="61"/>
    </row>
    <row r="15" spans="1:21" x14ac:dyDescent="0.2">
      <c r="A15" t="s">
        <v>168</v>
      </c>
      <c r="B15" t="s">
        <v>169</v>
      </c>
      <c r="C15" t="s">
        <v>51</v>
      </c>
      <c r="D15">
        <v>20200730</v>
      </c>
      <c r="E15">
        <v>29.788544000000002</v>
      </c>
      <c r="F15">
        <v>28.267785</v>
      </c>
      <c r="G15">
        <v>10.602969999999999</v>
      </c>
      <c r="H15">
        <v>26.222491999999999</v>
      </c>
      <c r="I15">
        <v>23.560607999999998</v>
      </c>
      <c r="J15">
        <v>23.688479800000003</v>
      </c>
      <c r="K15">
        <v>21.525388872627129</v>
      </c>
      <c r="L15">
        <v>20.400503225493797</v>
      </c>
      <c r="M15">
        <v>9.0420913892393813</v>
      </c>
      <c r="N15">
        <v>19.243098092047948</v>
      </c>
      <c r="O15">
        <v>20.322583408025753</v>
      </c>
      <c r="P15">
        <v>18.322903470022759</v>
      </c>
      <c r="Q15">
        <v>18.142761409576128</v>
      </c>
      <c r="R15">
        <v>7</v>
      </c>
      <c r="S15">
        <v>11</v>
      </c>
      <c r="T15" s="9"/>
      <c r="U15" s="61"/>
    </row>
    <row r="16" spans="1:21" x14ac:dyDescent="0.2">
      <c r="A16" t="s">
        <v>168</v>
      </c>
      <c r="B16" t="s">
        <v>169</v>
      </c>
      <c r="C16" t="s">
        <v>52</v>
      </c>
      <c r="D16">
        <v>20201029</v>
      </c>
      <c r="E16">
        <v>18.246755</v>
      </c>
      <c r="F16">
        <v>18.994297</v>
      </c>
      <c r="G16">
        <v>29.868554</v>
      </c>
      <c r="H16">
        <v>18.096447000000001</v>
      </c>
      <c r="I16">
        <v>17.913208999999998</v>
      </c>
      <c r="J16">
        <v>20.879729599999997</v>
      </c>
      <c r="K16">
        <v>6.9546037899670425</v>
      </c>
      <c r="L16">
        <v>7.625330141714322</v>
      </c>
      <c r="M16">
        <v>30.928655650256491</v>
      </c>
      <c r="N16">
        <v>7.6237672605639473</v>
      </c>
      <c r="O16">
        <v>8.3960749230240577</v>
      </c>
      <c r="P16">
        <v>9.6957266797677732</v>
      </c>
      <c r="Q16">
        <v>11.870693074215604</v>
      </c>
      <c r="R16">
        <v>21</v>
      </c>
      <c r="S16">
        <v>33.1</v>
      </c>
      <c r="T16" s="9"/>
      <c r="U16" s="61"/>
    </row>
    <row r="17" spans="1:22" x14ac:dyDescent="0.2">
      <c r="A17" t="s">
        <v>168</v>
      </c>
      <c r="B17" t="s">
        <v>169</v>
      </c>
      <c r="C17" t="s">
        <v>53</v>
      </c>
      <c r="D17">
        <v>20210218</v>
      </c>
      <c r="E17">
        <v>29.147759000000001</v>
      </c>
      <c r="F17">
        <v>30.141631</v>
      </c>
      <c r="G17">
        <v>44.448540000000001</v>
      </c>
      <c r="H17">
        <v>27.466889999999999</v>
      </c>
      <c r="I17">
        <v>27.987344</v>
      </c>
      <c r="J17">
        <v>31.838432800000003</v>
      </c>
      <c r="K17">
        <v>51.227620047159803</v>
      </c>
      <c r="L17">
        <v>50.913974051166591</v>
      </c>
      <c r="M17">
        <v>49.350277978962261</v>
      </c>
      <c r="N17">
        <v>50.024939947230152</v>
      </c>
      <c r="O17">
        <v>51.513322971885636</v>
      </c>
      <c r="P17">
        <v>50.472498728144465</v>
      </c>
      <c r="Q17">
        <v>50.583772287424814</v>
      </c>
      <c r="R17">
        <v>39.4</v>
      </c>
      <c r="S17">
        <v>42.7</v>
      </c>
      <c r="T17" s="9"/>
      <c r="U17" s="61"/>
    </row>
    <row r="18" spans="1:22" x14ac:dyDescent="0.2">
      <c r="A18" t="s">
        <v>168</v>
      </c>
      <c r="B18" t="s">
        <v>169</v>
      </c>
      <c r="C18" t="s">
        <v>54</v>
      </c>
      <c r="D18">
        <v>20210429</v>
      </c>
      <c r="E18">
        <v>33.962474</v>
      </c>
      <c r="F18">
        <v>32.628148000000003</v>
      </c>
      <c r="G18">
        <v>35.760770000000001</v>
      </c>
      <c r="H18">
        <v>35.429817999999997</v>
      </c>
      <c r="I18">
        <v>34.286616000000002</v>
      </c>
      <c r="J18">
        <v>34.413565200000001</v>
      </c>
      <c r="K18">
        <v>49.753315162239403</v>
      </c>
      <c r="L18">
        <v>46.222512630454546</v>
      </c>
      <c r="M18">
        <v>34.353994056947656</v>
      </c>
      <c r="N18">
        <v>55.079159984985559</v>
      </c>
      <c r="O18">
        <v>52.310733851700974</v>
      </c>
      <c r="P18">
        <v>46.153629585687391</v>
      </c>
      <c r="Q18">
        <v>47.312224212002583</v>
      </c>
      <c r="R18">
        <v>34.1</v>
      </c>
      <c r="S18">
        <v>37.799999999999997</v>
      </c>
      <c r="T18" s="9"/>
      <c r="U18" s="61"/>
    </row>
    <row r="19" spans="1:22" x14ac:dyDescent="0.2">
      <c r="A19" t="s">
        <v>168</v>
      </c>
      <c r="B19" t="s">
        <v>169</v>
      </c>
      <c r="C19" t="s">
        <v>55</v>
      </c>
      <c r="D19">
        <v>20210729</v>
      </c>
      <c r="E19">
        <v>44.541569000000003</v>
      </c>
      <c r="F19">
        <v>39.060121000000002</v>
      </c>
      <c r="G19">
        <v>43.818148999999998</v>
      </c>
      <c r="H19">
        <v>42.673814</v>
      </c>
      <c r="I19">
        <v>34.220750000000002</v>
      </c>
      <c r="J19">
        <v>40.862880599999997</v>
      </c>
      <c r="K19">
        <v>49.574459981920043</v>
      </c>
      <c r="L19">
        <v>45.251497994921436</v>
      </c>
      <c r="M19">
        <v>46.316844749148288</v>
      </c>
      <c r="N19">
        <v>45.528604442732387</v>
      </c>
      <c r="O19">
        <v>37.727384644783839</v>
      </c>
      <c r="P19">
        <v>44.883954269289127</v>
      </c>
      <c r="Q19">
        <v>44.880457680465859</v>
      </c>
      <c r="R19">
        <v>40.5</v>
      </c>
      <c r="S19">
        <v>49.4</v>
      </c>
      <c r="T19" s="9"/>
      <c r="U19" s="61"/>
    </row>
    <row r="20" spans="1:22" x14ac:dyDescent="0.2">
      <c r="A20" t="s">
        <v>168</v>
      </c>
      <c r="B20" t="s">
        <v>169</v>
      </c>
      <c r="C20" t="s">
        <v>71</v>
      </c>
      <c r="D20" s="11">
        <v>20211021</v>
      </c>
      <c r="E20">
        <v>64.381322999999995</v>
      </c>
      <c r="F20">
        <v>57.267178000000001</v>
      </c>
      <c r="G20">
        <v>58.949240000000003</v>
      </c>
      <c r="H20">
        <v>56.764812999999997</v>
      </c>
      <c r="I20">
        <v>45.792293999999998</v>
      </c>
      <c r="J20">
        <f>AVERAGE(E20:I20)</f>
        <v>56.6309696</v>
      </c>
      <c r="K20">
        <f>(E20/E19)*S19</f>
        <v>71.403801608335783</v>
      </c>
      <c r="L20">
        <f>(F20/F19)*$S19</f>
        <v>72.426774950338725</v>
      </c>
      <c r="M20">
        <f t="shared" ref="M20:P20" si="0">(G20/G19)*$S19</f>
        <v>66.458591301973996</v>
      </c>
      <c r="N20">
        <f t="shared" si="0"/>
        <v>65.712002264433167</v>
      </c>
      <c r="O20">
        <f t="shared" si="0"/>
        <v>66.104317514958026</v>
      </c>
      <c r="P20">
        <f t="shared" si="0"/>
        <v>68.462376052852235</v>
      </c>
      <c r="Q20">
        <f>AVERAGE(K20:P20)</f>
        <v>68.42797728214866</v>
      </c>
      <c r="R20" s="100">
        <f>'1. Data &amp; Confidence Interval'!AB14</f>
        <v>51.7</v>
      </c>
      <c r="T20" s="9"/>
      <c r="U20" s="61"/>
    </row>
    <row r="21" spans="1:22" x14ac:dyDescent="0.2">
      <c r="A21" s="159" t="s">
        <v>75</v>
      </c>
      <c r="B21" s="160"/>
      <c r="C21" s="160"/>
      <c r="D21" s="160"/>
      <c r="E21" s="95">
        <f t="shared" ref="E21:R21" si="1">CORREL(E$9:E$19,$S$9:$S$19)</f>
        <v>0.70127280642200895</v>
      </c>
      <c r="F21" s="95">
        <f t="shared" si="1"/>
        <v>0.71445652664510517</v>
      </c>
      <c r="G21" s="96">
        <f t="shared" si="1"/>
        <v>0.97890587713216715</v>
      </c>
      <c r="H21" s="95">
        <f t="shared" si="1"/>
        <v>0.726402138503218</v>
      </c>
      <c r="I21" s="95">
        <f t="shared" si="1"/>
        <v>0.77277521824578776</v>
      </c>
      <c r="J21" s="95">
        <f t="shared" si="1"/>
        <v>0.84052780730266186</v>
      </c>
      <c r="K21" s="95">
        <f t="shared" si="1"/>
        <v>0.73162435253552627</v>
      </c>
      <c r="L21" s="95">
        <f t="shared" si="1"/>
        <v>0.72495272393232268</v>
      </c>
      <c r="M21" s="95">
        <f t="shared" si="1"/>
        <v>0.95864992937130189</v>
      </c>
      <c r="N21" s="95">
        <f t="shared" si="1"/>
        <v>0.7305731518726748</v>
      </c>
      <c r="O21" s="95">
        <f t="shared" si="1"/>
        <v>0.67653195125041121</v>
      </c>
      <c r="P21" s="95">
        <f t="shared" si="1"/>
        <v>0.76987894318146588</v>
      </c>
      <c r="Q21" s="95">
        <f t="shared" si="1"/>
        <v>0.78864718104442877</v>
      </c>
      <c r="R21" s="96">
        <f t="shared" si="1"/>
        <v>0.96695644913342271</v>
      </c>
      <c r="S21" s="5"/>
    </row>
    <row r="23" spans="1:22" x14ac:dyDescent="0.2">
      <c r="A23" s="162" t="s">
        <v>77</v>
      </c>
      <c r="B23" s="163"/>
    </row>
    <row r="24" spans="1:22" x14ac:dyDescent="0.2">
      <c r="A24" s="16" t="s">
        <v>56</v>
      </c>
      <c r="B24" s="16" t="s">
        <v>57</v>
      </c>
      <c r="C24" s="16" t="s">
        <v>68</v>
      </c>
      <c r="D24" s="16" t="s">
        <v>58</v>
      </c>
      <c r="E24" s="16" t="s">
        <v>59</v>
      </c>
      <c r="F24" s="16" t="s">
        <v>69</v>
      </c>
      <c r="G24" s="16" t="s">
        <v>60</v>
      </c>
      <c r="H24" s="16" t="s">
        <v>61</v>
      </c>
      <c r="I24" s="16" t="s">
        <v>70</v>
      </c>
      <c r="J24" s="16" t="s">
        <v>62</v>
      </c>
      <c r="K24" s="16" t="s">
        <v>63</v>
      </c>
      <c r="L24" s="16" t="s">
        <v>73</v>
      </c>
      <c r="M24" s="16" t="s">
        <v>64</v>
      </c>
      <c r="N24" s="16" t="s">
        <v>65</v>
      </c>
      <c r="O24" s="16" t="s">
        <v>74</v>
      </c>
      <c r="P24" s="16" t="s">
        <v>66</v>
      </c>
      <c r="Q24" s="16" t="s">
        <v>67</v>
      </c>
      <c r="R24" s="16" t="s">
        <v>0</v>
      </c>
    </row>
    <row r="25" spans="1:22" x14ac:dyDescent="0.2">
      <c r="A25" s="9" t="str">
        <f t="shared" ref="A25:D25" si="2">A6</f>
        <v>INSP</v>
      </c>
      <c r="B25" s="9" t="str">
        <f t="shared" si="2"/>
        <v>HYPOSSAL NERVE STIMULATION</v>
      </c>
      <c r="C25" s="9" t="str">
        <f t="shared" si="2"/>
        <v>2018Q1</v>
      </c>
      <c r="D25" s="9">
        <f t="shared" si="2"/>
        <v>20180531</v>
      </c>
      <c r="E25" s="17">
        <f t="shared" ref="E25:R25" si="3">$S6/E6-1</f>
        <v>-0.35198306217797015</v>
      </c>
      <c r="F25" s="17">
        <f t="shared" si="3"/>
        <v>-0.3334307903488134</v>
      </c>
      <c r="G25" s="17">
        <f t="shared" si="3"/>
        <v>-0.19665342437558508</v>
      </c>
      <c r="H25" s="17">
        <f t="shared" si="3"/>
        <v>-0.11194060168780295</v>
      </c>
      <c r="I25" s="17">
        <f t="shared" si="3"/>
        <v>-0.18256053984829457</v>
      </c>
      <c r="J25" s="17">
        <f t="shared" si="3"/>
        <v>-0.24671166262823307</v>
      </c>
      <c r="K25" s="17"/>
      <c r="L25" s="17"/>
      <c r="M25" s="17"/>
      <c r="N25" s="17"/>
      <c r="O25" s="17"/>
      <c r="P25" s="17"/>
      <c r="Q25" s="17"/>
      <c r="R25" s="39">
        <f t="shared" si="3"/>
        <v>0</v>
      </c>
    </row>
    <row r="26" spans="1:22" x14ac:dyDescent="0.2">
      <c r="A26" s="9" t="str">
        <f t="shared" ref="A26:D26" si="4">A7</f>
        <v>INSP</v>
      </c>
      <c r="B26" s="9" t="str">
        <f t="shared" si="4"/>
        <v>HYPOSSAL NERVE STIMULATION</v>
      </c>
      <c r="C26" s="9" t="str">
        <f t="shared" si="4"/>
        <v>2018Q2</v>
      </c>
      <c r="D26" s="9">
        <f t="shared" si="4"/>
        <v>20180802</v>
      </c>
      <c r="E26" s="17">
        <f t="shared" ref="E26:R26" si="5">$S7/E7-1</f>
        <v>0.54531347090418736</v>
      </c>
      <c r="F26" s="17">
        <f t="shared" si="5"/>
        <v>0.52036123783010835</v>
      </c>
      <c r="G26" s="17">
        <f t="shared" si="5"/>
        <v>0.45226296966375523</v>
      </c>
      <c r="H26" s="17">
        <f t="shared" si="5"/>
        <v>0.86129584200223719</v>
      </c>
      <c r="I26" s="17">
        <f t="shared" si="5"/>
        <v>0.64796772620005028</v>
      </c>
      <c r="J26" s="17">
        <f t="shared" si="5"/>
        <v>0.59362298510277878</v>
      </c>
      <c r="K26" s="17">
        <f t="shared" si="5"/>
        <v>1.3846806784062626</v>
      </c>
      <c r="L26" s="17">
        <f t="shared" si="5"/>
        <v>1.2808752876924934</v>
      </c>
      <c r="M26" s="17">
        <f t="shared" si="5"/>
        <v>0.80776642825042089</v>
      </c>
      <c r="N26" s="17">
        <f t="shared" si="5"/>
        <v>1.0959136804809746</v>
      </c>
      <c r="O26" s="17">
        <f t="shared" si="5"/>
        <v>1.0160119575022839</v>
      </c>
      <c r="P26" s="17">
        <f t="shared" si="5"/>
        <v>1.1155551016002061</v>
      </c>
      <c r="Q26" s="17">
        <f t="shared" si="5"/>
        <v>1.1002687845294354</v>
      </c>
      <c r="R26" s="39">
        <f t="shared" si="5"/>
        <v>0.1585365853658538</v>
      </c>
    </row>
    <row r="27" spans="1:22" x14ac:dyDescent="0.2">
      <c r="A27" s="9" t="str">
        <f t="shared" ref="A27:D27" si="6">A8</f>
        <v>INSP</v>
      </c>
      <c r="B27" s="9" t="str">
        <f t="shared" si="6"/>
        <v>HYPOSSAL NERVE STIMULATION</v>
      </c>
      <c r="C27" s="9" t="str">
        <f t="shared" si="6"/>
        <v>2018Q3</v>
      </c>
      <c r="D27" s="9">
        <f t="shared" si="6"/>
        <v>20181101</v>
      </c>
      <c r="E27" s="17">
        <f t="shared" ref="E27:R27" si="7">$S8/E8-1</f>
        <v>2.6115735139732976E-2</v>
      </c>
      <c r="F27" s="17">
        <f t="shared" si="7"/>
        <v>3.2151991231275101E-2</v>
      </c>
      <c r="G27" s="17">
        <f t="shared" si="7"/>
        <v>0.18195903748368658</v>
      </c>
      <c r="H27" s="17">
        <f t="shared" si="7"/>
        <v>2.6621942290582457E-2</v>
      </c>
      <c r="I27" s="17">
        <f t="shared" si="7"/>
        <v>0.12879253062998508</v>
      </c>
      <c r="J27" s="17">
        <f t="shared" si="7"/>
        <v>7.5402421296150379E-2</v>
      </c>
      <c r="K27" s="17">
        <f t="shared" si="7"/>
        <v>-0.33598214572002905</v>
      </c>
      <c r="L27" s="17">
        <f t="shared" si="7"/>
        <v>-0.32111397900121141</v>
      </c>
      <c r="M27" s="17">
        <f t="shared" si="7"/>
        <v>-0.18612602388577915</v>
      </c>
      <c r="N27" s="17">
        <f t="shared" si="7"/>
        <v>-0.4484369872194941</v>
      </c>
      <c r="O27" s="17">
        <f t="shared" si="7"/>
        <v>-0.31503966207348</v>
      </c>
      <c r="P27" s="17">
        <f t="shared" si="7"/>
        <v>-0.32518391655426981</v>
      </c>
      <c r="Q27" s="17">
        <f t="shared" si="7"/>
        <v>-0.33054614709703267</v>
      </c>
      <c r="R27" s="39">
        <f t="shared" si="7"/>
        <v>0.2021276595744681</v>
      </c>
    </row>
    <row r="28" spans="1:22" x14ac:dyDescent="0.2">
      <c r="A28" s="9" t="str">
        <f t="shared" ref="A28:D28" si="8">A9</f>
        <v>INSP</v>
      </c>
      <c r="B28" s="9" t="str">
        <f t="shared" si="8"/>
        <v>HYPOSSAL NERVE STIMULATION</v>
      </c>
      <c r="C28" s="9" t="str">
        <f t="shared" si="8"/>
        <v>2018Q4</v>
      </c>
      <c r="D28" s="9">
        <f t="shared" si="8"/>
        <v>20190221</v>
      </c>
      <c r="E28" s="17">
        <f t="shared" ref="E28:R28" si="9">$S9/E9-1</f>
        <v>0.41790158230152263</v>
      </c>
      <c r="F28" s="17">
        <f t="shared" si="9"/>
        <v>0.31189344872322633</v>
      </c>
      <c r="G28" s="17">
        <f t="shared" si="9"/>
        <v>2.9973839360408538E-2</v>
      </c>
      <c r="H28" s="17">
        <f t="shared" si="9"/>
        <v>0.35508004860708775</v>
      </c>
      <c r="I28" s="17">
        <f t="shared" si="9"/>
        <v>0.56982041466594113</v>
      </c>
      <c r="J28" s="17">
        <f t="shared" si="9"/>
        <v>0.3111650755944253</v>
      </c>
      <c r="K28" s="17">
        <f t="shared" si="9"/>
        <v>0.38181448129575513</v>
      </c>
      <c r="L28" s="17">
        <f t="shared" si="9"/>
        <v>0.27102738731167086</v>
      </c>
      <c r="M28" s="17">
        <f t="shared" si="9"/>
        <v>-0.12858753417279545</v>
      </c>
      <c r="N28" s="17">
        <f t="shared" si="9"/>
        <v>0.31994066441211499</v>
      </c>
      <c r="O28" s="17">
        <f t="shared" si="9"/>
        <v>0.3907076562508931</v>
      </c>
      <c r="P28" s="17">
        <f t="shared" si="9"/>
        <v>0.21923202852204571</v>
      </c>
      <c r="Q28" s="17">
        <f t="shared" si="9"/>
        <v>0.21092983478603133</v>
      </c>
      <c r="R28" s="39">
        <f t="shared" si="9"/>
        <v>0.21311475409836089</v>
      </c>
    </row>
    <row r="29" spans="1:22" x14ac:dyDescent="0.2">
      <c r="A29" s="9" t="str">
        <f t="shared" ref="A29:D38" si="10">A10</f>
        <v>INSP</v>
      </c>
      <c r="B29" s="9" t="str">
        <f t="shared" si="10"/>
        <v>HYPOSSAL NERVE STIMULATION</v>
      </c>
      <c r="C29" s="9" t="str">
        <f t="shared" si="10"/>
        <v>2019Q1</v>
      </c>
      <c r="D29" s="9">
        <f t="shared" si="10"/>
        <v>20190502</v>
      </c>
      <c r="E29" s="17">
        <f t="shared" ref="E29:G38" si="11">$S10/E10-1</f>
        <v>0.12372466030154694</v>
      </c>
      <c r="F29" s="17">
        <f t="shared" si="11"/>
        <v>0.16589617662161182</v>
      </c>
      <c r="G29" s="17">
        <f t="shared" si="11"/>
        <v>0.36163272623740506</v>
      </c>
      <c r="H29" s="17">
        <f t="shared" ref="H29:R29" si="12">$S10/H10-1</f>
        <v>0.21782973776150882</v>
      </c>
      <c r="I29" s="17">
        <f t="shared" si="12"/>
        <v>0.73360843130829423</v>
      </c>
      <c r="J29" s="17">
        <f t="shared" si="12"/>
        <v>0.28866516786555185</v>
      </c>
      <c r="K29" s="17">
        <f t="shared" si="12"/>
        <v>-0.207473442213437</v>
      </c>
      <c r="L29" s="17">
        <f t="shared" si="12"/>
        <v>-0.11128744658623257</v>
      </c>
      <c r="M29" s="17">
        <f t="shared" si="12"/>
        <v>0.32200709785303827</v>
      </c>
      <c r="N29" s="17">
        <f t="shared" si="12"/>
        <v>-0.10128575871710388</v>
      </c>
      <c r="O29" s="17">
        <f t="shared" si="12"/>
        <v>0.1043355119554914</v>
      </c>
      <c r="P29" s="17">
        <f t="shared" si="12"/>
        <v>-1.7160240268505378E-2</v>
      </c>
      <c r="Q29" s="17">
        <f t="shared" si="12"/>
        <v>-2.8987739169918481E-2</v>
      </c>
      <c r="R29" s="39">
        <f t="shared" si="12"/>
        <v>9.92366412213741E-2</v>
      </c>
    </row>
    <row r="30" spans="1:22" x14ac:dyDescent="0.2">
      <c r="A30" s="9" t="str">
        <f t="shared" si="10"/>
        <v>INSP</v>
      </c>
      <c r="B30" s="9" t="str">
        <f t="shared" si="10"/>
        <v>HYPOSSAL NERVE STIMULATION</v>
      </c>
      <c r="C30" s="9" t="str">
        <f t="shared" si="10"/>
        <v>2019Q2</v>
      </c>
      <c r="D30" s="9">
        <f t="shared" si="10"/>
        <v>20190801</v>
      </c>
      <c r="E30" s="17">
        <f t="shared" si="11"/>
        <v>-0.14189392266465617</v>
      </c>
      <c r="F30" s="17">
        <f t="shared" si="11"/>
        <v>-9.3592796793429578E-2</v>
      </c>
      <c r="G30" s="17">
        <f t="shared" si="11"/>
        <v>2.5866243403777522E-2</v>
      </c>
      <c r="H30" s="17">
        <f t="shared" ref="H30:R30" si="13">$S11/H11-1</f>
        <v>-0.13602584135772111</v>
      </c>
      <c r="I30" s="17">
        <f t="shared" si="13"/>
        <v>0.28264160525681747</v>
      </c>
      <c r="J30" s="17">
        <f t="shared" si="13"/>
        <v>-3.4839024771540661E-2</v>
      </c>
      <c r="K30" s="17">
        <f t="shared" si="13"/>
        <v>-0.23637336827237132</v>
      </c>
      <c r="L30" s="17">
        <f t="shared" si="13"/>
        <v>-0.22256610718713921</v>
      </c>
      <c r="M30" s="17">
        <f t="shared" si="13"/>
        <v>-0.24659107875693465</v>
      </c>
      <c r="N30" s="17">
        <f t="shared" si="13"/>
        <v>-0.29056243918764157</v>
      </c>
      <c r="O30" s="17">
        <f t="shared" si="13"/>
        <v>-0.26013188324836867</v>
      </c>
      <c r="P30" s="17">
        <f t="shared" si="13"/>
        <v>-0.2510382065908715</v>
      </c>
      <c r="Q30" s="17">
        <f t="shared" si="13"/>
        <v>-0.25182042302496233</v>
      </c>
      <c r="R30" s="39">
        <f t="shared" si="13"/>
        <v>7.4829931972789199E-2</v>
      </c>
      <c r="V30" s="100"/>
    </row>
    <row r="31" spans="1:22" x14ac:dyDescent="0.2">
      <c r="A31" s="9" t="str">
        <f t="shared" si="10"/>
        <v>INSP</v>
      </c>
      <c r="B31" s="9" t="str">
        <f t="shared" si="10"/>
        <v>HYPOSSAL NERVE STIMULATION</v>
      </c>
      <c r="C31" s="9" t="str">
        <f t="shared" si="10"/>
        <v>2019Q3</v>
      </c>
      <c r="D31" s="9">
        <f t="shared" si="10"/>
        <v>20191031</v>
      </c>
      <c r="E31" s="17">
        <f t="shared" si="11"/>
        <v>-8.6013725027229149E-2</v>
      </c>
      <c r="F31" s="17">
        <f t="shared" si="11"/>
        <v>-0.1322229145777033</v>
      </c>
      <c r="G31" s="17">
        <f t="shared" si="11"/>
        <v>-0.10636551697067131</v>
      </c>
      <c r="H31" s="17">
        <f t="shared" ref="H31:R31" si="14">$S12/H12-1</f>
        <v>-0.18137463571171275</v>
      </c>
      <c r="I31" s="17">
        <f t="shared" si="14"/>
        <v>6.0262347667092264E-2</v>
      </c>
      <c r="J31" s="17">
        <f t="shared" si="14"/>
        <v>-9.5877909063866729E-2</v>
      </c>
      <c r="K31" s="17">
        <f t="shared" si="14"/>
        <v>6.5120384429569134E-2</v>
      </c>
      <c r="L31" s="17">
        <f t="shared" si="14"/>
        <v>-4.261894394441379E-2</v>
      </c>
      <c r="M31" s="17">
        <f t="shared" si="14"/>
        <v>-0.12889766207308839</v>
      </c>
      <c r="N31" s="17">
        <f t="shared" si="14"/>
        <v>-5.2488600382743722E-2</v>
      </c>
      <c r="O31" s="17">
        <f t="shared" si="14"/>
        <v>-0.17337598958143829</v>
      </c>
      <c r="P31" s="17">
        <f t="shared" si="14"/>
        <v>-6.3242180174014839E-2</v>
      </c>
      <c r="Q31" s="17">
        <f t="shared" si="14"/>
        <v>-7.1781577831698473E-2</v>
      </c>
      <c r="R31" s="39">
        <f t="shared" si="14"/>
        <v>0.10714285714285721</v>
      </c>
    </row>
    <row r="32" spans="1:22" x14ac:dyDescent="0.2">
      <c r="A32" s="9" t="str">
        <f t="shared" si="10"/>
        <v>INSP</v>
      </c>
      <c r="B32" s="9" t="str">
        <f t="shared" si="10"/>
        <v>HYPOSSAL NERVE STIMULATION</v>
      </c>
      <c r="C32" s="9" t="str">
        <f t="shared" si="10"/>
        <v>2019Q4</v>
      </c>
      <c r="D32" s="9">
        <f t="shared" si="10"/>
        <v>20200220</v>
      </c>
      <c r="E32" s="17">
        <f t="shared" si="11"/>
        <v>0.17652523148133925</v>
      </c>
      <c r="F32" s="17">
        <f t="shared" ref="F32:J38" si="15">$S13/F13-1</f>
        <v>0.16838759836802986</v>
      </c>
      <c r="G32" s="17">
        <f t="shared" si="15"/>
        <v>-3.7291338769185334E-3</v>
      </c>
      <c r="H32" s="17">
        <f t="shared" si="15"/>
        <v>4.9593680788464933E-2</v>
      </c>
      <c r="I32" s="17">
        <f t="shared" si="15"/>
        <v>0.35462020148914641</v>
      </c>
      <c r="J32" s="17">
        <f t="shared" si="15"/>
        <v>0.1362221478754706</v>
      </c>
      <c r="K32" s="17">
        <f t="shared" ref="K32:N32" si="16">$S13/K13-1</f>
        <v>0.28724606014066212</v>
      </c>
      <c r="L32" s="17">
        <f t="shared" si="16"/>
        <v>0.34641443983214115</v>
      </c>
      <c r="M32" s="17">
        <f t="shared" si="16"/>
        <v>0.11485275584467836</v>
      </c>
      <c r="N32" s="17">
        <f t="shared" si="16"/>
        <v>0.28214165670395697</v>
      </c>
      <c r="O32" s="17">
        <f t="shared" ref="O32:R38" si="17">$S13/O13-1</f>
        <v>0.27762737634674384</v>
      </c>
      <c r="P32" s="17">
        <f t="shared" si="17"/>
        <v>0.25671317985275577</v>
      </c>
      <c r="Q32" s="17">
        <f t="shared" si="17"/>
        <v>0.25656623502658271</v>
      </c>
      <c r="R32" s="39">
        <f t="shared" si="17"/>
        <v>0.16901408450704225</v>
      </c>
    </row>
    <row r="33" spans="1:18" x14ac:dyDescent="0.2">
      <c r="A33" s="9" t="str">
        <f t="shared" si="10"/>
        <v>INSP</v>
      </c>
      <c r="B33" s="9" t="str">
        <f t="shared" si="10"/>
        <v>HYPOSSAL NERVE STIMULATION</v>
      </c>
      <c r="C33" s="9" t="str">
        <f t="shared" si="10"/>
        <v>2020Q1</v>
      </c>
      <c r="D33" s="9">
        <f t="shared" si="10"/>
        <v>20200430</v>
      </c>
      <c r="E33" s="17">
        <f t="shared" si="11"/>
        <v>-0.27739372314984156</v>
      </c>
      <c r="F33" s="17">
        <f t="shared" si="15"/>
        <v>-0.27831263661111771</v>
      </c>
      <c r="G33" s="17">
        <f t="shared" si="15"/>
        <v>-0.14721145214601361</v>
      </c>
      <c r="H33" s="17">
        <f t="shared" si="15"/>
        <v>-0.26616058870194537</v>
      </c>
      <c r="I33" s="17">
        <f t="shared" si="15"/>
        <v>-0.13743382988988428</v>
      </c>
      <c r="J33" s="17">
        <f t="shared" si="15"/>
        <v>-0.22650572663498836</v>
      </c>
      <c r="K33" s="17">
        <f t="shared" ref="K33:K38" si="18">$S14/K14-1</f>
        <v>-0.38581319166411798</v>
      </c>
      <c r="L33" s="17">
        <f t="shared" ref="L33:M33" si="19">$S14/L14-1</f>
        <v>-0.38232195857186912</v>
      </c>
      <c r="M33" s="17">
        <f t="shared" si="19"/>
        <v>-0.14401938583976315</v>
      </c>
      <c r="N33" s="17">
        <f t="shared" ref="N33:N38" si="20">$S14/N14-1</f>
        <v>-0.30083476612893911</v>
      </c>
      <c r="O33" s="17">
        <f t="shared" si="17"/>
        <v>-0.3632413209533647</v>
      </c>
      <c r="P33" s="17">
        <f t="shared" si="17"/>
        <v>-0.31924027813460099</v>
      </c>
      <c r="Q33" s="17">
        <f t="shared" si="17"/>
        <v>-0.32470942960064464</v>
      </c>
      <c r="R33" s="39">
        <f t="shared" si="17"/>
        <v>5.2083333333334814E-3</v>
      </c>
    </row>
    <row r="34" spans="1:18" x14ac:dyDescent="0.2">
      <c r="A34" s="9" t="str">
        <f t="shared" si="10"/>
        <v>INSP</v>
      </c>
      <c r="B34" s="9" t="str">
        <f t="shared" si="10"/>
        <v>HYPOSSAL NERVE STIMULATION</v>
      </c>
      <c r="C34" s="9" t="str">
        <f t="shared" si="10"/>
        <v>2020Q2</v>
      </c>
      <c r="D34" s="9">
        <f t="shared" si="10"/>
        <v>20200730</v>
      </c>
      <c r="E34" s="17">
        <f t="shared" si="11"/>
        <v>-0.63073052513073491</v>
      </c>
      <c r="F34" s="17">
        <f t="shared" si="15"/>
        <v>-0.6108644522377682</v>
      </c>
      <c r="G34" s="17">
        <f t="shared" si="15"/>
        <v>3.7445168665006134E-2</v>
      </c>
      <c r="H34" s="17">
        <f t="shared" si="15"/>
        <v>-0.58051279031756398</v>
      </c>
      <c r="I34" s="17">
        <f t="shared" si="15"/>
        <v>-0.5331190094924545</v>
      </c>
      <c r="J34" s="17">
        <f t="shared" si="15"/>
        <v>-0.5356392603969462</v>
      </c>
      <c r="K34" s="17">
        <f t="shared" si="18"/>
        <v>-0.48897555044925545</v>
      </c>
      <c r="L34" s="17">
        <f t="shared" ref="L34:M34" si="21">$S15/L15-1</f>
        <v>-0.46079761472483272</v>
      </c>
      <c r="M34" s="17">
        <f t="shared" si="21"/>
        <v>0.21653271643445726</v>
      </c>
      <c r="N34" s="17">
        <f t="shared" si="20"/>
        <v>-0.4283664747026541</v>
      </c>
      <c r="O34" s="17">
        <f t="shared" si="17"/>
        <v>-0.45873023231603993</v>
      </c>
      <c r="P34" s="17">
        <f t="shared" si="17"/>
        <v>-0.39965846471894684</v>
      </c>
      <c r="Q34" s="17">
        <f t="shared" si="17"/>
        <v>-0.39369758816351019</v>
      </c>
      <c r="R34" s="39">
        <f t="shared" si="17"/>
        <v>0.5714285714285714</v>
      </c>
    </row>
    <row r="35" spans="1:18" x14ac:dyDescent="0.2">
      <c r="A35" s="9" t="str">
        <f t="shared" si="10"/>
        <v>INSP</v>
      </c>
      <c r="B35" s="9" t="str">
        <f t="shared" si="10"/>
        <v>HYPOSSAL NERVE STIMULATION</v>
      </c>
      <c r="C35" s="9" t="str">
        <f t="shared" si="10"/>
        <v>2020Q3</v>
      </c>
      <c r="D35" s="9">
        <f t="shared" si="10"/>
        <v>20201029</v>
      </c>
      <c r="E35" s="17">
        <f t="shared" si="11"/>
        <v>0.81402117801219998</v>
      </c>
      <c r="F35" s="17">
        <f t="shared" si="15"/>
        <v>0.74262832680777824</v>
      </c>
      <c r="G35" s="17">
        <f t="shared" si="15"/>
        <v>0.10818889993804182</v>
      </c>
      <c r="H35" s="17">
        <f t="shared" si="15"/>
        <v>0.82908832877525618</v>
      </c>
      <c r="I35" s="17">
        <f t="shared" si="15"/>
        <v>0.84779845978462065</v>
      </c>
      <c r="J35" s="17">
        <f t="shared" si="15"/>
        <v>0.58526957169023897</v>
      </c>
      <c r="K35" s="17">
        <f t="shared" si="18"/>
        <v>3.7594372015485957</v>
      </c>
      <c r="L35" s="17">
        <f t="shared" ref="L35:M35" si="22">$S16/L16-1</f>
        <v>3.3407956619381833</v>
      </c>
      <c r="M35" s="17">
        <f t="shared" si="22"/>
        <v>7.0204937915738341E-2</v>
      </c>
      <c r="N35" s="17">
        <f t="shared" si="20"/>
        <v>3.341685530094674</v>
      </c>
      <c r="O35" s="17">
        <f t="shared" si="17"/>
        <v>2.942318321771026</v>
      </c>
      <c r="P35" s="17">
        <f t="shared" si="17"/>
        <v>2.4138751115035344</v>
      </c>
      <c r="Q35" s="17">
        <f t="shared" si="17"/>
        <v>1.7883797342799377</v>
      </c>
      <c r="R35" s="39">
        <f t="shared" si="17"/>
        <v>0.57619047619047636</v>
      </c>
    </row>
    <row r="36" spans="1:18" x14ac:dyDescent="0.2">
      <c r="A36" s="9" t="str">
        <f t="shared" si="10"/>
        <v>INSP</v>
      </c>
      <c r="B36" s="9" t="str">
        <f t="shared" si="10"/>
        <v>HYPOSSAL NERVE STIMULATION</v>
      </c>
      <c r="C36" s="9" t="str">
        <f t="shared" si="10"/>
        <v>2020Q4</v>
      </c>
      <c r="D36" s="9">
        <f t="shared" si="10"/>
        <v>20210218</v>
      </c>
      <c r="E36" s="17">
        <f t="shared" si="11"/>
        <v>0.46494967246023955</v>
      </c>
      <c r="F36" s="17">
        <f t="shared" si="15"/>
        <v>0.41664530363337016</v>
      </c>
      <c r="G36" s="17">
        <f t="shared" si="15"/>
        <v>-3.9338524954925402E-2</v>
      </c>
      <c r="H36" s="17">
        <f t="shared" si="15"/>
        <v>0.55459900993523492</v>
      </c>
      <c r="I36" s="17">
        <f t="shared" si="15"/>
        <v>0.52568961170449047</v>
      </c>
      <c r="J36" s="17">
        <f t="shared" si="15"/>
        <v>0.34114641471925711</v>
      </c>
      <c r="K36" s="17">
        <f t="shared" si="18"/>
        <v>-0.16646527867797356</v>
      </c>
      <c r="L36" s="17">
        <f t="shared" ref="L36:M36" si="23">$S17/L17-1</f>
        <v>-0.16133044422955201</v>
      </c>
      <c r="M36" s="17">
        <f t="shared" si="23"/>
        <v>-0.13475664679735411</v>
      </c>
      <c r="N36" s="17">
        <f t="shared" si="20"/>
        <v>-0.14642576192909007</v>
      </c>
      <c r="O36" s="17">
        <f t="shared" si="17"/>
        <v>-0.17108822462677609</v>
      </c>
      <c r="P36" s="17">
        <f t="shared" si="17"/>
        <v>-0.15399472829765737</v>
      </c>
      <c r="Q36" s="17">
        <f t="shared" si="17"/>
        <v>-0.15585576027481696</v>
      </c>
      <c r="R36" s="39">
        <f t="shared" si="17"/>
        <v>8.3756345177665059E-2</v>
      </c>
    </row>
    <row r="37" spans="1:18" x14ac:dyDescent="0.2">
      <c r="A37" s="9" t="str">
        <f t="shared" si="10"/>
        <v>INSP</v>
      </c>
      <c r="B37" s="9" t="str">
        <f t="shared" si="10"/>
        <v>HYPOSSAL NERVE STIMULATION</v>
      </c>
      <c r="C37" s="9" t="str">
        <f t="shared" si="10"/>
        <v>2021Q1</v>
      </c>
      <c r="D37" s="9">
        <f t="shared" si="10"/>
        <v>20210429</v>
      </c>
      <c r="E37" s="17">
        <f t="shared" si="11"/>
        <v>0.1129931229391592</v>
      </c>
      <c r="F37" s="17">
        <f t="shared" si="15"/>
        <v>0.15850890464270284</v>
      </c>
      <c r="G37" s="17">
        <f t="shared" si="15"/>
        <v>5.7024219556793598E-2</v>
      </c>
      <c r="H37" s="17">
        <f t="shared" si="15"/>
        <v>6.6897944550547761E-2</v>
      </c>
      <c r="I37" s="17">
        <f t="shared" si="15"/>
        <v>0.10247100501256812</v>
      </c>
      <c r="J37" s="17">
        <f t="shared" si="15"/>
        <v>9.8404067707579257E-2</v>
      </c>
      <c r="K37" s="17">
        <f t="shared" si="18"/>
        <v>-0.24025163194173338</v>
      </c>
      <c r="L37" s="17">
        <f t="shared" ref="L37:M37" si="24">$S18/L18-1</f>
        <v>-0.18221667648818429</v>
      </c>
      <c r="M37" s="17">
        <f t="shared" si="24"/>
        <v>0.10030874248100519</v>
      </c>
      <c r="N37" s="17">
        <f t="shared" si="20"/>
        <v>-0.31371502378932103</v>
      </c>
      <c r="O37" s="17">
        <f t="shared" si="17"/>
        <v>-0.27739495861094932</v>
      </c>
      <c r="P37" s="17">
        <f t="shared" si="17"/>
        <v>-0.18099615697999016</v>
      </c>
      <c r="Q37" s="17">
        <f t="shared" si="17"/>
        <v>-0.20105214604536481</v>
      </c>
      <c r="R37" s="39">
        <f t="shared" si="17"/>
        <v>0.10850439882697938</v>
      </c>
    </row>
    <row r="38" spans="1:18" x14ac:dyDescent="0.2">
      <c r="A38" s="9" t="str">
        <f t="shared" si="10"/>
        <v>INSP</v>
      </c>
      <c r="B38" s="9" t="str">
        <f t="shared" si="10"/>
        <v>HYPOSSAL NERVE STIMULATION</v>
      </c>
      <c r="C38" s="9" t="str">
        <f t="shared" si="10"/>
        <v>2021Q2</v>
      </c>
      <c r="D38" s="9">
        <f t="shared" si="10"/>
        <v>20210729</v>
      </c>
      <c r="E38" s="17">
        <f t="shared" si="11"/>
        <v>0.10907633271742179</v>
      </c>
      <c r="F38" s="17">
        <f t="shared" si="15"/>
        <v>0.26471702430210065</v>
      </c>
      <c r="G38" s="17">
        <f t="shared" si="15"/>
        <v>0.1273867364867467</v>
      </c>
      <c r="H38" s="17">
        <f t="shared" si="15"/>
        <v>0.15761858079992574</v>
      </c>
      <c r="I38" s="17">
        <f t="shared" si="15"/>
        <v>0.44356859507754787</v>
      </c>
      <c r="J38" s="17">
        <f t="shared" si="15"/>
        <v>0.20892113513896526</v>
      </c>
      <c r="K38" s="17">
        <f t="shared" si="18"/>
        <v>-3.519150425111417E-3</v>
      </c>
      <c r="L38" s="17">
        <f t="shared" ref="L38:M38" si="25">$S19/L19-1</f>
        <v>9.1676567382236618E-2</v>
      </c>
      <c r="M38" s="17">
        <f t="shared" si="25"/>
        <v>6.6566608056962018E-2</v>
      </c>
      <c r="N38" s="17">
        <f t="shared" si="20"/>
        <v>8.5032159554488507E-2</v>
      </c>
      <c r="O38" s="17">
        <f t="shared" si="17"/>
        <v>0.30939370606040684</v>
      </c>
      <c r="P38" s="17">
        <f t="shared" si="17"/>
        <v>0.10061603983499467</v>
      </c>
      <c r="Q38" s="17">
        <f t="shared" si="17"/>
        <v>0.10070178766250115</v>
      </c>
      <c r="R38" s="39">
        <f t="shared" si="17"/>
        <v>0.219753086419753</v>
      </c>
    </row>
    <row r="39" spans="1:18" x14ac:dyDescent="0.2">
      <c r="A39" s="168" t="s">
        <v>78</v>
      </c>
      <c r="B39" s="168"/>
      <c r="C39" s="164"/>
      <c r="D39" s="165"/>
      <c r="E39" s="72" cm="1">
        <f t="array" ref="E39">SUM(ABS(E25:E38))/COUNT(E25:E38)</f>
        <v>0.30561685317198439</v>
      </c>
      <c r="F39" s="72" cm="1">
        <f t="array" ref="F39">SUM(ABS(F25:F38))/COUNT(F25:F38)</f>
        <v>0.30211525733778821</v>
      </c>
      <c r="G39" s="104" cm="1">
        <f t="array" ref="G39">SUM(ABS(G25:G38))/COUNT(G25:G38)</f>
        <v>0.13393127807998109</v>
      </c>
      <c r="H39" s="72" cm="1">
        <f t="array" ref="H39">SUM(ABS(H25:H38))/COUNT(H25:H38)</f>
        <v>0.31390282666339953</v>
      </c>
      <c r="I39" s="72" cm="1">
        <f t="array" ref="I39">SUM(ABS(I25:I38))/COUNT(I25:I38)</f>
        <v>0.39645387914479907</v>
      </c>
      <c r="J39" s="72" cm="1">
        <f t="array" ref="J39">SUM(ABS(J25:J38))/COUNT(J25:J38)</f>
        <v>0.26988518360614233</v>
      </c>
      <c r="K39" s="72" cm="1">
        <f t="array" ref="K39">SUM(ABS(K25:K38))/COUNT(K25:K38)</f>
        <v>0.61101173578345191</v>
      </c>
      <c r="L39" s="72" cm="1">
        <f t="array" ref="L39">SUM(ABS(L25:L38))/COUNT(L25:L38)</f>
        <v>0.55500327037616615</v>
      </c>
      <c r="M39" s="72" cm="1">
        <f t="array" ref="M39">SUM(ABS(M25:M38))/COUNT(M25:M38)</f>
        <v>0.20517058602784738</v>
      </c>
      <c r="N39" s="72" cm="1">
        <f t="array" ref="N39">SUM(ABS(N25:N38))/COUNT(N25:N38)</f>
        <v>0.55437150025409199</v>
      </c>
      <c r="O39" s="72" cm="1">
        <f t="array" ref="O39">SUM(ABS(O25:O38))/COUNT(O25:O38)</f>
        <v>0.54303052317671241</v>
      </c>
      <c r="P39" s="72" cm="1">
        <f t="array" ref="P39">SUM(ABS(P25:P38))/COUNT(P25:P38)</f>
        <v>0.44742351023326105</v>
      </c>
      <c r="Q39" s="72" cm="1">
        <f t="array" ref="Q39">SUM(ABS(Q25:Q38))/COUNT(Q25:Q38)</f>
        <v>0.40117670673018757</v>
      </c>
      <c r="R39" s="72" cm="1">
        <f t="array" ref="R39">SUM(ABS(R25:R38))/COUNT(R25:R38)</f>
        <v>0.18491740894710887</v>
      </c>
    </row>
    <row r="40" spans="1:18" x14ac:dyDescent="0.2">
      <c r="A40" s="169" t="s">
        <v>79</v>
      </c>
      <c r="B40" s="169"/>
      <c r="C40" s="166"/>
      <c r="D40" s="167"/>
      <c r="E40" s="73" cm="1">
        <f t="array" ref="E40">SQRT(SUM(POWER(E25:E38,2))/COUNT(E25:E38))</f>
        <v>0.38255026356571359</v>
      </c>
      <c r="F40" s="73" cm="1">
        <f t="array" ref="F40">SQRT(SUM(POWER(F25:F38,2))/COUNT(F25:F38))</f>
        <v>0.36186868558190066</v>
      </c>
      <c r="G40" s="105" cm="1">
        <f t="array" ref="G40">SQRT(SUM(POWER(G25:G38,2))/COUNT(G25:G38))</f>
        <v>0.18435244941084114</v>
      </c>
      <c r="H40" s="73" cm="1">
        <f t="array" ref="H40">SQRT(SUM(POWER(H25:H38,2))/COUNT(H25:H38))</f>
        <v>0.41529541462692937</v>
      </c>
      <c r="I40" s="73" cm="1">
        <f t="array" ref="I40">SQRT(SUM(POWER(I25:I38,2))/COUNT(I25:I38))</f>
        <v>0.46655248738080218</v>
      </c>
      <c r="J40" s="73" cm="1">
        <f t="array" ref="J40">SQRT(SUM(POWER(J25:J38,2))/COUNT(J25:J38))</f>
        <v>0.32497489097277465</v>
      </c>
      <c r="K40" s="73" cm="1">
        <f t="array" ref="K40">SQRT(SUM(POWER(K25:K38,2))/COUNT(K25:K38))</f>
        <v>1.1424816559298505</v>
      </c>
      <c r="L40" s="73" cm="1">
        <f t="array" ref="L40">SQRT(SUM(POWER(L25:L38,2))/COUNT(L25:L38))</f>
        <v>1.0223655315059055</v>
      </c>
      <c r="M40" s="73" cm="1">
        <f t="array" ref="M40">SQRT(SUM(POWER(M25:M38,2))/COUNT(M25:M38))</f>
        <v>0.27779001372068229</v>
      </c>
      <c r="N40" s="73" cm="1">
        <f t="array" ref="N40">SQRT(SUM(POWER(N25:N38,2))/COUNT(N25:N38))</f>
        <v>1.0095497291135056</v>
      </c>
      <c r="O40" s="73" cm="1">
        <f t="array" ref="O40">SQRT(SUM(POWER(O25:O38,2))/COUNT(O25:O38))</f>
        <v>0.9060239361609087</v>
      </c>
      <c r="P40" s="73" cm="1">
        <f t="array" ref="P40">SQRT(SUM(POWER(P25:P38,2))/COUNT(P25:P38))</f>
        <v>0.76894124022268717</v>
      </c>
      <c r="Q40" s="73" cm="1">
        <f t="array" ref="Q40">SQRT(SUM(POWER(Q25:Q38,2))/COUNT(Q25:Q38))</f>
        <v>0.62222714768922227</v>
      </c>
      <c r="R40" s="73" cm="1">
        <f t="array" ref="R40">SQRT(SUM(POWER(R25:R38,2))/COUNT(R25:R38))</f>
        <v>0.25249230159470926</v>
      </c>
    </row>
    <row r="41" spans="1:18" x14ac:dyDescent="0.2">
      <c r="I41" s="3"/>
      <c r="J41" s="3"/>
    </row>
    <row r="42" spans="1:18" x14ac:dyDescent="0.2">
      <c r="B42" t="s">
        <v>158</v>
      </c>
      <c r="J42" s="3"/>
    </row>
  </sheetData>
  <mergeCells count="7">
    <mergeCell ref="A21:D21"/>
    <mergeCell ref="A4:B4"/>
    <mergeCell ref="A23:B23"/>
    <mergeCell ref="C39:D39"/>
    <mergeCell ref="C40:D40"/>
    <mergeCell ref="A39:B39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1"/>
  <sheetViews>
    <sheetView zoomScale="85" zoomScaleNormal="85" workbookViewId="0">
      <selection activeCell="N28" sqref="N28"/>
    </sheetView>
  </sheetViews>
  <sheetFormatPr defaultRowHeight="12.75" x14ac:dyDescent="0.2"/>
  <cols>
    <col min="1" max="1" width="9.140625" style="66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6" t="s">
        <v>104</v>
      </c>
      <c r="B1" t="s">
        <v>84</v>
      </c>
    </row>
    <row r="2" spans="1:17" x14ac:dyDescent="0.2">
      <c r="A2" s="66" t="s">
        <v>99</v>
      </c>
      <c r="B2" t="s">
        <v>82</v>
      </c>
    </row>
    <row r="3" spans="1:17" x14ac:dyDescent="0.2">
      <c r="A3" s="66" t="s">
        <v>100</v>
      </c>
      <c r="B3" t="s">
        <v>147</v>
      </c>
    </row>
    <row r="4" spans="1:17" x14ac:dyDescent="0.2">
      <c r="A4" s="66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6" t="s">
        <v>102</v>
      </c>
      <c r="B7" s="170" t="s">
        <v>83</v>
      </c>
      <c r="C7" s="170"/>
      <c r="D7" s="170" t="s">
        <v>112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6"/>
      <c r="P7" s="6"/>
      <c r="Q7" s="6"/>
    </row>
    <row r="8" spans="1:17" ht="15" x14ac:dyDescent="0.2">
      <c r="A8" s="66" t="s">
        <v>60</v>
      </c>
      <c r="C8" s="70" t="s">
        <v>85</v>
      </c>
      <c r="D8" s="70" t="s">
        <v>86</v>
      </c>
      <c r="E8" s="70" t="s">
        <v>87</v>
      </c>
      <c r="F8" s="70" t="s">
        <v>88</v>
      </c>
      <c r="G8" s="70" t="s">
        <v>89</v>
      </c>
      <c r="H8" s="70" t="s">
        <v>90</v>
      </c>
      <c r="I8" s="70" t="s">
        <v>91</v>
      </c>
      <c r="J8" s="70" t="s">
        <v>92</v>
      </c>
      <c r="K8" s="70" t="s">
        <v>93</v>
      </c>
      <c r="L8" s="70" t="s">
        <v>94</v>
      </c>
      <c r="M8" s="70" t="s">
        <v>95</v>
      </c>
      <c r="O8" s="6"/>
      <c r="P8" s="6"/>
      <c r="Q8" s="6"/>
    </row>
    <row r="9" spans="1:17" ht="15" x14ac:dyDescent="0.2">
      <c r="B9" s="70" t="s">
        <v>96</v>
      </c>
      <c r="C9" s="2">
        <v>0.166382255442938</v>
      </c>
      <c r="D9" s="2">
        <v>7.9625388634544367E-2</v>
      </c>
      <c r="E9" s="2">
        <v>9.7088011344196604E-2</v>
      </c>
      <c r="F9" s="2">
        <v>0.12930554450883311</v>
      </c>
      <c r="G9" s="2">
        <v>0.1212272627654279</v>
      </c>
      <c r="H9" s="2">
        <v>9.7518221885617956E-2</v>
      </c>
      <c r="I9" s="2">
        <v>9.6025236162066957E-2</v>
      </c>
      <c r="J9" s="2">
        <v>0.11885128605566039</v>
      </c>
      <c r="K9" s="2">
        <v>0.1182398004472823</v>
      </c>
      <c r="L9" s="2">
        <v>0.1724291007258284</v>
      </c>
      <c r="M9" s="2">
        <v>0.38235692960353329</v>
      </c>
      <c r="O9" s="6"/>
      <c r="P9" s="6"/>
      <c r="Q9" s="6"/>
    </row>
    <row r="10" spans="1:17" ht="15" x14ac:dyDescent="0.2">
      <c r="B10" s="70" t="s">
        <v>97</v>
      </c>
      <c r="C10" s="2">
        <v>0.20741623223060621</v>
      </c>
      <c r="D10" s="2">
        <v>9.4979225044386814E-2</v>
      </c>
      <c r="E10" s="2">
        <v>0.1129368435233203</v>
      </c>
      <c r="F10" s="2">
        <v>0.16733846629266691</v>
      </c>
      <c r="G10" s="2">
        <v>0.15720089582718191</v>
      </c>
      <c r="H10" s="2">
        <v>0.11470250757067051</v>
      </c>
      <c r="I10" s="2">
        <v>0.1127197241698959</v>
      </c>
      <c r="J10" s="2">
        <v>0.15249272055178961</v>
      </c>
      <c r="K10" s="2">
        <v>0.14774217786709509</v>
      </c>
      <c r="L10" s="2">
        <v>0.22156390895464831</v>
      </c>
      <c r="M10" s="2">
        <v>0.60517113284330959</v>
      </c>
      <c r="O10" s="6"/>
      <c r="P10" s="6"/>
      <c r="Q10" s="6"/>
    </row>
    <row r="11" spans="1:17" ht="15" x14ac:dyDescent="0.2">
      <c r="B11" s="70" t="s">
        <v>98</v>
      </c>
      <c r="C11" s="2">
        <v>-0.1212309555683049</v>
      </c>
      <c r="D11" s="2">
        <v>-1.6175271997079192E-2</v>
      </c>
      <c r="E11" s="2">
        <v>-3.890255585907948E-2</v>
      </c>
      <c r="F11" s="2">
        <v>-2.8037050205205249E-2</v>
      </c>
      <c r="G11" s="2">
        <v>-6.3229564999375099E-2</v>
      </c>
      <c r="H11" s="2">
        <v>-3.9255296539609019E-2</v>
      </c>
      <c r="I11" s="2">
        <v>-3.8989202770186637E-2</v>
      </c>
      <c r="J11" s="2">
        <v>-6.1669577029566991E-2</v>
      </c>
      <c r="K11" s="2">
        <v>-8.7245145139370095E-2</v>
      </c>
      <c r="L11" s="2">
        <v>-7.5533364832062189E-3</v>
      </c>
      <c r="M11" s="2">
        <v>7.4119865643450744E-2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A16" s="66" t="s">
        <v>103</v>
      </c>
      <c r="B16" t="s">
        <v>139</v>
      </c>
      <c r="O16" s="6"/>
      <c r="P16" s="6"/>
      <c r="Q16" s="6"/>
    </row>
    <row r="17" spans="1:17" x14ac:dyDescent="0.2">
      <c r="B17" t="s">
        <v>140</v>
      </c>
      <c r="H17" s="67" t="s">
        <v>106</v>
      </c>
      <c r="O17" s="6"/>
      <c r="P17" s="6"/>
      <c r="Q17" s="6"/>
    </row>
    <row r="18" spans="1:17" x14ac:dyDescent="0.2">
      <c r="H18" s="67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6" t="s">
        <v>105</v>
      </c>
      <c r="B21" s="171" t="s">
        <v>108</v>
      </c>
      <c r="C21" s="171"/>
      <c r="D21" s="171"/>
      <c r="E21" s="171"/>
      <c r="F21" s="65" t="e">
        <f>#REF!+#REF!*'2. Past Proj &amp; Candidate Model'!#REF!</f>
        <v>#REF!</v>
      </c>
      <c r="G21" s="68" t="s">
        <v>109</v>
      </c>
      <c r="H21" s="2" t="e">
        <f>'2. Past Proj &amp; Candidate Model'!#REF!/'3. Improved Alpha Model'!F21-1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B25" s="172" t="s">
        <v>159</v>
      </c>
      <c r="C25" s="172"/>
      <c r="D25" s="172"/>
      <c r="E25" s="3">
        <f>C9</f>
        <v>0.166382255442938</v>
      </c>
      <c r="F25" t="s">
        <v>110</v>
      </c>
      <c r="G25" s="172" t="s">
        <v>111</v>
      </c>
      <c r="H25" s="172"/>
      <c r="I25" s="3" t="e">
        <f>#REF!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A28" s="66" t="s">
        <v>107</v>
      </c>
      <c r="B28" t="s">
        <v>113</v>
      </c>
      <c r="O28" s="6"/>
      <c r="P28" s="6"/>
      <c r="Q28" s="6"/>
    </row>
    <row r="29" spans="1:17" x14ac:dyDescent="0.2">
      <c r="B29" t="s">
        <v>114</v>
      </c>
      <c r="O29" s="6"/>
      <c r="P29" s="6"/>
      <c r="Q29" s="6"/>
    </row>
    <row r="30" spans="1:17" x14ac:dyDescent="0.2">
      <c r="B30" t="s">
        <v>115</v>
      </c>
      <c r="O30" s="6"/>
      <c r="P30" s="6"/>
      <c r="Q30" s="6"/>
    </row>
    <row r="31" spans="1:17" x14ac:dyDescent="0.2">
      <c r="B31" t="s">
        <v>116</v>
      </c>
      <c r="O31" s="6"/>
      <c r="P31" s="6"/>
      <c r="Q31" s="6"/>
    </row>
    <row r="32" spans="1:17" x14ac:dyDescent="0.2">
      <c r="B32" t="s">
        <v>117</v>
      </c>
      <c r="O32" s="6"/>
      <c r="P32" s="6"/>
      <c r="Q32" s="6"/>
    </row>
    <row r="33" spans="2:17" x14ac:dyDescent="0.2">
      <c r="B33" t="s">
        <v>118</v>
      </c>
      <c r="O33" s="6"/>
      <c r="P33" s="6"/>
      <c r="Q33" s="6"/>
    </row>
    <row r="34" spans="2:17" x14ac:dyDescent="0.2">
      <c r="B34" t="s">
        <v>119</v>
      </c>
      <c r="O34" s="6"/>
      <c r="P34" s="6"/>
      <c r="Q34" s="6"/>
    </row>
    <row r="35" spans="2:17" x14ac:dyDescent="0.2">
      <c r="B35" t="s">
        <v>120</v>
      </c>
      <c r="O35" s="6"/>
      <c r="P35" s="6"/>
      <c r="Q35" s="6"/>
    </row>
    <row r="36" spans="2:17" x14ac:dyDescent="0.2">
      <c r="B36" t="s">
        <v>121</v>
      </c>
      <c r="O36" s="6"/>
      <c r="P36" s="6"/>
      <c r="Q36" s="6"/>
    </row>
    <row r="37" spans="2:17" x14ac:dyDescent="0.2">
      <c r="B37" t="s">
        <v>122</v>
      </c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  <c r="Q39" s="6"/>
    </row>
    <row r="40" spans="2:17" x14ac:dyDescent="0.2">
      <c r="O40" s="6"/>
      <c r="P40" s="6"/>
    </row>
    <row r="41" spans="2:17" x14ac:dyDescent="0.2">
      <c r="O41" s="6"/>
      <c r="P41" s="6"/>
    </row>
  </sheetData>
  <mergeCells count="5">
    <mergeCell ref="D7:N7"/>
    <mergeCell ref="B7:C7"/>
    <mergeCell ref="B21:E21"/>
    <mergeCell ref="B25:D25"/>
    <mergeCell ref="G25:H25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E27" sqref="E27"/>
    </sheetView>
  </sheetViews>
  <sheetFormatPr defaultRowHeight="12.75" x14ac:dyDescent="0.2"/>
  <cols>
    <col min="1" max="1" width="9.140625" style="66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6" t="s">
        <v>124</v>
      </c>
      <c r="B1" t="s">
        <v>84</v>
      </c>
    </row>
    <row r="2" spans="1:25" x14ac:dyDescent="0.2">
      <c r="A2" s="66" t="s">
        <v>99</v>
      </c>
      <c r="B2" s="74" t="s">
        <v>160</v>
      </c>
      <c r="C2" s="75" t="str">
        <f>D5</f>
        <v>PROJ</v>
      </c>
      <c r="D2" t="s">
        <v>161</v>
      </c>
    </row>
    <row r="4" spans="1:25" x14ac:dyDescent="0.2">
      <c r="A4" s="66" t="s">
        <v>100</v>
      </c>
      <c r="B4" t="s">
        <v>123</v>
      </c>
    </row>
    <row r="5" spans="1:25" ht="15" x14ac:dyDescent="0.2">
      <c r="A5" s="66" t="s">
        <v>60</v>
      </c>
      <c r="C5" s="70" t="s">
        <v>85</v>
      </c>
      <c r="D5" s="70" t="s">
        <v>86</v>
      </c>
      <c r="E5" s="70" t="s">
        <v>87</v>
      </c>
      <c r="F5" s="70" t="s">
        <v>88</v>
      </c>
      <c r="G5" s="70" t="s">
        <v>89</v>
      </c>
      <c r="H5" s="70" t="s">
        <v>90</v>
      </c>
      <c r="I5" s="70" t="s">
        <v>91</v>
      </c>
      <c r="J5" s="70" t="s">
        <v>92</v>
      </c>
      <c r="K5" s="70" t="s">
        <v>93</v>
      </c>
      <c r="L5" s="70" t="s">
        <v>94</v>
      </c>
      <c r="M5" s="70" t="s">
        <v>95</v>
      </c>
    </row>
    <row r="6" spans="1:25" ht="15" x14ac:dyDescent="0.2">
      <c r="B6" s="70" t="s">
        <v>96</v>
      </c>
      <c r="C6" s="2">
        <v>0.1478953381715005</v>
      </c>
      <c r="D6" s="2">
        <v>8.6357835244460668E-2</v>
      </c>
      <c r="E6" s="2">
        <v>0.1052829804708998</v>
      </c>
      <c r="F6" s="2">
        <v>0.13175773567898949</v>
      </c>
      <c r="G6" s="2">
        <v>0.12678160079763259</v>
      </c>
      <c r="H6" s="2">
        <v>0.1053630556197457</v>
      </c>
      <c r="I6" s="2">
        <v>0.10433296431121129</v>
      </c>
      <c r="J6" s="2">
        <v>0.1244241484084984</v>
      </c>
      <c r="K6" s="2">
        <v>0.1239646819141354</v>
      </c>
      <c r="L6" s="2">
        <v>0.1872447761696843</v>
      </c>
      <c r="M6" s="2">
        <v>0.36025836034067171</v>
      </c>
    </row>
    <row r="7" spans="1:25" ht="15" x14ac:dyDescent="0.2">
      <c r="B7" s="70" t="s">
        <v>97</v>
      </c>
      <c r="C7" s="2">
        <v>0.1955538991179005</v>
      </c>
      <c r="D7" s="2">
        <v>0.101011191382832</v>
      </c>
      <c r="E7" s="2">
        <v>0.120750010160824</v>
      </c>
      <c r="F7" s="2">
        <v>0.16564076567327499</v>
      </c>
      <c r="G7" s="2">
        <v>0.1588192530687102</v>
      </c>
      <c r="H7" s="2">
        <v>0.12180049102558541</v>
      </c>
      <c r="I7" s="2">
        <v>0.1205619941299635</v>
      </c>
      <c r="J7" s="2">
        <v>0.15441488866905839</v>
      </c>
      <c r="K7" s="2">
        <v>0.1503483858797198</v>
      </c>
      <c r="L7" s="2">
        <v>0.23243157387747371</v>
      </c>
      <c r="M7" s="2">
        <v>0.57382904635979892</v>
      </c>
    </row>
    <row r="8" spans="1:25" ht="15" x14ac:dyDescent="0.2">
      <c r="B8" s="70" t="s">
        <v>98</v>
      </c>
      <c r="C8" s="2">
        <v>-9.7883597883597795E-2</v>
      </c>
      <c r="D8" s="2">
        <v>3.7430923694781182E-3</v>
      </c>
      <c r="E8" s="2">
        <v>3.4197426298343552E-3</v>
      </c>
      <c r="F8" s="2">
        <v>1.546058340037737E-3</v>
      </c>
      <c r="G8" s="2">
        <v>-5.7643814404405691E-2</v>
      </c>
      <c r="H8" s="2">
        <v>3.4087131826001649E-3</v>
      </c>
      <c r="I8" s="2">
        <v>3.288858122544092E-3</v>
      </c>
      <c r="J8" s="2">
        <v>-6.1396237064798242E-2</v>
      </c>
      <c r="K8" s="2">
        <v>-8.0454716717317853E-2</v>
      </c>
      <c r="L8" s="2">
        <v>6.7793593049948475E-2</v>
      </c>
      <c r="M8" s="2">
        <v>4.263866523081683E-2</v>
      </c>
    </row>
    <row r="10" spans="1:25" ht="15" x14ac:dyDescent="0.2">
      <c r="A10" s="66" t="s">
        <v>101</v>
      </c>
      <c r="B10" s="71" t="s">
        <v>162</v>
      </c>
    </row>
    <row r="12" spans="1:25" x14ac:dyDescent="0.2">
      <c r="A12" s="66" t="s">
        <v>102</v>
      </c>
      <c r="B12" t="s">
        <v>138</v>
      </c>
    </row>
    <row r="13" spans="1:25" ht="15" x14ac:dyDescent="0.2">
      <c r="B13" s="70" t="s">
        <v>125</v>
      </c>
      <c r="C13" s="70" t="s">
        <v>126</v>
      </c>
      <c r="D13" s="70" t="s">
        <v>85</v>
      </c>
      <c r="E13" s="70" t="s">
        <v>86</v>
      </c>
      <c r="F13" s="70" t="s">
        <v>87</v>
      </c>
      <c r="G13" s="70" t="s">
        <v>88</v>
      </c>
      <c r="H13" s="70" t="s">
        <v>89</v>
      </c>
      <c r="I13" s="70" t="s">
        <v>90</v>
      </c>
      <c r="J13" s="70" t="s">
        <v>91</v>
      </c>
      <c r="K13" s="70" t="s">
        <v>92</v>
      </c>
      <c r="L13" s="70" t="s">
        <v>93</v>
      </c>
      <c r="M13" s="70" t="s">
        <v>94</v>
      </c>
      <c r="N13" s="70" t="s">
        <v>95</v>
      </c>
      <c r="O13" s="70" t="s">
        <v>127</v>
      </c>
      <c r="P13" s="70" t="s">
        <v>128</v>
      </c>
      <c r="Q13" s="70" t="s">
        <v>129</v>
      </c>
      <c r="R13" s="70" t="s">
        <v>130</v>
      </c>
      <c r="S13" s="70" t="s">
        <v>131</v>
      </c>
      <c r="T13" s="70" t="s">
        <v>132</v>
      </c>
      <c r="U13" s="70" t="s">
        <v>133</v>
      </c>
      <c r="V13" s="70" t="s">
        <v>134</v>
      </c>
      <c r="W13" s="70" t="s">
        <v>135</v>
      </c>
      <c r="X13" s="70" t="s">
        <v>136</v>
      </c>
      <c r="Y13" s="70" t="s">
        <v>137</v>
      </c>
    </row>
    <row r="14" spans="1:25" x14ac:dyDescent="0.2">
      <c r="B14" t="s">
        <v>42</v>
      </c>
      <c r="C14">
        <v>8.6999999999999993</v>
      </c>
      <c r="D14">
        <v>8.6999999999999993</v>
      </c>
      <c r="E14">
        <v>10.829696999999999</v>
      </c>
      <c r="O14" s="2"/>
      <c r="P14" s="2">
        <f>E14/C14-1</f>
        <v>0.24479275862068972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43</v>
      </c>
      <c r="C15">
        <v>9.5</v>
      </c>
      <c r="D15">
        <v>8.1999999999999993</v>
      </c>
      <c r="E15">
        <v>6.5415150000000004</v>
      </c>
      <c r="O15" s="2"/>
      <c r="P15" s="2">
        <f t="shared" ref="P15:P19" si="0">E15/C15-1</f>
        <v>-0.31141947368421052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44</v>
      </c>
      <c r="C16">
        <v>11.3</v>
      </c>
      <c r="D16">
        <v>9.4</v>
      </c>
      <c r="E16">
        <v>9.5603990000000003</v>
      </c>
      <c r="O16" s="2"/>
      <c r="P16" s="2">
        <f t="shared" si="0"/>
        <v>-0.15394699115044252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45</v>
      </c>
      <c r="C17">
        <v>14.8</v>
      </c>
      <c r="D17">
        <v>12.2</v>
      </c>
      <c r="E17">
        <v>14.369297</v>
      </c>
      <c r="O17" s="2"/>
      <c r="P17" s="2">
        <f t="shared" si="0"/>
        <v>-2.9101554054054124E-2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46</v>
      </c>
      <c r="C18">
        <v>14.4</v>
      </c>
      <c r="D18">
        <v>13.1</v>
      </c>
      <c r="E18">
        <v>10.575538999999999</v>
      </c>
      <c r="O18" s="2"/>
      <c r="P18" s="2">
        <f t="shared" si="0"/>
        <v>-0.2655875694444445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47</v>
      </c>
      <c r="C19">
        <v>15.8</v>
      </c>
      <c r="D19">
        <v>14.7</v>
      </c>
      <c r="E19">
        <v>15.401617999999999</v>
      </c>
      <c r="O19" s="2"/>
      <c r="P19" s="2">
        <f t="shared" si="0"/>
        <v>-2.5214050632911489E-2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48</v>
      </c>
      <c r="C20">
        <v>18.600000000000001</v>
      </c>
      <c r="D20">
        <v>16.8</v>
      </c>
      <c r="E20">
        <v>20.813879</v>
      </c>
      <c r="F20">
        <v>19.227631894684329</v>
      </c>
      <c r="G20">
        <v>18.628756685124699</v>
      </c>
      <c r="H20">
        <v>18.627787014293901</v>
      </c>
      <c r="I20">
        <v>19.022965947406689</v>
      </c>
      <c r="J20">
        <v>19.063401794864301</v>
      </c>
      <c r="K20">
        <v>18.673815587316501</v>
      </c>
      <c r="L20">
        <v>18.462208339249369</v>
      </c>
      <c r="M20">
        <v>22.73146223621675</v>
      </c>
      <c r="N20">
        <v>39.415567910693881</v>
      </c>
      <c r="O20" s="2">
        <v>-9.6774193548387122E-2</v>
      </c>
      <c r="P20" s="2">
        <v>0.11902575268817191</v>
      </c>
      <c r="Q20" s="2">
        <v>3.3743650251845558E-2</v>
      </c>
      <c r="R20" s="2">
        <v>1.546058340037737E-3</v>
      </c>
      <c r="S20" s="2">
        <v>1.493925499671978E-3</v>
      </c>
      <c r="T20" s="2">
        <v>2.274010469928411E-2</v>
      </c>
      <c r="U20" s="2">
        <v>2.4914074992704371E-2</v>
      </c>
      <c r="V20" s="2">
        <v>3.9685799632527266E-3</v>
      </c>
      <c r="W20" s="2">
        <v>-7.4081538037972239E-3</v>
      </c>
      <c r="X20" s="2">
        <v>0.22212162560305121</v>
      </c>
      <c r="Y20" s="2">
        <v>1.119116554338381</v>
      </c>
    </row>
    <row r="21" spans="2:25" x14ac:dyDescent="0.2">
      <c r="B21" t="s">
        <v>49</v>
      </c>
      <c r="C21">
        <v>24.9</v>
      </c>
      <c r="D21">
        <v>21.3</v>
      </c>
      <c r="E21">
        <v>24.993203000000001</v>
      </c>
      <c r="F21">
        <v>21.61590427337774</v>
      </c>
      <c r="G21">
        <v>23.465258047113839</v>
      </c>
      <c r="H21">
        <v>23.464669021330302</v>
      </c>
      <c r="I21">
        <v>21.346313163940149</v>
      </c>
      <c r="J21">
        <v>21.60930505872194</v>
      </c>
      <c r="K21">
        <v>23.37123369708652</v>
      </c>
      <c r="L21">
        <v>22.558514218320578</v>
      </c>
      <c r="M21">
        <v>21.614478092503699</v>
      </c>
      <c r="N21">
        <v>17.394757068343271</v>
      </c>
      <c r="O21" s="2">
        <v>-0.14457831325301199</v>
      </c>
      <c r="P21" s="2">
        <v>3.7430923694781182E-3</v>
      </c>
      <c r="Q21" s="2">
        <v>-0.131891394643464</v>
      </c>
      <c r="R21" s="2">
        <v>-5.7620158750448243E-2</v>
      </c>
      <c r="S21" s="2">
        <v>-5.7643814404405691E-2</v>
      </c>
      <c r="T21" s="2">
        <v>-0.14271834682971279</v>
      </c>
      <c r="U21" s="2">
        <v>-0.1321564233445004</v>
      </c>
      <c r="V21" s="2">
        <v>-6.1396237064798242E-2</v>
      </c>
      <c r="W21" s="2">
        <v>-9.4035573561422336E-2</v>
      </c>
      <c r="X21" s="2">
        <v>-0.13194867098378699</v>
      </c>
      <c r="Y21" s="2">
        <v>-0.30141537878139479</v>
      </c>
    </row>
    <row r="22" spans="2:25" x14ac:dyDescent="0.2">
      <c r="B22" t="s">
        <v>50</v>
      </c>
      <c r="C22">
        <v>19.3</v>
      </c>
      <c r="D22">
        <v>19.2</v>
      </c>
      <c r="E22">
        <v>22.631636</v>
      </c>
      <c r="F22">
        <v>21.581153863887899</v>
      </c>
      <c r="G22">
        <v>21.89555681335785</v>
      </c>
      <c r="H22">
        <v>21.89719709458274</v>
      </c>
      <c r="I22">
        <v>21.58089740071544</v>
      </c>
      <c r="J22">
        <v>21.578602035702051</v>
      </c>
      <c r="K22">
        <v>21.886153447704199</v>
      </c>
      <c r="L22">
        <v>21.621196617002969</v>
      </c>
      <c r="M22">
        <v>21.74038066581921</v>
      </c>
      <c r="N22">
        <v>21.409935967866911</v>
      </c>
      <c r="O22" s="2">
        <v>-5.1813471502590858E-3</v>
      </c>
      <c r="P22" s="2">
        <v>0.17262362694300529</v>
      </c>
      <c r="Q22" s="2">
        <v>0.1181945007195799</v>
      </c>
      <c r="R22" s="2">
        <v>0.13448480898227211</v>
      </c>
      <c r="S22" s="2">
        <v>0.1345697976467739</v>
      </c>
      <c r="T22" s="2">
        <v>0.1181812124723023</v>
      </c>
      <c r="U22" s="2">
        <v>0.1180622816425934</v>
      </c>
      <c r="V22" s="2">
        <v>0.13399758796394831</v>
      </c>
      <c r="W22" s="2">
        <v>0.1202692547669935</v>
      </c>
      <c r="X22" s="2">
        <v>0.12644459408389699</v>
      </c>
      <c r="Y22" s="2">
        <v>0.1093231071433631</v>
      </c>
    </row>
    <row r="23" spans="2:25" x14ac:dyDescent="0.2">
      <c r="B23" t="s">
        <v>51</v>
      </c>
      <c r="C23">
        <v>11</v>
      </c>
      <c r="D23">
        <v>7</v>
      </c>
      <c r="E23">
        <v>10.602969999999999</v>
      </c>
      <c r="F23">
        <v>11.88945040294719</v>
      </c>
      <c r="G23">
        <v>7.978301071991063</v>
      </c>
      <c r="H23">
        <v>7.8440669376962981</v>
      </c>
      <c r="I23">
        <v>11.88955224513399</v>
      </c>
      <c r="J23">
        <v>11.8906694235346</v>
      </c>
      <c r="K23">
        <v>7.9546841027218864</v>
      </c>
      <c r="L23">
        <v>8.4335964005881703</v>
      </c>
      <c r="M23">
        <v>11.74572952354943</v>
      </c>
      <c r="N23">
        <v>12.161611726616931</v>
      </c>
      <c r="O23" s="2">
        <v>-0.36363636363636359</v>
      </c>
      <c r="P23" s="2">
        <v>-3.6093636363636487E-2</v>
      </c>
      <c r="Q23" s="2">
        <v>8.0859127540653608E-2</v>
      </c>
      <c r="R23" s="2">
        <v>-0.27469990254626703</v>
      </c>
      <c r="S23" s="2">
        <v>-0.28690300566397292</v>
      </c>
      <c r="T23" s="2">
        <v>8.0868385921271768E-2</v>
      </c>
      <c r="U23" s="2">
        <v>8.0969947594054181E-2</v>
      </c>
      <c r="V23" s="2">
        <v>-0.27684689975255578</v>
      </c>
      <c r="W23" s="2">
        <v>-0.23330941812834821</v>
      </c>
      <c r="X23" s="2">
        <v>6.7793593049948475E-2</v>
      </c>
      <c r="Y23" s="2">
        <v>0.1056010660560847</v>
      </c>
    </row>
    <row r="24" spans="2:25" x14ac:dyDescent="0.2">
      <c r="B24" t="s">
        <v>52</v>
      </c>
      <c r="C24">
        <v>33.1</v>
      </c>
      <c r="D24">
        <v>21</v>
      </c>
      <c r="E24">
        <v>29.868554</v>
      </c>
      <c r="F24">
        <v>26.443362030526171</v>
      </c>
      <c r="G24">
        <v>22.73754287091452</v>
      </c>
      <c r="H24">
        <v>24.001743044464739</v>
      </c>
      <c r="I24">
        <v>26.443028847716221</v>
      </c>
      <c r="J24">
        <v>26.43899058968152</v>
      </c>
      <c r="K24">
        <v>24.33765225603069</v>
      </c>
      <c r="L24">
        <v>23.940980189763081</v>
      </c>
      <c r="M24">
        <v>29.264277436880221</v>
      </c>
      <c r="N24">
        <v>34.511339819140041</v>
      </c>
      <c r="O24" s="2">
        <v>-0.36555891238670701</v>
      </c>
      <c r="P24" s="2">
        <v>-9.7626767371601253E-2</v>
      </c>
      <c r="Q24" s="2">
        <v>-0.20110688729528189</v>
      </c>
      <c r="R24" s="2">
        <v>-0.3130651700630056</v>
      </c>
      <c r="S24" s="2">
        <v>-0.27487181134547611</v>
      </c>
      <c r="T24" s="2">
        <v>-0.20111695324120171</v>
      </c>
      <c r="U24" s="2">
        <v>-0.20123895499451619</v>
      </c>
      <c r="V24" s="2">
        <v>-0.26472349679665591</v>
      </c>
      <c r="W24" s="2">
        <v>-0.27670754713706702</v>
      </c>
      <c r="X24" s="2">
        <v>-0.11588285689183619</v>
      </c>
      <c r="Y24" s="2">
        <v>4.263866523081683E-2</v>
      </c>
    </row>
    <row r="25" spans="2:25" x14ac:dyDescent="0.2">
      <c r="B25" t="s">
        <v>53</v>
      </c>
      <c r="C25">
        <v>42.7</v>
      </c>
      <c r="D25">
        <v>39.4</v>
      </c>
      <c r="E25">
        <v>44.448540000000001</v>
      </c>
      <c r="F25">
        <v>42.846023010293933</v>
      </c>
      <c r="G25">
        <v>49.021421913284343</v>
      </c>
      <c r="H25">
        <v>44.133530936661572</v>
      </c>
      <c r="I25">
        <v>42.845552052897027</v>
      </c>
      <c r="J25">
        <v>42.840434241832632</v>
      </c>
      <c r="K25">
        <v>44.26366858675209</v>
      </c>
      <c r="L25">
        <v>41.946231288023142</v>
      </c>
      <c r="M25">
        <v>65.011744413054615</v>
      </c>
      <c r="N25">
        <v>95.75716642526433</v>
      </c>
      <c r="O25" s="2">
        <v>-7.7283372365339664E-2</v>
      </c>
      <c r="P25" s="2">
        <v>4.0949414519906302E-2</v>
      </c>
      <c r="Q25" s="2">
        <v>3.4197426298343552E-3</v>
      </c>
      <c r="R25" s="2">
        <v>0.14804266775841551</v>
      </c>
      <c r="S25" s="2">
        <v>3.3572153083409217E-2</v>
      </c>
      <c r="T25" s="2">
        <v>3.4087131826001649E-3</v>
      </c>
      <c r="U25" s="2">
        <v>3.288858122544092E-3</v>
      </c>
      <c r="V25" s="2">
        <v>3.6619873226044097E-2</v>
      </c>
      <c r="W25" s="2">
        <v>-1.7652663043954631E-2</v>
      </c>
      <c r="X25" s="2">
        <v>0.52252328836193462</v>
      </c>
      <c r="Y25" s="2">
        <v>1.2425565907556051</v>
      </c>
    </row>
    <row r="26" spans="2:25" x14ac:dyDescent="0.2">
      <c r="B26" t="s">
        <v>54</v>
      </c>
      <c r="C26">
        <v>37.799999999999997</v>
      </c>
      <c r="D26">
        <v>34.1</v>
      </c>
      <c r="E26">
        <v>35.760770000000001</v>
      </c>
      <c r="F26">
        <v>34.729700505645852</v>
      </c>
      <c r="G26">
        <v>38.678551502841053</v>
      </c>
      <c r="H26">
        <v>35.198781070533776</v>
      </c>
      <c r="I26">
        <v>34.703450223303271</v>
      </c>
      <c r="J26">
        <v>34.72809743354172</v>
      </c>
      <c r="K26">
        <v>35.458557737614107</v>
      </c>
      <c r="L26">
        <v>34.758811708085382</v>
      </c>
      <c r="M26">
        <v>34.666369944581547</v>
      </c>
      <c r="N26">
        <v>37.603221080127362</v>
      </c>
      <c r="O26" s="2">
        <v>-9.7883597883597795E-2</v>
      </c>
      <c r="P26" s="2">
        <v>-5.3947883597883488E-2</v>
      </c>
      <c r="Q26" s="2">
        <v>-8.1224854347993314E-2</v>
      </c>
      <c r="R26" s="2">
        <v>2.3242103249763391E-2</v>
      </c>
      <c r="S26" s="2">
        <v>-6.8815315594344506E-2</v>
      </c>
      <c r="T26" s="2">
        <v>-8.1919306261818203E-2</v>
      </c>
      <c r="U26" s="2">
        <v>-8.1267263662917366E-2</v>
      </c>
      <c r="V26" s="2">
        <v>-6.1942916994335739E-2</v>
      </c>
      <c r="W26" s="2">
        <v>-8.0454716717317853E-2</v>
      </c>
      <c r="X26" s="2">
        <v>-8.2900266016360913E-2</v>
      </c>
      <c r="Y26" s="2">
        <v>-5.2057915310220748E-3</v>
      </c>
    </row>
    <row r="27" spans="2:25" x14ac:dyDescent="0.2">
      <c r="B27" t="s">
        <v>55</v>
      </c>
      <c r="C27">
        <v>49.4</v>
      </c>
      <c r="D27">
        <v>40.5</v>
      </c>
      <c r="E27">
        <v>43.818148999999998</v>
      </c>
      <c r="F27">
        <v>43.162561693748941</v>
      </c>
      <c r="G27">
        <v>45.361871772805493</v>
      </c>
      <c r="H27">
        <v>43.86975502306278</v>
      </c>
      <c r="I27">
        <v>43.017878027648422</v>
      </c>
      <c r="J27">
        <v>43.160578203830333</v>
      </c>
      <c r="K27">
        <v>43.901053983825612</v>
      </c>
      <c r="L27">
        <v>43.665594824883733</v>
      </c>
      <c r="M27">
        <v>43.974995205698903</v>
      </c>
      <c r="N27">
        <v>42.829884820214957</v>
      </c>
      <c r="O27" s="2">
        <v>-0.18016194331983801</v>
      </c>
      <c r="P27" s="2">
        <v>-0.11299293522267211</v>
      </c>
      <c r="Q27" s="2">
        <v>-0.12626393332492011</v>
      </c>
      <c r="R27" s="2">
        <v>-8.1743486380455588E-2</v>
      </c>
      <c r="S27" s="2">
        <v>-0.1119482788853688</v>
      </c>
      <c r="T27" s="2">
        <v>-0.12919275247675249</v>
      </c>
      <c r="U27" s="2">
        <v>-0.1263040849427057</v>
      </c>
      <c r="V27" s="2">
        <v>-0.1113146966836922</v>
      </c>
      <c r="W27" s="2">
        <v>-0.11608107641935771</v>
      </c>
      <c r="X27" s="2">
        <v>-0.1098179108158118</v>
      </c>
      <c r="Y27" s="2">
        <v>-0.13299828299159999</v>
      </c>
    </row>
    <row r="28" spans="2:25" x14ac:dyDescent="0.2">
      <c r="B28" t="s">
        <v>71</v>
      </c>
      <c r="C28">
        <v>51.7</v>
      </c>
      <c r="D28">
        <v>51.7</v>
      </c>
      <c r="E28">
        <v>58.949240000000003</v>
      </c>
      <c r="F28">
        <v>60.53256932114995</v>
      </c>
      <c r="G28">
        <v>59.526101202580428</v>
      </c>
      <c r="H28">
        <v>60.551882971357458</v>
      </c>
      <c r="I28">
        <v>60.391893207976103</v>
      </c>
      <c r="J28">
        <v>60.530090617375748</v>
      </c>
      <c r="K28">
        <v>60.437664341853171</v>
      </c>
      <c r="L28">
        <v>60.476785029651239</v>
      </c>
      <c r="M28">
        <v>67.508318291551475</v>
      </c>
      <c r="N28">
        <v>42.214611017506833</v>
      </c>
      <c r="O28" s="2">
        <v>0</v>
      </c>
      <c r="P28" s="2">
        <v>0.14021740812379099</v>
      </c>
      <c r="Q28" s="2">
        <v>0.17084273348452511</v>
      </c>
      <c r="R28" s="2">
        <v>0.15137526504024049</v>
      </c>
      <c r="S28" s="2">
        <v>0.17121630505527</v>
      </c>
      <c r="T28" s="2">
        <v>0.1681217254927678</v>
      </c>
      <c r="U28" s="2">
        <v>0.17079478950436641</v>
      </c>
      <c r="V28" s="2">
        <v>0.16900704723120241</v>
      </c>
      <c r="W28" s="2">
        <v>0.16976373364896011</v>
      </c>
      <c r="X28" s="2">
        <v>0.30577017972053139</v>
      </c>
      <c r="Y28" s="2">
        <v>-0.18346980623777909</v>
      </c>
    </row>
    <row r="29" spans="2:25" x14ac:dyDescent="0.2">
      <c r="B29" s="98" t="s">
        <v>148</v>
      </c>
      <c r="C29" s="98"/>
      <c r="D29" s="98"/>
      <c r="E29">
        <f t="shared" ref="E29:E34" si="1">E$28/(1+P29)</f>
        <v>61.154271786673135</v>
      </c>
      <c r="L29" s="97" t="s">
        <v>141</v>
      </c>
      <c r="M29" s="97"/>
      <c r="N29" s="97"/>
      <c r="O29" s="97"/>
      <c r="P29" s="3">
        <f>AVERAGE(P14:P27)</f>
        <v>-3.6056872598614655E-2</v>
      </c>
    </row>
    <row r="30" spans="2:25" x14ac:dyDescent="0.2">
      <c r="B30" s="88" t="s">
        <v>149</v>
      </c>
      <c r="C30" s="88"/>
      <c r="D30" s="88"/>
      <c r="E30">
        <f>E$28/(1+P30)</f>
        <v>60.716175050178173</v>
      </c>
      <c r="L30" s="88" t="s">
        <v>143</v>
      </c>
      <c r="M30" s="88"/>
      <c r="N30" s="88"/>
      <c r="O30" s="88"/>
      <c r="P30" s="1">
        <f>MEDIAN(P14:P28)</f>
        <v>-2.9101554054054124E-2</v>
      </c>
    </row>
    <row r="31" spans="2:25" x14ac:dyDescent="0.2">
      <c r="B31" s="89" t="s">
        <v>150</v>
      </c>
      <c r="C31" s="89"/>
      <c r="D31" s="89"/>
      <c r="E31">
        <f t="shared" si="1"/>
        <v>67.037973856015896</v>
      </c>
      <c r="L31" s="89" t="s">
        <v>142</v>
      </c>
      <c r="M31" s="89"/>
      <c r="N31" s="89"/>
      <c r="O31" s="89"/>
      <c r="P31" s="1">
        <f>AVERAGE(P27,P26,P23:P24,P15:P19)</f>
        <v>-0.12065898461353962</v>
      </c>
    </row>
    <row r="32" spans="2:25" x14ac:dyDescent="0.2">
      <c r="B32" s="90" t="s">
        <v>151</v>
      </c>
      <c r="C32" s="90"/>
      <c r="D32" s="90"/>
      <c r="E32">
        <f t="shared" si="1"/>
        <v>65.326893427783617</v>
      </c>
      <c r="L32" s="90" t="s">
        <v>144</v>
      </c>
      <c r="M32" s="90"/>
      <c r="N32" s="90"/>
      <c r="O32" s="90"/>
      <c r="P32" s="1">
        <f>MEDIAN(P27,P26,P23:P24,P15:P19)</f>
        <v>-9.7626767371601253E-2</v>
      </c>
    </row>
    <row r="33" spans="1:17" x14ac:dyDescent="0.2">
      <c r="B33" s="91" t="s">
        <v>152</v>
      </c>
      <c r="C33" s="91"/>
      <c r="D33" s="91"/>
      <c r="E33">
        <f t="shared" si="1"/>
        <v>54.376930180014284</v>
      </c>
      <c r="F33">
        <f>AVERAGE(E33,E28)</f>
        <v>56.663085090007144</v>
      </c>
      <c r="L33" s="91" t="s">
        <v>145</v>
      </c>
      <c r="M33" s="91"/>
      <c r="N33" s="91"/>
      <c r="O33" s="91"/>
      <c r="P33" s="1">
        <f>AVERAGE(P25,P20:P22)</f>
        <v>8.4085471630140407E-2</v>
      </c>
      <c r="Q33" s="3"/>
    </row>
    <row r="34" spans="1:17" x14ac:dyDescent="0.2">
      <c r="B34" s="92" t="s">
        <v>153</v>
      </c>
      <c r="C34" s="92"/>
      <c r="D34" s="92"/>
      <c r="E34">
        <f t="shared" si="1"/>
        <v>54.583257154938586</v>
      </c>
      <c r="F34">
        <f>AVERAGE(E34,E28)</f>
        <v>56.766248577469298</v>
      </c>
      <c r="L34" s="92" t="s">
        <v>146</v>
      </c>
      <c r="M34" s="92"/>
      <c r="N34" s="92"/>
      <c r="O34" s="92"/>
      <c r="P34" s="1">
        <f>MEDIAN(P25,P20:P22)</f>
        <v>7.9987583604039098E-2</v>
      </c>
    </row>
    <row r="36" spans="1:17" x14ac:dyDescent="0.2">
      <c r="A36" s="66" t="s">
        <v>103</v>
      </c>
      <c r="B36" t="s">
        <v>154</v>
      </c>
    </row>
    <row r="37" spans="1:17" x14ac:dyDescent="0.2">
      <c r="B37" t="s">
        <v>155</v>
      </c>
    </row>
    <row r="43" spans="1:17" x14ac:dyDescent="0.2">
      <c r="A43" s="66" t="s">
        <v>105</v>
      </c>
      <c r="B43" s="76" t="s">
        <v>156</v>
      </c>
      <c r="C43" s="77">
        <f>E28</f>
        <v>58.949240000000003</v>
      </c>
      <c r="D43" t="s">
        <v>167</v>
      </c>
    </row>
    <row r="45" spans="1:17" x14ac:dyDescent="0.2">
      <c r="B45" s="173" t="s">
        <v>164</v>
      </c>
      <c r="C45" s="173"/>
      <c r="D45" s="2">
        <f>C43/D28-1</f>
        <v>0.14021740812379102</v>
      </c>
    </row>
    <row r="46" spans="1:17" x14ac:dyDescent="0.2">
      <c r="B46" s="161" t="s">
        <v>163</v>
      </c>
      <c r="C46" s="161"/>
      <c r="D46" s="2">
        <f>'1. Data &amp; Confidence Interval'!Q24</f>
        <v>0.1585365853658538</v>
      </c>
    </row>
  </sheetData>
  <mergeCells count="2">
    <mergeCell ref="B46:C46"/>
    <mergeCell ref="B45:C45"/>
  </mergeCells>
  <conditionalFormatting sqref="P20:W27 Q18:W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0:P34 S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9:P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2021-10-28T17:47:07Z</dcterms:modified>
</cp:coreProperties>
</file>