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ISRG\"/>
    </mc:Choice>
  </mc:AlternateContent>
  <xr:revisionPtr revIDLastSave="0" documentId="13_ncr:1_{99F273AC-695F-47CB-872A-7EE93CD18B33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4" l="1"/>
  <c r="C44" i="4" s="1"/>
  <c r="D46" i="4" s="1"/>
  <c r="G53" i="4"/>
  <c r="G52" i="4"/>
  <c r="G51" i="4"/>
  <c r="F53" i="4"/>
  <c r="F52" i="4"/>
  <c r="F51" i="4"/>
  <c r="E51" i="4"/>
  <c r="E52" i="4"/>
  <c r="D52" i="4"/>
  <c r="D51" i="4"/>
  <c r="G32" i="4"/>
  <c r="G42" i="2"/>
  <c r="G41" i="2"/>
  <c r="F31" i="4"/>
  <c r="E34" i="4"/>
  <c r="E33" i="4"/>
  <c r="E32" i="4"/>
  <c r="E31" i="4"/>
  <c r="E30" i="4"/>
  <c r="E29" i="4"/>
  <c r="O3" i="1"/>
  <c r="P32" i="4"/>
  <c r="P31" i="4"/>
  <c r="P34" i="4"/>
  <c r="P33" i="4"/>
  <c r="Q20" i="2"/>
  <c r="P20" i="2"/>
  <c r="O20" i="2"/>
  <c r="N20" i="2"/>
  <c r="M20" i="2"/>
  <c r="K20" i="2"/>
  <c r="L20" i="2"/>
  <c r="AK26" i="1"/>
  <c r="AK25" i="1"/>
  <c r="AK24" i="1"/>
  <c r="AK22" i="1"/>
  <c r="AK21" i="1"/>
  <c r="AK20" i="1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B25" i="2"/>
  <c r="C25" i="2"/>
  <c r="D25" i="2"/>
  <c r="A25" i="2"/>
  <c r="I28" i="3"/>
  <c r="E28" i="3"/>
  <c r="D47" i="4"/>
  <c r="P30" i="4"/>
  <c r="P29" i="4"/>
  <c r="C2" i="4"/>
  <c r="F39" i="2" a="1"/>
  <c r="F39" i="2"/>
  <c r="G39" i="2" a="1"/>
  <c r="G39" i="2"/>
  <c r="H39" i="2" a="1"/>
  <c r="H39" i="2" s="1"/>
  <c r="I39" i="2" a="1"/>
  <c r="I39" i="2"/>
  <c r="J39" i="2" a="1"/>
  <c r="J39" i="2" s="1"/>
  <c r="K39" i="2" a="1"/>
  <c r="K39" i="2"/>
  <c r="L39" i="2" a="1"/>
  <c r="L39" i="2"/>
  <c r="M39" i="2" a="1"/>
  <c r="M39" i="2"/>
  <c r="N39" i="2" a="1"/>
  <c r="N39" i="2" s="1"/>
  <c r="O39" i="2" a="1"/>
  <c r="O39" i="2"/>
  <c r="P39" i="2" a="1"/>
  <c r="P39" i="2" s="1"/>
  <c r="Q39" i="2" a="1"/>
  <c r="Q39" i="2"/>
  <c r="R39" i="2" a="1"/>
  <c r="R39" i="2"/>
  <c r="F40" i="2" a="1"/>
  <c r="F40" i="2"/>
  <c r="G40" i="2" a="1"/>
  <c r="G40" i="2" s="1"/>
  <c r="H40" i="2" a="1"/>
  <c r="H40" i="2"/>
  <c r="I40" i="2" a="1"/>
  <c r="I40" i="2" s="1"/>
  <c r="J40" i="2" a="1"/>
  <c r="J40" i="2"/>
  <c r="K40" i="2" a="1"/>
  <c r="K40" i="2"/>
  <c r="L40" i="2" a="1"/>
  <c r="L40" i="2" s="1"/>
  <c r="M40" i="2" a="1"/>
  <c r="M40" i="2" s="1"/>
  <c r="N40" i="2" a="1"/>
  <c r="N40" i="2"/>
  <c r="O40" i="2" a="1"/>
  <c r="O40" i="2" s="1"/>
  <c r="P40" i="2" a="1"/>
  <c r="P40" i="2" s="1"/>
  <c r="Q40" i="2" a="1"/>
  <c r="Q40" i="2" s="1"/>
  <c r="R40" i="2" a="1"/>
  <c r="R40" i="2" s="1"/>
  <c r="E40" i="2" a="1"/>
  <c r="E40" i="2" s="1"/>
  <c r="E39" i="2" a="1"/>
  <c r="E39" i="2" s="1"/>
  <c r="R21" i="2"/>
  <c r="AJ10" i="1"/>
  <c r="AK23" i="1"/>
  <c r="R25" i="1"/>
  <c r="R24" i="1"/>
  <c r="O25" i="1"/>
  <c r="O24" i="1"/>
  <c r="V21" i="1"/>
  <c r="AJ17" i="1"/>
  <c r="AI17" i="1"/>
  <c r="AH17" i="1"/>
  <c r="AG17" i="1"/>
  <c r="AF17" i="1"/>
  <c r="AE17" i="1"/>
  <c r="AD17" i="1"/>
  <c r="AC17" i="1"/>
  <c r="AB17" i="1"/>
  <c r="U23" i="1" l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U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B17" i="1"/>
  <c r="AI13" i="1"/>
  <c r="N13" i="1"/>
  <c r="M13" i="1"/>
  <c r="L13" i="1"/>
  <c r="K13" i="1"/>
  <c r="J13" i="1"/>
  <c r="I13" i="1"/>
  <c r="H13" i="1"/>
  <c r="G13" i="1"/>
  <c r="F13" i="1"/>
  <c r="F24" i="3"/>
  <c r="C7" i="1" l="1"/>
  <c r="B7" i="1"/>
  <c r="R38" i="2"/>
  <c r="R37" i="2"/>
  <c r="R36" i="2"/>
  <c r="R35" i="2"/>
  <c r="R33" i="2"/>
  <c r="R32" i="2"/>
  <c r="R31" i="2"/>
  <c r="R30" i="2"/>
  <c r="R29" i="2"/>
  <c r="R28" i="2"/>
  <c r="R27" i="2"/>
  <c r="R26" i="2"/>
  <c r="R25" i="2"/>
  <c r="M2" i="1" l="1"/>
  <c r="N2" i="1"/>
  <c r="N3" i="1"/>
  <c r="M3" i="1"/>
  <c r="H24" i="3"/>
  <c r="O2" i="1" l="1"/>
  <c r="N21" i="2"/>
  <c r="M21" i="2"/>
  <c r="R34" i="2"/>
  <c r="K26" i="2"/>
  <c r="L26" i="2"/>
  <c r="M26" i="2"/>
  <c r="N26" i="2"/>
  <c r="O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E38" i="2"/>
  <c r="E25" i="2"/>
  <c r="F25" i="2"/>
  <c r="G25" i="2"/>
  <c r="H25" i="2"/>
  <c r="I25" i="2"/>
  <c r="J25" i="2"/>
  <c r="E26" i="2"/>
  <c r="F26" i="2"/>
  <c r="G26" i="2"/>
  <c r="H26" i="2"/>
  <c r="I26" i="2"/>
  <c r="J26" i="2"/>
  <c r="E27" i="2"/>
  <c r="F27" i="2"/>
  <c r="G27" i="2"/>
  <c r="H27" i="2"/>
  <c r="I27" i="2"/>
  <c r="J27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F38" i="2"/>
  <c r="G38" i="2"/>
  <c r="H38" i="2"/>
  <c r="I38" i="2"/>
  <c r="J38" i="2"/>
  <c r="Q21" i="2"/>
  <c r="F21" i="2"/>
  <c r="G21" i="2"/>
  <c r="H21" i="2"/>
  <c r="I21" i="2"/>
  <c r="J21" i="2"/>
  <c r="K21" i="2"/>
  <c r="L21" i="2"/>
  <c r="O21" i="2"/>
  <c r="P21" i="2"/>
  <c r="E21" i="2"/>
  <c r="AJ13" i="1"/>
  <c r="O13" i="1"/>
  <c r="J10" i="1" s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H21" i="1" l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P3" i="1" l="1"/>
  <c r="O4" i="1" l="1"/>
  <c r="P4" i="1" s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<sst xmlns="http://schemas.openxmlformats.org/spreadsheetml/2006/main" count="327" uniqueCount="179">
  <si>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</si>
  <si>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</si>
  <si>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</si>
  <si>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</si>
  <si>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</si>
  <si>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</si>
  <si>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</si>
  <si>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</si>
  <si>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</si>
  <si>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</si>
  <si>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</si>
  <si>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</si>
  <si>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</si>
  <si>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</si>
  <si>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</si>
  <si>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</si>
  <si>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</si>
  <si>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</si>
  <si>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</si>
  <si>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</si>
  <si>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</si>
  <si>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</si>
  <si>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</si>
  <si>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</si>
  <si>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</si>
  <si>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</si>
  <si>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</si>
  <si>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</si>
  <si>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</si>
  <si>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</si>
  <si>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</si>
  <si>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</si>
  <si>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</si>
  <si>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</si>
  <si>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</si>
  <si>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</si>
  <si>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</si>
  <si>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</si>
  <si>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</si>
  <si>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</si>
  <si>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</si>
  <si>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</si>
  <si>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</si>
  <si>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</si>
  <si>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</si>
  <si>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</si>
  <si>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</si>
  <si>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</si>
  <si>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</si>
  <si>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</si>
  <si>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</si>
  <si>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</si>
  <si>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</si>
  <si>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</si>
  <si>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</si>
  <si>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</si>
  <si>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</si>
  <si>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</si>
  <si>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</si>
  <si>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</si>
  <si>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</si>
  <si>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</si>
  <si>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</si>
  <si>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</si>
  <si>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</si>
  <si>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</si>
  <si>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</si>
  <si>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</si>
  <si>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</si>
  <si>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</si>
  <si>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</si>
  <si>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</si>
  <si>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</si>
  <si>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</si>
  <si>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</si>
  <si>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</si>
  <si>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</si>
  <si>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</si>
  <si>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</si>
  <si>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</si>
  <si>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</si>
  <si>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</si>
  <si>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</si>
  <si>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</si>
  <si>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</si>
  <si>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</si>
  <si>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</si>
  <si>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</si>
  <si>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</si>
  <si>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</si>
  <si>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</si>
  <si>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</si>
  <si>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</si>
  <si>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</si>
  <si>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</si>
  <si>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</si>
  <si>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</si>
  <si>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</si>
  <si>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</si>
  <si>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</si>
  <si>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</si>
  <si>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</si>
  <si>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</si>
  <si>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</si>
  <si>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</si>
  <si>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</si>
  <si>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</si>
  <si>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</si>
  <si>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</si>
  <si>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</si>
  <si>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</si>
  <si>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</si>
  <si>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</si>
  <si>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I usually start this process at 2019Q1 and repeat this backtest for all dates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</si>
  <si>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</si>
  <si>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</si>
  <si>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</si>
  <si>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</si>
  <si>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</si>
  <si>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</si>
  <si>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</si>
  <si>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</si>
  <si>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</si>
  <si>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</si>
  <si>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</si>
  <si>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</si>
  <si>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</si>
  <si>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</si>
  <si>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</si>
  <si>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</si>
  <si>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</si>
  <si>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</si>
  <si>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</si>
  <si>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</si>
  <si>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</si>
  <si>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</si>
  <si>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</si>
  <si>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</si>
  <si>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</si>
  <si>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</si>
  <si>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</si>
  <si>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</si>
  <si>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</si>
  <si>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</si>
  <si>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</si>
  <si>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</si>
  <si>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</si>
  <si>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</si>
  <si>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</si>
  <si>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</si>
  <si>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</si>
  <si>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</si>
  <si>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</si>
  <si>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</si>
  <si>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</si>
  <si>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</si>
  <si>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</si>
  <si>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</si>
  <si>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</si>
  <si>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</si>
  <si>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</si>
  <si>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It is an apple to apple comparison for each method. I removed 2020Q2 to be biased towards the projection that uses moa data.(12_12 projection)</t>
  </si>
  <si>
    <t>Consensus seemes to perform better than the other methodology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</si>
  <si>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</si>
  <si>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</si>
  <si>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</si>
  <si>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</si>
  <si>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</si>
  <si>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</si>
  <si>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</si>
  <si>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ISRG US</t>
  </si>
  <si>
    <t>ISRG</t>
  </si>
  <si>
    <t>Instruments and accessories</t>
  </si>
  <si>
    <t>ISRG Avg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</si>
  <si>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</si>
  <si>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ISRG SS NO LR</t>
  </si>
  <si>
    <t>If this value is unsatisfactory, use confidence interval.</t>
  </si>
  <si>
    <t>Implied Beat/Miss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</si>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</sst>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0" fillId="0" borderId="3" xfId="0" applyNumberFormat="1" applyBorder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166" fontId="2" fillId="0" borderId="0" xfId="0" applyNumberFormat="1" applyFont="1" applyBorder="1"/>
    <xf numFmtId="166" fontId="2" fillId="0" borderId="11" xfId="0" applyNumberFormat="1" applyFont="1" applyBorder="1"/>
    <xf numFmtId="10" fontId="4" fillId="0" borderId="13" xfId="1" applyNumberFormat="1" applyFont="1" applyBorder="1"/>
    <xf numFmtId="10" fontId="4" fillId="0" borderId="15" xfId="1" applyNumberFormat="1" applyFont="1" applyBorder="1"/>
    <xf numFmtId="0" fontId="8" fillId="0" borderId="0" xfId="0" applyFont="1" applyFill="1" applyBorder="1" applyAlignment="1">
      <alignment horizontal="center" vertical="top"/>
    </xf>
    <xf numFmtId="0" fontId="0" fillId="3" borderId="14" xfId="0" applyFill="1" applyBorder="1"/>
    <xf numFmtId="9" fontId="0" fillId="3" borderId="0" xfId="1" applyFont="1" applyFill="1" applyBorder="1"/>
    <xf numFmtId="9" fontId="0" fillId="3" borderId="8" xfId="1" applyFont="1" applyFill="1" applyBorder="1"/>
    <xf numFmtId="164" fontId="0" fillId="3" borderId="0" xfId="1" applyNumberFormat="1" applyFont="1" applyFill="1" applyBorder="1"/>
    <xf numFmtId="164" fontId="0" fillId="3" borderId="9" xfId="1" applyNumberFormat="1" applyFont="1" applyFill="1" applyBorder="1"/>
    <xf numFmtId="166" fontId="0" fillId="0" borderId="0" xfId="0" applyNumberFormat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zoomScale="70" zoomScaleNormal="70" workbookViewId="0">
      <selection activeCell="R24" sqref="O24:R25"/>
    </sheetView>
  </sheetViews>
  <sheetFormatPr defaultRowHeight="12.75" x14ac:dyDescent="0.2"/>
  <cols>
    <col min="1" max="1" width="17.85546875" bestFit="1" customWidth="1"/>
    <col min="2" max="38" width="10.7109375" customWidth="1"/>
  </cols>
  <sheetData>
    <row r="1" spans="1:37" x14ac:dyDescent="0.2">
      <c r="A1" s="142" t="s">
        <v>170</v>
      </c>
      <c r="B1" s="143"/>
      <c r="C1" s="144"/>
      <c r="K1" s="151" t="s">
        <v>35</v>
      </c>
      <c r="L1" s="152"/>
      <c r="M1" s="64" t="s">
        <v>31</v>
      </c>
      <c r="N1" s="64" t="s">
        <v>32</v>
      </c>
      <c r="O1" s="4" t="s">
        <v>39</v>
      </c>
      <c r="P1" s="153" t="s">
        <v>41</v>
      </c>
      <c r="Q1" s="154"/>
    </row>
    <row r="2" spans="1:37" x14ac:dyDescent="0.2">
      <c r="A2" s="145"/>
      <c r="B2" s="146"/>
      <c r="C2" s="147"/>
      <c r="K2" s="62" t="s">
        <v>37</v>
      </c>
      <c r="L2" s="63"/>
      <c r="M2" s="65">
        <f>$B$7*($AK$25-2*$AK$26)</f>
        <v>493.66087875311541</v>
      </c>
      <c r="N2" s="65">
        <f>$B$7*($AK$25+2*$AK$26)</f>
        <v>582.64645251908757</v>
      </c>
      <c r="O2" s="68">
        <f>AVERAGE(M2:N2)</f>
        <v>538.15366563610155</v>
      </c>
      <c r="P2" s="155">
        <f>$O$2/AF14-1</f>
        <v>0.15187000350192981</v>
      </c>
      <c r="Q2" s="156"/>
    </row>
    <row r="3" spans="1:37" x14ac:dyDescent="0.2">
      <c r="A3" s="148"/>
      <c r="B3" s="149"/>
      <c r="C3" s="150"/>
      <c r="K3" s="47" t="s">
        <v>38</v>
      </c>
      <c r="L3" s="20"/>
      <c r="M3" s="67">
        <f>$C$7*($AK$25-2*$AK$26)</f>
        <v>503.45573745853443</v>
      </c>
      <c r="N3" s="67">
        <f>$C$7*($AK$25+2*$AK$26)</f>
        <v>594.2068980055775</v>
      </c>
      <c r="O3" s="69">
        <f>AVERAGE(M3:N3)</f>
        <v>548.83131773205594</v>
      </c>
      <c r="P3" s="157">
        <f>$O$3/AF15-1</f>
        <v>0.17472456706347583</v>
      </c>
      <c r="Q3" s="158"/>
    </row>
    <row r="4" spans="1:37" x14ac:dyDescent="0.2">
      <c r="A4" s="53"/>
      <c r="B4" s="53"/>
      <c r="C4" s="53"/>
      <c r="N4" s="4" t="s">
        <v>40</v>
      </c>
      <c r="O4" s="69">
        <f>AVERAGE(O2:O3)</f>
        <v>543.49249168407869</v>
      </c>
      <c r="P4" s="157">
        <f>$O$4/AF15-1</f>
        <v>0.1632972852827026</v>
      </c>
      <c r="Q4" s="158"/>
    </row>
    <row r="5" spans="1:37" x14ac:dyDescent="0.2">
      <c r="A5" s="61" t="s">
        <v>34</v>
      </c>
      <c r="B5" s="51" t="s">
        <v>31</v>
      </c>
      <c r="C5" s="52" t="s">
        <v>32</v>
      </c>
      <c r="D5" s="101"/>
      <c r="E5" s="101"/>
    </row>
    <row r="6" spans="1:37" ht="15.75" x14ac:dyDescent="0.25">
      <c r="A6" s="55" t="s">
        <v>33</v>
      </c>
      <c r="B6" s="59">
        <v>5491.5839999999998</v>
      </c>
      <c r="C6" s="60">
        <v>5600.5439999999999</v>
      </c>
    </row>
    <row r="7" spans="1:37" ht="14.25" x14ac:dyDescent="0.2">
      <c r="A7" s="56" t="s">
        <v>36</v>
      </c>
      <c r="B7" s="57">
        <f>B6*$AK$24</f>
        <v>2194.6790176596332</v>
      </c>
      <c r="C7" s="58">
        <f>C6*$AK$24</f>
        <v>2238.2242362639913</v>
      </c>
    </row>
    <row r="8" spans="1:37" x14ac:dyDescent="0.2">
      <c r="F8" s="53"/>
      <c r="G8" s="53"/>
      <c r="H8" s="53"/>
    </row>
    <row r="9" spans="1:37" x14ac:dyDescent="0.2">
      <c r="F9" s="53"/>
      <c r="G9" s="53"/>
      <c r="H9" s="53"/>
    </row>
    <row r="10" spans="1:37" x14ac:dyDescent="0.2">
      <c r="H10" s="141" t="s">
        <v>15</v>
      </c>
      <c r="I10" s="141"/>
      <c r="J10" s="37">
        <f>AVERAGE(F13:AJ13)</f>
        <v>1.1135408240519522</v>
      </c>
      <c r="AG10" s="141" t="s">
        <v>16</v>
      </c>
      <c r="AH10" s="141"/>
      <c r="AI10" s="141"/>
      <c r="AJ10" s="90">
        <f>AVERAGE(AF13:AJ13)</f>
        <v>1.0873587900169597</v>
      </c>
    </row>
    <row r="11" spans="1:37" x14ac:dyDescent="0.2">
      <c r="A11" s="54" t="s">
        <v>6</v>
      </c>
      <c r="B11" s="113">
        <v>2013</v>
      </c>
      <c r="C11" s="113"/>
      <c r="D11" s="113"/>
      <c r="E11" s="114"/>
      <c r="F11" s="130">
        <v>2014</v>
      </c>
      <c r="G11" s="130"/>
      <c r="H11" s="130"/>
      <c r="I11" s="131"/>
      <c r="J11" s="132">
        <v>2015</v>
      </c>
      <c r="K11" s="133"/>
      <c r="L11" s="133"/>
      <c r="M11" s="134"/>
      <c r="N11" s="132">
        <v>2016</v>
      </c>
      <c r="O11" s="133"/>
      <c r="P11" s="133"/>
      <c r="Q11" s="134"/>
      <c r="R11" s="135">
        <v>2017</v>
      </c>
      <c r="S11" s="136"/>
      <c r="T11" s="136"/>
      <c r="U11" s="137"/>
      <c r="V11" s="159">
        <v>2018</v>
      </c>
      <c r="W11" s="160"/>
      <c r="X11" s="160"/>
      <c r="Y11" s="161"/>
      <c r="Z11" s="138">
        <v>2019</v>
      </c>
      <c r="AA11" s="113"/>
      <c r="AB11" s="113"/>
      <c r="AC11" s="114"/>
      <c r="AD11" s="139">
        <v>2020</v>
      </c>
      <c r="AE11" s="130"/>
      <c r="AF11" s="130"/>
      <c r="AG11" s="131"/>
      <c r="AH11" s="132">
        <v>2021</v>
      </c>
      <c r="AI11" s="133"/>
      <c r="AJ11" s="133"/>
      <c r="AK11" s="134"/>
    </row>
    <row r="12" spans="1:37" x14ac:dyDescent="0.2">
      <c r="A12" s="15" t="s">
        <v>19</v>
      </c>
      <c r="B12" s="91" t="s">
        <v>20</v>
      </c>
      <c r="C12" s="92" t="s">
        <v>3</v>
      </c>
      <c r="D12" s="92" t="s">
        <v>4</v>
      </c>
      <c r="E12" s="93" t="s">
        <v>5</v>
      </c>
      <c r="F12" s="21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2" t="s">
        <v>20</v>
      </c>
      <c r="O12" s="23" t="s">
        <v>3</v>
      </c>
      <c r="P12" s="23" t="s">
        <v>4</v>
      </c>
      <c r="Q12" s="23" t="s">
        <v>5</v>
      </c>
      <c r="R12" s="24" t="s">
        <v>20</v>
      </c>
      <c r="S12" s="25" t="s">
        <v>3</v>
      </c>
      <c r="T12" s="25" t="s">
        <v>4</v>
      </c>
      <c r="U12" s="25" t="s">
        <v>5</v>
      </c>
      <c r="V12" s="26" t="s">
        <v>20</v>
      </c>
      <c r="W12" s="27" t="s">
        <v>3</v>
      </c>
      <c r="X12" s="27" t="s">
        <v>4</v>
      </c>
      <c r="Y12" s="27" t="s">
        <v>5</v>
      </c>
      <c r="Z12" s="28" t="s">
        <v>20</v>
      </c>
      <c r="AA12" s="29" t="s">
        <v>3</v>
      </c>
      <c r="AB12" s="29" t="s">
        <v>4</v>
      </c>
      <c r="AC12" s="29" t="s">
        <v>5</v>
      </c>
      <c r="AD12" s="30" t="s">
        <v>20</v>
      </c>
      <c r="AE12" s="21" t="s">
        <v>3</v>
      </c>
      <c r="AF12" s="21" t="s">
        <v>4</v>
      </c>
      <c r="AG12" s="21" t="s">
        <v>5</v>
      </c>
      <c r="AH12" s="39" t="s">
        <v>20</v>
      </c>
      <c r="AI12" s="40" t="s">
        <v>3</v>
      </c>
      <c r="AJ12" s="41" t="s">
        <v>21</v>
      </c>
      <c r="AK12" s="31" t="s">
        <v>22</v>
      </c>
    </row>
    <row r="13" spans="1:37" x14ac:dyDescent="0.2">
      <c r="A13" s="36" t="s">
        <v>2</v>
      </c>
      <c r="B13" s="32"/>
      <c r="C13" s="32"/>
      <c r="D13" s="32"/>
      <c r="E13" s="32"/>
      <c r="F13" s="97">
        <f>F15/B15</f>
        <v>0.92740046838407497</v>
      </c>
      <c r="G13" s="97">
        <f>G15/C15</f>
        <v>0.94543787253553413</v>
      </c>
      <c r="H13" s="98">
        <f>H15/D15</f>
        <v>1.1014344262295082</v>
      </c>
      <c r="I13" s="99">
        <f>I15/E15</f>
        <v>1.0059605685465383</v>
      </c>
      <c r="J13" s="100">
        <f>J14/F14</f>
        <v>1.0747474747474748</v>
      </c>
      <c r="K13" s="97">
        <f>K15/G15</f>
        <v>1.1202715809893309</v>
      </c>
      <c r="L13" s="97">
        <f>L15/H15</f>
        <v>1.106046511627907</v>
      </c>
      <c r="M13" s="97">
        <f>M15/I15</f>
        <v>1.1631722880583408</v>
      </c>
      <c r="N13" s="98">
        <f>N15/J15</f>
        <v>1.1597744360902256</v>
      </c>
      <c r="O13" s="97">
        <f t="shared" ref="O13:AH13" si="0">O15/K15</f>
        <v>1.1350649350649351</v>
      </c>
      <c r="P13" s="97">
        <f t="shared" si="0"/>
        <v>1.1370899915895709</v>
      </c>
      <c r="Q13" s="97">
        <f t="shared" si="0"/>
        <v>1.167319749216301</v>
      </c>
      <c r="R13" s="98">
        <f t="shared" si="0"/>
        <v>1.1653160453808753</v>
      </c>
      <c r="S13" s="97">
        <f t="shared" si="0"/>
        <v>1.1800152555301295</v>
      </c>
      <c r="T13" s="97">
        <f t="shared" si="0"/>
        <v>1.1564349112426036</v>
      </c>
      <c r="U13" s="97">
        <f t="shared" si="0"/>
        <v>1.1863041289023162</v>
      </c>
      <c r="V13" s="98">
        <f t="shared" si="0"/>
        <v>1.1738525730180807</v>
      </c>
      <c r="W13" s="97">
        <f t="shared" si="0"/>
        <v>1.1645119586296058</v>
      </c>
      <c r="X13" s="97">
        <f t="shared" si="0"/>
        <v>1.177166613367445</v>
      </c>
      <c r="Y13" s="97">
        <f t="shared" si="0"/>
        <v>1.1861912846632712</v>
      </c>
      <c r="Z13" s="98">
        <f t="shared" si="0"/>
        <v>1.2067535545023695</v>
      </c>
      <c r="AA13" s="97">
        <f t="shared" si="0"/>
        <v>1.1895642520122121</v>
      </c>
      <c r="AB13" s="97">
        <f t="shared" si="0"/>
        <v>1.2243955446889432</v>
      </c>
      <c r="AC13" s="97">
        <f t="shared" si="0"/>
        <v>1.2015744274809161</v>
      </c>
      <c r="AD13" s="98">
        <f t="shared" si="0"/>
        <v>1.0908198330878742</v>
      </c>
      <c r="AE13" s="97">
        <f t="shared" si="0"/>
        <v>0.73635090993933738</v>
      </c>
      <c r="AF13" s="97">
        <f t="shared" si="0"/>
        <v>1.0366097182161083</v>
      </c>
      <c r="AG13" s="97">
        <f t="shared" si="0"/>
        <v>1.1076037323803851</v>
      </c>
      <c r="AH13" s="98">
        <f t="shared" si="0"/>
        <v>1.126912691269127</v>
      </c>
      <c r="AI13" s="99">
        <f>AI14/AI14</f>
        <v>1</v>
      </c>
      <c r="AJ13" s="100">
        <f>AJ14/AF14</f>
        <v>1.1656678082191783</v>
      </c>
      <c r="AK13" s="33"/>
    </row>
    <row r="14" spans="1:37" x14ac:dyDescent="0.2">
      <c r="A14" s="16" t="s">
        <v>0</v>
      </c>
      <c r="B14" s="8">
        <v>213.5</v>
      </c>
      <c r="C14" s="8">
        <v>218.1</v>
      </c>
      <c r="D14" s="8">
        <v>195.2</v>
      </c>
      <c r="E14" s="8">
        <v>218.1</v>
      </c>
      <c r="F14" s="8">
        <v>198</v>
      </c>
      <c r="G14" s="8">
        <v>206.2</v>
      </c>
      <c r="H14" s="8">
        <v>215</v>
      </c>
      <c r="I14" s="8">
        <v>219.4</v>
      </c>
      <c r="J14" s="10">
        <v>212.8</v>
      </c>
      <c r="K14" s="6">
        <v>231</v>
      </c>
      <c r="L14" s="6">
        <v>237.8</v>
      </c>
      <c r="M14" s="6">
        <v>255.2</v>
      </c>
      <c r="N14" s="10">
        <v>246.8</v>
      </c>
      <c r="O14" s="6">
        <v>262.2</v>
      </c>
      <c r="P14" s="6">
        <v>270.39999999999998</v>
      </c>
      <c r="Q14" s="6">
        <v>297.89999999999998</v>
      </c>
      <c r="R14" s="10">
        <v>287.60000000000002</v>
      </c>
      <c r="S14" s="6">
        <v>309.39999999999998</v>
      </c>
      <c r="T14" s="6">
        <v>312.7</v>
      </c>
      <c r="U14" s="6">
        <v>353.4</v>
      </c>
      <c r="V14" s="10">
        <v>337.6</v>
      </c>
      <c r="W14" s="6">
        <v>360.3</v>
      </c>
      <c r="X14" s="6">
        <v>368.1</v>
      </c>
      <c r="Y14" s="6">
        <v>419.2</v>
      </c>
      <c r="Z14" s="10">
        <v>407.4</v>
      </c>
      <c r="AA14" s="6">
        <v>428.6</v>
      </c>
      <c r="AB14" s="6">
        <v>450.7</v>
      </c>
      <c r="AC14" s="6">
        <v>503.7</v>
      </c>
      <c r="AD14" s="10">
        <v>444.4</v>
      </c>
      <c r="AE14" s="6">
        <v>315.60000000000002</v>
      </c>
      <c r="AF14" s="6">
        <v>467.2</v>
      </c>
      <c r="AG14" s="6">
        <v>557.9</v>
      </c>
      <c r="AH14" s="6">
        <v>500.8</v>
      </c>
      <c r="AI14" s="6">
        <v>577.5</v>
      </c>
      <c r="AJ14" s="6">
        <v>544.6</v>
      </c>
      <c r="AK14" s="6">
        <v>626.79999999999995</v>
      </c>
    </row>
    <row r="15" spans="1:37" x14ac:dyDescent="0.2">
      <c r="A15" s="16" t="s">
        <v>1</v>
      </c>
      <c r="B15" s="6">
        <v>213.5</v>
      </c>
      <c r="C15" s="6">
        <v>218.1</v>
      </c>
      <c r="D15" s="6">
        <v>195.2</v>
      </c>
      <c r="E15" s="6">
        <v>218.1</v>
      </c>
      <c r="F15" s="6">
        <v>198</v>
      </c>
      <c r="G15" s="6">
        <v>206.2</v>
      </c>
      <c r="H15" s="6">
        <v>215</v>
      </c>
      <c r="I15" s="6">
        <v>219.4</v>
      </c>
      <c r="J15" s="10">
        <v>212.8</v>
      </c>
      <c r="K15" s="6">
        <v>231</v>
      </c>
      <c r="L15" s="6">
        <v>237.8</v>
      </c>
      <c r="M15" s="6">
        <v>255.2</v>
      </c>
      <c r="N15" s="10">
        <v>246.8</v>
      </c>
      <c r="O15" s="6">
        <v>262.2</v>
      </c>
      <c r="P15" s="6">
        <v>270.39999999999998</v>
      </c>
      <c r="Q15" s="6">
        <v>297.89999999999998</v>
      </c>
      <c r="R15" s="10">
        <v>287.60000000000002</v>
      </c>
      <c r="S15" s="6">
        <v>309.39999999999998</v>
      </c>
      <c r="T15" s="6">
        <v>312.7</v>
      </c>
      <c r="U15" s="6">
        <v>353.4</v>
      </c>
      <c r="V15" s="10">
        <v>337.6</v>
      </c>
      <c r="W15" s="6">
        <v>360.3</v>
      </c>
      <c r="X15" s="6">
        <v>368.1</v>
      </c>
      <c r="Y15" s="6">
        <v>419.2</v>
      </c>
      <c r="Z15" s="10">
        <v>407.4</v>
      </c>
      <c r="AA15" s="6">
        <v>428.6</v>
      </c>
      <c r="AB15" s="6">
        <v>450.7</v>
      </c>
      <c r="AC15" s="6">
        <v>503.7</v>
      </c>
      <c r="AD15" s="10">
        <v>444.4</v>
      </c>
      <c r="AE15" s="6">
        <v>315.60000000000002</v>
      </c>
      <c r="AF15" s="6">
        <v>467.2</v>
      </c>
      <c r="AG15" s="6">
        <v>557.9</v>
      </c>
      <c r="AH15" s="10">
        <v>500.8</v>
      </c>
      <c r="AI15" s="6">
        <v>577.5</v>
      </c>
      <c r="AJ15" s="10"/>
      <c r="AK15" s="11"/>
    </row>
    <row r="16" spans="1:37" x14ac:dyDescent="0.2">
      <c r="A16" s="16" t="s">
        <v>159</v>
      </c>
      <c r="B16" s="10">
        <v>611.4</v>
      </c>
      <c r="C16" s="6">
        <v>578.5</v>
      </c>
      <c r="D16" s="6">
        <v>499</v>
      </c>
      <c r="E16" s="11">
        <v>576.20000000000005</v>
      </c>
      <c r="F16" s="10">
        <v>464.7</v>
      </c>
      <c r="G16" s="6">
        <v>512.20000000000005</v>
      </c>
      <c r="H16" s="6">
        <v>550.1</v>
      </c>
      <c r="I16" s="11">
        <v>604.70000000000005</v>
      </c>
      <c r="J16" s="10">
        <v>532.1</v>
      </c>
      <c r="K16" s="6">
        <v>586.1</v>
      </c>
      <c r="L16" s="6">
        <v>589.70000000000005</v>
      </c>
      <c r="M16" s="11">
        <v>676.5</v>
      </c>
      <c r="N16" s="10">
        <v>595</v>
      </c>
      <c r="O16" s="6">
        <v>670.6</v>
      </c>
      <c r="P16" s="6">
        <v>683.4</v>
      </c>
      <c r="Q16" s="11">
        <v>757.5</v>
      </c>
      <c r="R16" s="10">
        <v>679.6</v>
      </c>
      <c r="S16" s="6">
        <v>758.8</v>
      </c>
      <c r="T16" s="6">
        <v>807.8</v>
      </c>
      <c r="U16" s="11">
        <v>892</v>
      </c>
      <c r="V16" s="10">
        <v>847.5</v>
      </c>
      <c r="W16" s="6">
        <v>909.3</v>
      </c>
      <c r="X16" s="6">
        <v>920.9</v>
      </c>
      <c r="Y16" s="11">
        <v>1046.5</v>
      </c>
      <c r="Z16" s="10">
        <v>973.7</v>
      </c>
      <c r="AA16" s="6">
        <v>1098.9000000000001</v>
      </c>
      <c r="AB16" s="6">
        <v>1128.2</v>
      </c>
      <c r="AC16" s="11">
        <v>1277.7</v>
      </c>
      <c r="AD16" s="10">
        <v>1099.5</v>
      </c>
      <c r="AE16" s="6">
        <v>852.1</v>
      </c>
      <c r="AF16" s="6">
        <v>1077.7</v>
      </c>
      <c r="AG16" s="11">
        <v>1329.1</v>
      </c>
      <c r="AH16" s="10">
        <v>1292.0999999999999</v>
      </c>
      <c r="AI16">
        <v>1464</v>
      </c>
      <c r="AJ16" s="94">
        <v>1372.6</v>
      </c>
      <c r="AK16" s="11"/>
    </row>
    <row r="17" spans="1:38" x14ac:dyDescent="0.2">
      <c r="A17" s="107" t="s">
        <v>18</v>
      </c>
      <c r="B17" s="108">
        <f>B15/B16</f>
        <v>0.34919856068040561</v>
      </c>
      <c r="C17" s="108">
        <f t="shared" ref="C17:AA17" si="1">C15/C16</f>
        <v>0.377009507346586</v>
      </c>
      <c r="D17" s="108">
        <f t="shared" si="1"/>
        <v>0.39118236472945889</v>
      </c>
      <c r="E17" s="108">
        <f t="shared" si="1"/>
        <v>0.37851440472058306</v>
      </c>
      <c r="F17" s="108">
        <f t="shared" si="1"/>
        <v>0.42608134280180765</v>
      </c>
      <c r="G17" s="108">
        <f t="shared" si="1"/>
        <v>0.40257711831315884</v>
      </c>
      <c r="H17" s="108">
        <f t="shared" si="1"/>
        <v>0.39083802944919105</v>
      </c>
      <c r="I17" s="108">
        <f t="shared" si="1"/>
        <v>0.3628245410947577</v>
      </c>
      <c r="J17" s="108">
        <f t="shared" si="1"/>
        <v>0.39992482616049613</v>
      </c>
      <c r="K17" s="108">
        <f t="shared" si="1"/>
        <v>0.39413069442074727</v>
      </c>
      <c r="L17" s="108">
        <f t="shared" si="1"/>
        <v>0.40325589282686108</v>
      </c>
      <c r="M17" s="108">
        <f t="shared" si="1"/>
        <v>0.37723577235772354</v>
      </c>
      <c r="N17" s="108">
        <f t="shared" si="1"/>
        <v>0.41478991596638659</v>
      </c>
      <c r="O17" s="108">
        <f t="shared" si="1"/>
        <v>0.39099314047121975</v>
      </c>
      <c r="P17" s="108">
        <f t="shared" si="1"/>
        <v>0.39566871524729291</v>
      </c>
      <c r="Q17" s="108">
        <f t="shared" si="1"/>
        <v>0.39326732673267323</v>
      </c>
      <c r="R17" s="108">
        <f t="shared" si="1"/>
        <v>0.42319011183048855</v>
      </c>
      <c r="S17" s="108">
        <f t="shared" si="1"/>
        <v>0.40774907749077488</v>
      </c>
      <c r="T17" s="108">
        <f t="shared" si="1"/>
        <v>0.38710076751671207</v>
      </c>
      <c r="U17" s="108">
        <f t="shared" si="1"/>
        <v>0.39618834080717485</v>
      </c>
      <c r="V17" s="108">
        <f t="shared" si="1"/>
        <v>0.39834808259587023</v>
      </c>
      <c r="W17" s="108">
        <f t="shared" si="1"/>
        <v>0.39623886506103601</v>
      </c>
      <c r="X17" s="108">
        <f t="shared" si="1"/>
        <v>0.39971766749918564</v>
      </c>
      <c r="Y17" s="108">
        <f t="shared" si="1"/>
        <v>0.40057333970377446</v>
      </c>
      <c r="Z17" s="108">
        <f t="shared" si="1"/>
        <v>0.41840402588066133</v>
      </c>
      <c r="AA17" s="108">
        <f t="shared" si="1"/>
        <v>0.39002639002639</v>
      </c>
      <c r="AB17" s="108">
        <f t="shared" ref="AB17:AH17" si="2">AB15/AB16</f>
        <v>0.3994859067541216</v>
      </c>
      <c r="AC17" s="108">
        <f t="shared" si="2"/>
        <v>0.39422399624324955</v>
      </c>
      <c r="AD17" s="108">
        <f t="shared" si="2"/>
        <v>0.40418371987266938</v>
      </c>
      <c r="AE17" s="108">
        <f t="shared" si="2"/>
        <v>0.37037906349020072</v>
      </c>
      <c r="AF17" s="108">
        <f t="shared" si="2"/>
        <v>0.43351582072933098</v>
      </c>
      <c r="AG17" s="108">
        <f t="shared" si="2"/>
        <v>0.41975773079527501</v>
      </c>
      <c r="AH17" s="108">
        <f t="shared" si="2"/>
        <v>0.38758610014704747</v>
      </c>
      <c r="AI17" s="108">
        <f>AI14/AI16</f>
        <v>0.39446721311475408</v>
      </c>
      <c r="AJ17" s="109">
        <f>AJ14/AJ16</f>
        <v>0.39676526300451703</v>
      </c>
      <c r="AK17" s="11"/>
    </row>
    <row r="18" spans="1:38" x14ac:dyDescent="0.2">
      <c r="A18" s="107" t="s">
        <v>24</v>
      </c>
      <c r="B18" s="110">
        <f>B15/SUM(B15:E15)</f>
        <v>0.25269262634631318</v>
      </c>
      <c r="C18" s="110">
        <f>C15/SUM(B15:E15)</f>
        <v>0.25813705763995737</v>
      </c>
      <c r="D18" s="110">
        <f>D15/SUM(B15:E15)</f>
        <v>0.23103325837377203</v>
      </c>
      <c r="E18" s="111">
        <f>E15/SUM(B15:E15)</f>
        <v>0.25813705763995737</v>
      </c>
      <c r="F18" s="110">
        <f>F15/SUM(F15:I15)</f>
        <v>0.23610779871213927</v>
      </c>
      <c r="G18" s="110">
        <f>G15/SUM(F15:I15)</f>
        <v>0.24588600047698544</v>
      </c>
      <c r="H18" s="110">
        <f>H15/SUM(F15:I15)</f>
        <v>0.25637968041974718</v>
      </c>
      <c r="I18" s="111">
        <f>I15/SUM(F15:I15)</f>
        <v>0.26162652039112805</v>
      </c>
      <c r="J18" s="110">
        <f>J15/SUM(J15:M15)</f>
        <v>0.22715627668659269</v>
      </c>
      <c r="K18" s="110">
        <f>K15/SUM(J15:M15)</f>
        <v>0.24658411614005124</v>
      </c>
      <c r="L18" s="110">
        <f>L15/SUM(J15:M15)</f>
        <v>0.25384286934244238</v>
      </c>
      <c r="M18" s="111">
        <f>M15/SUM(J15:M15)</f>
        <v>0.27241673783091375</v>
      </c>
      <c r="N18" s="110">
        <f>N15/SUM(N15:Q15)</f>
        <v>0.2290912466351063</v>
      </c>
      <c r="O18" s="110">
        <f>O15/SUM(N15:Q15)</f>
        <v>0.24338624338624337</v>
      </c>
      <c r="P18" s="110">
        <f>P15/SUM(N15:Q15)</f>
        <v>0.25099786503295274</v>
      </c>
      <c r="Q18" s="111">
        <f>Q15/SUM(N15:Q15)</f>
        <v>0.27652464494569756</v>
      </c>
      <c r="R18" s="110">
        <f>R15/SUM(R15:U15)</f>
        <v>0.2276937692977595</v>
      </c>
      <c r="S18" s="110">
        <f>S15/SUM(R15:U15)</f>
        <v>0.2449528936742934</v>
      </c>
      <c r="T18" s="110">
        <f>T15/SUM(R15:U15)</f>
        <v>0.24756551341936506</v>
      </c>
      <c r="U18" s="111">
        <f>U15/SUM(R15:U15)</f>
        <v>0.27978782360858206</v>
      </c>
      <c r="V18" s="110">
        <f>V15/SUM(V15:Y15)</f>
        <v>0.22730945327228658</v>
      </c>
      <c r="W18" s="110">
        <f>W15/SUM(V15:Y15)</f>
        <v>0.24259359008887693</v>
      </c>
      <c r="X18" s="110">
        <f>X15/SUM(V15:Y15)</f>
        <v>0.24784540802585511</v>
      </c>
      <c r="Y18" s="111">
        <f>Y15/SUM(V15:Y15)</f>
        <v>0.28225154861298141</v>
      </c>
      <c r="Z18" s="110">
        <f>Z15/SUM(Z15:AC15)</f>
        <v>0.22754691689008041</v>
      </c>
      <c r="AA18" s="110">
        <f>AA15/SUM(Z15:AC15)</f>
        <v>0.23938784629133156</v>
      </c>
      <c r="AB18" s="110">
        <f>AB15/SUM(Z15:AC15)</f>
        <v>0.25173145665773011</v>
      </c>
      <c r="AC18" s="111">
        <f>AC15/SUM(Z15:AC15)</f>
        <v>0.28133378016085792</v>
      </c>
      <c r="AD18" s="110">
        <f>AD15/SUM(AD15:AG15)</f>
        <v>0.24894963867570444</v>
      </c>
      <c r="AE18" s="110">
        <f>AE15/SUM(AD15:AG15)</f>
        <v>0.1767968181054283</v>
      </c>
      <c r="AF18" s="110">
        <f>AF15/SUM(AD15:AG15)</f>
        <v>0.26172203237913844</v>
      </c>
      <c r="AG18" s="111">
        <f>AG15/SUM(AD15:AG15)</f>
        <v>0.31253151083972885</v>
      </c>
      <c r="AH18" s="110">
        <f>AH15/SUM(AH15:AI15,AJ14:AK14)</f>
        <v>0.22260745877228078</v>
      </c>
      <c r="AI18" s="110">
        <f>AI15/SUM(AH15:AI15,AJ14:AK14)</f>
        <v>0.25670089345246033</v>
      </c>
      <c r="AJ18" s="110">
        <f>AJ14/SUM(AH15:AI15,AJ14:AK14)</f>
        <v>0.24207672134062322</v>
      </c>
      <c r="AK18" s="42">
        <f>AK14/SUM(AH15:AI15,AJ14:AK14)</f>
        <v>0.27861492643463576</v>
      </c>
      <c r="AL18" s="3"/>
    </row>
    <row r="19" spans="1:38" x14ac:dyDescent="0.2">
      <c r="A19" s="17" t="s">
        <v>17</v>
      </c>
      <c r="B19" s="13"/>
      <c r="C19" s="13"/>
      <c r="D19" s="13"/>
      <c r="E19" s="13"/>
      <c r="F19" s="13"/>
      <c r="G19" s="13"/>
      <c r="H19" s="13"/>
      <c r="I19" s="13"/>
      <c r="J19" s="12"/>
      <c r="K19" s="13"/>
      <c r="L19" s="13"/>
      <c r="M19" s="13"/>
      <c r="N19" s="12"/>
      <c r="O19" s="13"/>
      <c r="P19" s="13"/>
      <c r="Q19" s="6"/>
      <c r="R19" s="95">
        <v>275.74260307194828</v>
      </c>
      <c r="S19" s="95">
        <v>280.62120883098078</v>
      </c>
      <c r="T19" s="95">
        <v>277.04399596367301</v>
      </c>
      <c r="U19" s="95">
        <v>322.66001863932894</v>
      </c>
      <c r="V19" s="95">
        <v>322.10000000000002</v>
      </c>
      <c r="W19" s="67">
        <v>347.5</v>
      </c>
      <c r="X19" s="67">
        <v>363.6</v>
      </c>
      <c r="Y19" s="67">
        <v>409.3</v>
      </c>
      <c r="Z19" s="95">
        <v>390.9</v>
      </c>
      <c r="AA19" s="67">
        <v>427.1</v>
      </c>
      <c r="AB19" s="67">
        <v>432</v>
      </c>
      <c r="AC19" s="67">
        <v>497.7</v>
      </c>
      <c r="AD19" s="95">
        <v>451.8</v>
      </c>
      <c r="AE19" s="67">
        <v>243.7</v>
      </c>
      <c r="AF19" s="67">
        <v>420</v>
      </c>
      <c r="AG19" s="67">
        <v>520.79999999999995</v>
      </c>
      <c r="AH19" s="95">
        <v>437.5</v>
      </c>
      <c r="AI19" s="67">
        <v>489.7</v>
      </c>
      <c r="AJ19" s="96">
        <v>544.6</v>
      </c>
      <c r="AK19" s="14"/>
    </row>
    <row r="20" spans="1:38" x14ac:dyDescent="0.2">
      <c r="M20" s="124" t="s">
        <v>7</v>
      </c>
      <c r="N20" s="140"/>
      <c r="O20" s="7"/>
      <c r="P20" s="8"/>
      <c r="Q20" s="8"/>
      <c r="R20" s="8">
        <f t="shared" ref="R20:AI20" si="3">IF(R15&gt;R19,1,0)</f>
        <v>1</v>
      </c>
      <c r="S20" s="8">
        <f t="shared" si="3"/>
        <v>1</v>
      </c>
      <c r="T20" s="8">
        <f t="shared" si="3"/>
        <v>1</v>
      </c>
      <c r="U20" s="8">
        <f t="shared" si="3"/>
        <v>1</v>
      </c>
      <c r="V20" s="8">
        <f t="shared" si="3"/>
        <v>1</v>
      </c>
      <c r="W20" s="8">
        <f t="shared" si="3"/>
        <v>1</v>
      </c>
      <c r="X20" s="8">
        <f t="shared" si="3"/>
        <v>1</v>
      </c>
      <c r="Y20" s="8">
        <f t="shared" si="3"/>
        <v>1</v>
      </c>
      <c r="Z20" s="8">
        <f t="shared" si="3"/>
        <v>1</v>
      </c>
      <c r="AA20" s="8">
        <f t="shared" si="3"/>
        <v>1</v>
      </c>
      <c r="AB20" s="8">
        <f t="shared" si="3"/>
        <v>1</v>
      </c>
      <c r="AC20" s="8">
        <f t="shared" si="3"/>
        <v>1</v>
      </c>
      <c r="AD20" s="8">
        <f t="shared" si="3"/>
        <v>0</v>
      </c>
      <c r="AE20" s="8">
        <f t="shared" si="3"/>
        <v>1</v>
      </c>
      <c r="AF20" s="8">
        <f t="shared" si="3"/>
        <v>1</v>
      </c>
      <c r="AG20" s="8">
        <f t="shared" si="3"/>
        <v>1</v>
      </c>
      <c r="AH20" s="8">
        <f t="shared" si="3"/>
        <v>1</v>
      </c>
      <c r="AI20" s="9">
        <f t="shared" si="3"/>
        <v>1</v>
      </c>
      <c r="AJ20" s="47" t="s">
        <v>8</v>
      </c>
      <c r="AK20" s="44">
        <f>AVERAGE(O20:AI20)</f>
        <v>0.94444444444444442</v>
      </c>
    </row>
    <row r="21" spans="1:38" x14ac:dyDescent="0.2">
      <c r="M21" s="115" t="s">
        <v>9</v>
      </c>
      <c r="N21" s="116"/>
      <c r="O21" s="10"/>
      <c r="P21" s="6"/>
      <c r="Q21" s="6"/>
      <c r="R21" s="6"/>
      <c r="S21" s="6"/>
      <c r="T21" s="6"/>
      <c r="U21" s="6">
        <f>AVERAGE(R20:U20)</f>
        <v>1</v>
      </c>
      <c r="V21" s="6">
        <f t="shared" ref="V21:AI21" si="4">AVERAGE(S20:V20)</f>
        <v>1</v>
      </c>
      <c r="W21" s="6">
        <f t="shared" si="4"/>
        <v>1</v>
      </c>
      <c r="X21" s="6">
        <f t="shared" si="4"/>
        <v>1</v>
      </c>
      <c r="Y21" s="6">
        <f t="shared" si="4"/>
        <v>1</v>
      </c>
      <c r="Z21" s="6">
        <f t="shared" si="4"/>
        <v>1</v>
      </c>
      <c r="AA21" s="6">
        <f t="shared" si="4"/>
        <v>1</v>
      </c>
      <c r="AB21" s="6">
        <f t="shared" si="4"/>
        <v>1</v>
      </c>
      <c r="AC21" s="6">
        <f t="shared" si="4"/>
        <v>1</v>
      </c>
      <c r="AD21" s="6">
        <f t="shared" si="4"/>
        <v>0.75</v>
      </c>
      <c r="AE21" s="6">
        <f t="shared" si="4"/>
        <v>0.75</v>
      </c>
      <c r="AF21" s="6">
        <f t="shared" si="4"/>
        <v>0.75</v>
      </c>
      <c r="AG21" s="6">
        <f t="shared" si="4"/>
        <v>0.75</v>
      </c>
      <c r="AH21" s="6">
        <f>AVERAGE(AE20:AH20)</f>
        <v>1</v>
      </c>
      <c r="AI21" s="11">
        <f t="shared" si="4"/>
        <v>1</v>
      </c>
      <c r="AJ21" s="43" t="s">
        <v>10</v>
      </c>
      <c r="AK21" s="44">
        <f>AVERAGE(R21:AI21)</f>
        <v>0.93333333333333335</v>
      </c>
    </row>
    <row r="22" spans="1:38" x14ac:dyDescent="0.2">
      <c r="M22" s="128" t="s">
        <v>11</v>
      </c>
      <c r="N22" s="129"/>
      <c r="O22" s="48"/>
      <c r="P22" s="19"/>
      <c r="Q22" s="19"/>
      <c r="R22" s="19">
        <f t="shared" ref="R22:AI22" si="5">R15/R19-1</f>
        <v>4.3001686340640832E-2</v>
      </c>
      <c r="S22" s="19">
        <f t="shared" si="5"/>
        <v>0.10255387071029531</v>
      </c>
      <c r="T22" s="19">
        <f t="shared" si="5"/>
        <v>0.12870159453302965</v>
      </c>
      <c r="U22" s="19">
        <f t="shared" si="5"/>
        <v>9.5270500170125949E-2</v>
      </c>
      <c r="V22" s="19">
        <f t="shared" si="5"/>
        <v>4.8121701334989053E-2</v>
      </c>
      <c r="W22" s="19">
        <f t="shared" si="5"/>
        <v>3.6834532374100837E-2</v>
      </c>
      <c r="X22" s="19">
        <f t="shared" si="5"/>
        <v>1.2376237623762387E-2</v>
      </c>
      <c r="Y22" s="19">
        <f t="shared" si="5"/>
        <v>2.4187637429758047E-2</v>
      </c>
      <c r="Z22" s="19">
        <f t="shared" si="5"/>
        <v>4.2210283960092188E-2</v>
      </c>
      <c r="AA22" s="19">
        <f t="shared" si="5"/>
        <v>3.5120580660266132E-3</v>
      </c>
      <c r="AB22" s="19">
        <f t="shared" si="5"/>
        <v>4.3287037037037068E-2</v>
      </c>
      <c r="AC22" s="19">
        <f t="shared" si="5"/>
        <v>1.2055455093429757E-2</v>
      </c>
      <c r="AD22" s="19">
        <f t="shared" si="5"/>
        <v>-1.6378928729526399E-2</v>
      </c>
      <c r="AE22" s="19">
        <f t="shared" si="5"/>
        <v>0.29503487894952829</v>
      </c>
      <c r="AF22" s="19">
        <f t="shared" si="5"/>
        <v>0.11238095238095225</v>
      </c>
      <c r="AG22" s="19">
        <f t="shared" si="5"/>
        <v>7.1236559139784994E-2</v>
      </c>
      <c r="AH22" s="19">
        <f t="shared" si="5"/>
        <v>0.14468571428571431</v>
      </c>
      <c r="AI22" s="42">
        <f t="shared" si="5"/>
        <v>0.17929344496630595</v>
      </c>
      <c r="AJ22" s="43" t="s">
        <v>13</v>
      </c>
      <c r="AK22" s="45">
        <f>MEDIAN(R22:AI22)</f>
        <v>4.5704369186013061E-2</v>
      </c>
    </row>
    <row r="23" spans="1:38" x14ac:dyDescent="0.2">
      <c r="M23" s="115" t="s">
        <v>12</v>
      </c>
      <c r="N23" s="116"/>
      <c r="O23" s="12"/>
      <c r="P23" s="13"/>
      <c r="Q23" s="13"/>
      <c r="R23" s="34"/>
      <c r="S23" s="34"/>
      <c r="T23" s="34"/>
      <c r="U23" s="34">
        <f>AVERAGE(R22:U22)</f>
        <v>9.2381912938522937E-2</v>
      </c>
      <c r="V23" s="34">
        <f t="shared" ref="V23:AI23" si="6">AVERAGE(S22:V22)</f>
        <v>9.3661916687109992E-2</v>
      </c>
      <c r="W23" s="34">
        <f t="shared" si="6"/>
        <v>7.7232082103061372E-2</v>
      </c>
      <c r="X23" s="34">
        <f t="shared" si="6"/>
        <v>4.8150742875744557E-2</v>
      </c>
      <c r="Y23" s="34">
        <f t="shared" si="6"/>
        <v>3.0380027190652581E-2</v>
      </c>
      <c r="Z23" s="34">
        <f t="shared" si="6"/>
        <v>2.8902172846928365E-2</v>
      </c>
      <c r="AA23" s="34">
        <f t="shared" si="6"/>
        <v>2.0571554269909809E-2</v>
      </c>
      <c r="AB23" s="34">
        <f t="shared" si="6"/>
        <v>2.8299254123228479E-2</v>
      </c>
      <c r="AC23" s="34">
        <f t="shared" si="6"/>
        <v>2.5266208539146406E-2</v>
      </c>
      <c r="AD23" s="34">
        <f t="shared" si="6"/>
        <v>1.061890536674176E-2</v>
      </c>
      <c r="AE23" s="34">
        <f t="shared" si="6"/>
        <v>8.3499610587617179E-2</v>
      </c>
      <c r="AF23" s="34">
        <f t="shared" si="6"/>
        <v>0.10077308942359597</v>
      </c>
      <c r="AG23" s="34">
        <f t="shared" si="6"/>
        <v>0.11556836543518478</v>
      </c>
      <c r="AH23" s="34">
        <f t="shared" si="6"/>
        <v>0.15583452618899496</v>
      </c>
      <c r="AI23" s="35">
        <f t="shared" si="6"/>
        <v>0.12689916769318937</v>
      </c>
      <c r="AJ23" s="20" t="s">
        <v>14</v>
      </c>
      <c r="AK23" s="35">
        <f>MEDIAN(U23:AI23)</f>
        <v>7.7232082103061372E-2</v>
      </c>
    </row>
    <row r="24" spans="1:38" x14ac:dyDescent="0.2">
      <c r="M24" s="124" t="s">
        <v>25</v>
      </c>
      <c r="N24" s="125"/>
      <c r="O24" s="81">
        <f>AVERAGE(R22:AC22,AE22:AI22)</f>
        <v>8.2043773199739614E-2</v>
      </c>
      <c r="P24" s="124" t="s">
        <v>29</v>
      </c>
      <c r="Q24" s="125"/>
      <c r="R24" s="49">
        <f>MEDIAN(R22:AC22,AE22:AI22)</f>
        <v>4.8121701334989053E-2</v>
      </c>
      <c r="AG24" s="117" t="s">
        <v>23</v>
      </c>
      <c r="AH24" s="118"/>
      <c r="AI24" s="118"/>
      <c r="AJ24" s="119"/>
      <c r="AK24" s="46">
        <f>AVERAGE(AG17:AJ17)</f>
        <v>0.39964407676539837</v>
      </c>
    </row>
    <row r="25" spans="1:38" x14ac:dyDescent="0.2">
      <c r="M25" s="126" t="s">
        <v>26</v>
      </c>
      <c r="N25" s="127"/>
      <c r="O25" s="35">
        <f>AVERAGE(AD22)</f>
        <v>-1.6378928729526399E-2</v>
      </c>
      <c r="P25" s="126" t="s">
        <v>30</v>
      </c>
      <c r="Q25" s="127"/>
      <c r="R25" s="35">
        <f>MEDIAN(AD22)</f>
        <v>-1.6378928729526399E-2</v>
      </c>
      <c r="AG25" s="120" t="s">
        <v>27</v>
      </c>
      <c r="AH25" s="121"/>
      <c r="AI25" s="121"/>
      <c r="AJ25" s="121"/>
      <c r="AK25" s="49">
        <f>AVERAGE(AJ18,AB18,X18,P18,T18,D18)</f>
        <v>0.2452083704750497</v>
      </c>
    </row>
    <row r="26" spans="1:38" x14ac:dyDescent="0.2">
      <c r="AG26" s="122" t="s">
        <v>28</v>
      </c>
      <c r="AH26" s="123"/>
      <c r="AI26" s="123"/>
      <c r="AJ26" s="123"/>
      <c r="AK26" s="50">
        <f>_xlfn.STDEV.S(D18,H18,L18,P18,T18,AF18,AJ18)</f>
        <v>1.0136513477590998E-2</v>
      </c>
    </row>
    <row r="29" spans="1:38" ht="18" customHeight="1" x14ac:dyDescent="0.2"/>
  </sheetData>
  <mergeCells count="28">
    <mergeCell ref="M21:N21"/>
    <mergeCell ref="V11:Y11"/>
    <mergeCell ref="M24:N24"/>
    <mergeCell ref="M25:N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</mergeCells>
  <conditionalFormatting sqref="O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2"/>
  <sheetViews>
    <sheetView zoomScale="85" zoomScaleNormal="85" workbookViewId="0">
      <selection activeCell="G41" sqref="G41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4" t="s">
        <v>76</v>
      </c>
      <c r="B4" s="164"/>
      <c r="T4" s="78" t="s">
        <v>169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8" t="s">
        <v>0</v>
      </c>
      <c r="S5" s="18" t="s">
        <v>72</v>
      </c>
      <c r="T5" s="38" t="s">
        <v>0</v>
      </c>
      <c r="U5" s="38" t="s">
        <v>72</v>
      </c>
    </row>
    <row r="6" spans="1:21" x14ac:dyDescent="0.2">
      <c r="A6" t="s">
        <v>171</v>
      </c>
      <c r="B6" t="s">
        <v>172</v>
      </c>
      <c r="C6" s="6" t="s">
        <v>42</v>
      </c>
      <c r="D6" s="6">
        <v>20180426</v>
      </c>
      <c r="E6" s="65">
        <v>375.39410199999998</v>
      </c>
      <c r="F6" s="65">
        <v>376.99912499999999</v>
      </c>
      <c r="G6" s="102">
        <v>337.61776300000002</v>
      </c>
      <c r="H6" s="65">
        <v>356.005403</v>
      </c>
      <c r="I6" s="65">
        <v>382.24878899999999</v>
      </c>
      <c r="J6" s="65">
        <v>365.65303639999996</v>
      </c>
      <c r="K6" s="65"/>
      <c r="L6" s="65"/>
      <c r="M6" s="65"/>
      <c r="N6" s="65"/>
      <c r="O6" s="65"/>
      <c r="P6" s="65"/>
      <c r="Q6" s="65"/>
      <c r="R6" s="6">
        <v>322.10000000000002</v>
      </c>
      <c r="S6" s="65">
        <v>337.6</v>
      </c>
      <c r="T6" s="10"/>
      <c r="U6" s="65"/>
    </row>
    <row r="7" spans="1:21" x14ac:dyDescent="0.2">
      <c r="A7" t="s">
        <v>171</v>
      </c>
      <c r="B7" t="s">
        <v>172</v>
      </c>
      <c r="C7" s="6" t="s">
        <v>43</v>
      </c>
      <c r="D7" s="6">
        <v>20180726</v>
      </c>
      <c r="E7" s="65">
        <v>364.904359</v>
      </c>
      <c r="F7" s="65">
        <v>364.691619</v>
      </c>
      <c r="G7" s="102">
        <v>340.53385200000002</v>
      </c>
      <c r="H7" s="65">
        <v>355.572228</v>
      </c>
      <c r="I7" s="65">
        <v>380.37555800000001</v>
      </c>
      <c r="J7" s="65">
        <v>361.21552320000001</v>
      </c>
      <c r="K7" s="65">
        <v>328.16634822461867</v>
      </c>
      <c r="L7" s="65">
        <v>326.57871705776512</v>
      </c>
      <c r="M7" s="65">
        <v>340.5159355765295</v>
      </c>
      <c r="N7" s="65">
        <v>337.18922005461809</v>
      </c>
      <c r="O7" s="65">
        <v>335.94557282116079</v>
      </c>
      <c r="P7" s="65">
        <v>333.50293445647435</v>
      </c>
      <c r="Q7" s="65">
        <v>333.64978803186108</v>
      </c>
      <c r="R7" s="6">
        <v>347.5</v>
      </c>
      <c r="S7" s="65">
        <v>360.3</v>
      </c>
      <c r="T7" s="10"/>
      <c r="U7" s="65"/>
    </row>
    <row r="8" spans="1:21" x14ac:dyDescent="0.2">
      <c r="A8" t="s">
        <v>171</v>
      </c>
      <c r="B8" t="s">
        <v>172</v>
      </c>
      <c r="C8" s="6" t="s">
        <v>44</v>
      </c>
      <c r="D8" s="6">
        <v>20181025</v>
      </c>
      <c r="E8" s="65">
        <v>405.29013200000003</v>
      </c>
      <c r="F8" s="65">
        <v>402.26451200000002</v>
      </c>
      <c r="G8" s="102">
        <v>367.11116600000003</v>
      </c>
      <c r="H8" s="65">
        <v>355.66922199999999</v>
      </c>
      <c r="I8" s="65">
        <v>373.35911599999997</v>
      </c>
      <c r="J8" s="65">
        <v>380.73882960000003</v>
      </c>
      <c r="K8" s="65">
        <v>400.17618578132698</v>
      </c>
      <c r="L8" s="65">
        <v>397.42043996245496</v>
      </c>
      <c r="M8" s="65">
        <v>388.41998330844359</v>
      </c>
      <c r="N8" s="65">
        <v>360.39828365504411</v>
      </c>
      <c r="O8" s="65">
        <v>353.65387356145521</v>
      </c>
      <c r="P8" s="65">
        <v>379.77382336618257</v>
      </c>
      <c r="Q8" s="65">
        <v>379.97376493915118</v>
      </c>
      <c r="R8" s="6">
        <v>363.6</v>
      </c>
      <c r="S8" s="65">
        <v>368.1</v>
      </c>
      <c r="T8" s="10"/>
      <c r="U8" s="65"/>
    </row>
    <row r="9" spans="1:21" x14ac:dyDescent="0.2">
      <c r="A9" t="s">
        <v>171</v>
      </c>
      <c r="B9" t="s">
        <v>172</v>
      </c>
      <c r="C9" s="6" t="s">
        <v>45</v>
      </c>
      <c r="D9" s="6">
        <v>20190124</v>
      </c>
      <c r="E9" s="65">
        <v>434.429058</v>
      </c>
      <c r="F9" s="65">
        <v>434.56121300000001</v>
      </c>
      <c r="G9" s="102">
        <v>393.71161799999999</v>
      </c>
      <c r="H9" s="65">
        <v>420.179102</v>
      </c>
      <c r="I9" s="65">
        <v>433.11331999999999</v>
      </c>
      <c r="J9" s="65">
        <v>423.19886220000001</v>
      </c>
      <c r="K9" s="65">
        <v>394.56508714058702</v>
      </c>
      <c r="L9" s="65">
        <v>397.65372717069312</v>
      </c>
      <c r="M9" s="65">
        <v>394.77210177202835</v>
      </c>
      <c r="N9" s="65">
        <v>434.86452546124445</v>
      </c>
      <c r="O9" s="65">
        <v>427.01250956465202</v>
      </c>
      <c r="P9" s="65">
        <v>409.15054905085526</v>
      </c>
      <c r="Q9" s="65">
        <v>409.6697500266767</v>
      </c>
      <c r="R9" s="6">
        <v>409.3</v>
      </c>
      <c r="S9" s="65">
        <v>419.2</v>
      </c>
      <c r="T9" s="10"/>
      <c r="U9" s="65"/>
    </row>
    <row r="10" spans="1:21" x14ac:dyDescent="0.2">
      <c r="A10" t="s">
        <v>171</v>
      </c>
      <c r="B10" t="s">
        <v>172</v>
      </c>
      <c r="C10" s="6" t="s">
        <v>46</v>
      </c>
      <c r="D10" s="6">
        <v>20190425</v>
      </c>
      <c r="E10" s="65">
        <v>399.80324899999999</v>
      </c>
      <c r="F10" s="65">
        <v>404.91843299999999</v>
      </c>
      <c r="G10" s="102">
        <v>389.41830599999997</v>
      </c>
      <c r="H10" s="65">
        <v>377.321639</v>
      </c>
      <c r="I10" s="65">
        <v>380.947744</v>
      </c>
      <c r="J10" s="65">
        <v>390.48187419999999</v>
      </c>
      <c r="K10" s="65">
        <v>385.78801048064327</v>
      </c>
      <c r="L10" s="65">
        <v>390.60505640111052</v>
      </c>
      <c r="M10" s="65">
        <v>414.62874452234223</v>
      </c>
      <c r="N10" s="65">
        <v>376.44240352724631</v>
      </c>
      <c r="O10" s="65">
        <v>368.7101894829741</v>
      </c>
      <c r="P10" s="65">
        <v>386.79215916058291</v>
      </c>
      <c r="Q10" s="65">
        <v>387.1610939291499</v>
      </c>
      <c r="R10" s="6">
        <v>390.9</v>
      </c>
      <c r="S10" s="65">
        <v>407.4</v>
      </c>
      <c r="T10" s="10"/>
      <c r="U10" s="65"/>
    </row>
    <row r="11" spans="1:21" x14ac:dyDescent="0.2">
      <c r="A11" t="s">
        <v>171</v>
      </c>
      <c r="B11" t="s">
        <v>172</v>
      </c>
      <c r="C11" s="6" t="s">
        <v>47</v>
      </c>
      <c r="D11" s="6">
        <v>20190725</v>
      </c>
      <c r="E11" s="65">
        <v>426.78509700000001</v>
      </c>
      <c r="F11" s="65">
        <v>422.54959500000001</v>
      </c>
      <c r="G11" s="102">
        <v>393.12379499999997</v>
      </c>
      <c r="H11" s="65">
        <v>425.41585800000001</v>
      </c>
      <c r="I11" s="65">
        <v>415.50386600000002</v>
      </c>
      <c r="J11" s="65">
        <v>416.67564199999998</v>
      </c>
      <c r="K11" s="65">
        <v>434.89453613169616</v>
      </c>
      <c r="L11" s="65">
        <v>425.1392156380295</v>
      </c>
      <c r="M11" s="65">
        <v>411.2765928446106</v>
      </c>
      <c r="N11" s="65">
        <v>459.32807089603466</v>
      </c>
      <c r="O11" s="65">
        <v>444.35563059378558</v>
      </c>
      <c r="P11" s="65">
        <v>434.7286462363532</v>
      </c>
      <c r="Q11" s="65">
        <v>434.95378205675161</v>
      </c>
      <c r="R11" s="6">
        <v>427.1</v>
      </c>
      <c r="S11" s="65">
        <v>428.6</v>
      </c>
      <c r="T11" s="10"/>
      <c r="U11" s="65"/>
    </row>
    <row r="12" spans="1:21" x14ac:dyDescent="0.2">
      <c r="A12" t="s">
        <v>171</v>
      </c>
      <c r="B12" t="s">
        <v>172</v>
      </c>
      <c r="C12" s="6" t="s">
        <v>48</v>
      </c>
      <c r="D12" s="6">
        <v>20191024</v>
      </c>
      <c r="E12" s="65">
        <v>495.96216099999998</v>
      </c>
      <c r="F12" s="65">
        <v>498.04882800000001</v>
      </c>
      <c r="G12" s="102">
        <v>460.920072</v>
      </c>
      <c r="H12" s="65">
        <v>457.33939500000002</v>
      </c>
      <c r="I12" s="65">
        <v>427.45692000000003</v>
      </c>
      <c r="J12" s="65">
        <v>467.94547519999998</v>
      </c>
      <c r="K12" s="65">
        <v>498.07123936335574</v>
      </c>
      <c r="L12" s="65">
        <v>505.18029174965847</v>
      </c>
      <c r="M12" s="65">
        <v>502.51433612457879</v>
      </c>
      <c r="N12" s="65">
        <v>460.7624774932579</v>
      </c>
      <c r="O12" s="65">
        <v>440.929798501562</v>
      </c>
      <c r="P12" s="65">
        <v>481.33706522427349</v>
      </c>
      <c r="Q12" s="65">
        <v>481.4658680761143</v>
      </c>
      <c r="R12" s="6">
        <v>432</v>
      </c>
      <c r="S12" s="65">
        <v>450</v>
      </c>
      <c r="T12" s="10"/>
      <c r="U12" s="65"/>
    </row>
    <row r="13" spans="1:21" x14ac:dyDescent="0.2">
      <c r="A13" t="s">
        <v>171</v>
      </c>
      <c r="B13" t="s">
        <v>172</v>
      </c>
      <c r="C13" s="6" t="s">
        <v>49</v>
      </c>
      <c r="D13" s="6">
        <v>20200130</v>
      </c>
      <c r="E13" s="65">
        <v>529.10141299999998</v>
      </c>
      <c r="F13" s="65">
        <v>518.02829199999996</v>
      </c>
      <c r="G13" s="102">
        <v>510.99339300000003</v>
      </c>
      <c r="H13" s="65">
        <v>519.22204299999999</v>
      </c>
      <c r="I13" s="65">
        <v>469.27966700000002</v>
      </c>
      <c r="J13" s="65">
        <v>509.32496159999994</v>
      </c>
      <c r="K13" s="65">
        <v>480.06814747708137</v>
      </c>
      <c r="L13" s="65">
        <v>468.05196256781471</v>
      </c>
      <c r="M13" s="65">
        <v>498.88698891377419</v>
      </c>
      <c r="N13" s="65">
        <v>510.88955358853354</v>
      </c>
      <c r="O13" s="65">
        <v>494.02838103545025</v>
      </c>
      <c r="P13" s="65">
        <v>489.79260376872213</v>
      </c>
      <c r="Q13" s="65">
        <v>490.28627289189603</v>
      </c>
      <c r="R13" s="6">
        <v>497.7</v>
      </c>
      <c r="S13" s="65">
        <v>503.7</v>
      </c>
      <c r="T13" s="10"/>
      <c r="U13" s="65"/>
    </row>
    <row r="14" spans="1:21" x14ac:dyDescent="0.2">
      <c r="A14" t="s">
        <v>171</v>
      </c>
      <c r="B14" t="s">
        <v>172</v>
      </c>
      <c r="C14" s="6" t="s">
        <v>50</v>
      </c>
      <c r="D14" s="6">
        <v>20200423</v>
      </c>
      <c r="E14" s="65">
        <v>480.47340200000002</v>
      </c>
      <c r="F14" s="65">
        <v>480.407554</v>
      </c>
      <c r="G14" s="102">
        <v>458.79985799999997</v>
      </c>
      <c r="H14" s="65">
        <v>460.95189399999998</v>
      </c>
      <c r="I14" s="65">
        <v>435.19368500000002</v>
      </c>
      <c r="J14" s="65">
        <v>463.16527859999997</v>
      </c>
      <c r="K14" s="65">
        <v>457.40655126052366</v>
      </c>
      <c r="L14" s="65">
        <v>467.11982470216122</v>
      </c>
      <c r="M14" s="65">
        <v>452.25142172161111</v>
      </c>
      <c r="N14" s="65">
        <v>447.17182588451851</v>
      </c>
      <c r="O14" s="65">
        <v>467.11390786615948</v>
      </c>
      <c r="P14" s="65">
        <v>458.05010242957627</v>
      </c>
      <c r="Q14" s="65">
        <v>458.18560564409171</v>
      </c>
      <c r="R14" s="6">
        <v>451.8</v>
      </c>
      <c r="S14" s="65">
        <v>444.4</v>
      </c>
      <c r="T14" s="10"/>
      <c r="U14" s="65"/>
    </row>
    <row r="15" spans="1:21" x14ac:dyDescent="0.2">
      <c r="A15" t="s">
        <v>171</v>
      </c>
      <c r="B15" t="s">
        <v>172</v>
      </c>
      <c r="C15" s="6" t="s">
        <v>51</v>
      </c>
      <c r="D15" s="6">
        <v>20200730</v>
      </c>
      <c r="E15" s="65">
        <v>359.71198199999998</v>
      </c>
      <c r="F15" s="65">
        <v>361.76583299999999</v>
      </c>
      <c r="G15" s="102">
        <v>330.68920200000002</v>
      </c>
      <c r="H15" s="65">
        <v>366.48512599999998</v>
      </c>
      <c r="I15" s="65">
        <v>361.83033399999999</v>
      </c>
      <c r="J15" s="65">
        <v>356.09649539999998</v>
      </c>
      <c r="K15" s="65">
        <v>332.70521143395149</v>
      </c>
      <c r="L15" s="65">
        <v>334.65072488264826</v>
      </c>
      <c r="M15" s="65">
        <v>320.31021545956975</v>
      </c>
      <c r="N15" s="65">
        <v>353.32535154828975</v>
      </c>
      <c r="O15" s="65">
        <v>369.48468227336525</v>
      </c>
      <c r="P15" s="65">
        <v>341.66914029932639</v>
      </c>
      <c r="Q15" s="65">
        <v>342.02422098285848</v>
      </c>
      <c r="R15" s="6">
        <v>243.7</v>
      </c>
      <c r="S15" s="65">
        <v>315.60000000000002</v>
      </c>
      <c r="T15" s="10"/>
      <c r="U15" s="65"/>
    </row>
    <row r="16" spans="1:21" x14ac:dyDescent="0.2">
      <c r="A16" t="s">
        <v>171</v>
      </c>
      <c r="B16" t="s">
        <v>172</v>
      </c>
      <c r="C16" s="6" t="s">
        <v>52</v>
      </c>
      <c r="D16" s="6">
        <v>20201022</v>
      </c>
      <c r="E16" s="65">
        <v>469.65724399999999</v>
      </c>
      <c r="F16" s="65">
        <v>472.655779</v>
      </c>
      <c r="G16" s="102">
        <v>449.26754899999997</v>
      </c>
      <c r="H16" s="65">
        <v>474.11696000000001</v>
      </c>
      <c r="I16" s="65">
        <v>475.16817800000001</v>
      </c>
      <c r="J16" s="65">
        <v>468.17314199999998</v>
      </c>
      <c r="K16" s="65">
        <v>412.06252119341417</v>
      </c>
      <c r="L16" s="65">
        <v>412.33900563627856</v>
      </c>
      <c r="M16" s="65">
        <v>428.76766948199298</v>
      </c>
      <c r="N16" s="65">
        <v>408.28754555239442</v>
      </c>
      <c r="O16" s="65">
        <v>414.45689563661631</v>
      </c>
      <c r="P16" s="65">
        <v>414.93091205300306</v>
      </c>
      <c r="Q16" s="65">
        <v>415.14075825894992</v>
      </c>
      <c r="R16" s="6">
        <v>420</v>
      </c>
      <c r="S16" s="65">
        <v>467</v>
      </c>
      <c r="T16" s="10"/>
      <c r="U16" s="65"/>
    </row>
    <row r="17" spans="1:19" x14ac:dyDescent="0.2">
      <c r="A17" t="s">
        <v>171</v>
      </c>
      <c r="B17" t="s">
        <v>172</v>
      </c>
      <c r="C17" s="6" t="s">
        <v>53</v>
      </c>
      <c r="D17" s="6">
        <v>20210121</v>
      </c>
      <c r="E17" s="65">
        <v>567.27718700000003</v>
      </c>
      <c r="F17" s="65">
        <v>563.34544300000005</v>
      </c>
      <c r="G17" s="102">
        <v>559.73079299999995</v>
      </c>
      <c r="H17" s="65">
        <v>555.15382399999999</v>
      </c>
      <c r="I17" s="65">
        <v>550.70827299999996</v>
      </c>
      <c r="J17" s="65">
        <v>559.2431039999999</v>
      </c>
      <c r="K17" s="65">
        <v>564.06762530208096</v>
      </c>
      <c r="L17" s="65">
        <v>556.6044753279109</v>
      </c>
      <c r="M17" s="65">
        <v>581.82319402508199</v>
      </c>
      <c r="N17" s="65">
        <v>546.82042129013905</v>
      </c>
      <c r="O17" s="65">
        <v>541.24155488164865</v>
      </c>
      <c r="P17" s="65">
        <v>557.84176010677675</v>
      </c>
      <c r="Q17" s="65">
        <v>558.06650515560648</v>
      </c>
      <c r="R17" s="6">
        <v>520.79999999999995</v>
      </c>
      <c r="S17" s="65">
        <v>557.9</v>
      </c>
    </row>
    <row r="18" spans="1:19" x14ac:dyDescent="0.2">
      <c r="A18" t="s">
        <v>171</v>
      </c>
      <c r="B18" t="s">
        <v>172</v>
      </c>
      <c r="C18" s="6" t="s">
        <v>54</v>
      </c>
      <c r="D18" s="6">
        <v>20210422</v>
      </c>
      <c r="E18" s="65">
        <v>534.43617300000005</v>
      </c>
      <c r="F18" s="65">
        <v>521.99607100000003</v>
      </c>
      <c r="G18" s="102">
        <v>500.60626600000001</v>
      </c>
      <c r="H18" s="65">
        <v>526.97115399999996</v>
      </c>
      <c r="I18" s="65">
        <v>503.12560000000002</v>
      </c>
      <c r="J18" s="65">
        <v>517.42705279999996</v>
      </c>
      <c r="K18" s="65">
        <v>525.60185346691901</v>
      </c>
      <c r="L18" s="65">
        <v>516.95032174228481</v>
      </c>
      <c r="M18" s="65">
        <v>498.96886019883493</v>
      </c>
      <c r="N18" s="65">
        <v>529.57791895998901</v>
      </c>
      <c r="O18" s="65">
        <v>509.69594248314485</v>
      </c>
      <c r="P18" s="65">
        <v>516.18437615481082</v>
      </c>
      <c r="Q18" s="65">
        <v>516.1632121676638</v>
      </c>
      <c r="R18" s="6">
        <v>437.5</v>
      </c>
      <c r="S18" s="66">
        <v>500.8</v>
      </c>
    </row>
    <row r="19" spans="1:19" x14ac:dyDescent="0.2">
      <c r="A19" t="s">
        <v>171</v>
      </c>
      <c r="B19" t="s">
        <v>172</v>
      </c>
      <c r="C19" s="6" t="s">
        <v>55</v>
      </c>
      <c r="D19" s="6">
        <v>20210729</v>
      </c>
      <c r="E19" s="65">
        <v>595.27358300000003</v>
      </c>
      <c r="F19" s="65">
        <v>588.93011000000001</v>
      </c>
      <c r="G19" s="102">
        <v>561.01246700000002</v>
      </c>
      <c r="H19" s="65">
        <v>609.20995700000003</v>
      </c>
      <c r="I19" s="65">
        <v>575.01352799999995</v>
      </c>
      <c r="J19" s="65">
        <v>585.88792899999999</v>
      </c>
      <c r="K19" s="65">
        <v>557.80844453880184</v>
      </c>
      <c r="L19" s="65">
        <v>565.01612842216207</v>
      </c>
      <c r="M19" s="65">
        <v>561.22957812437778</v>
      </c>
      <c r="N19" s="65">
        <v>578.95454836527927</v>
      </c>
      <c r="O19" s="65">
        <v>572.35564006760933</v>
      </c>
      <c r="P19" s="65">
        <v>567.06094753923162</v>
      </c>
      <c r="Q19" s="65">
        <v>567.07088117624369</v>
      </c>
      <c r="R19" s="6">
        <v>489.7</v>
      </c>
      <c r="S19" s="66">
        <v>577.5</v>
      </c>
    </row>
    <row r="20" spans="1:19" x14ac:dyDescent="0.2">
      <c r="A20" t="s">
        <v>171</v>
      </c>
      <c r="B20" t="s">
        <v>172</v>
      </c>
      <c r="C20" s="13" t="s">
        <v>71</v>
      </c>
      <c r="D20" s="13">
        <v>20211014</v>
      </c>
      <c r="E20" s="67">
        <v>588.16479700000002</v>
      </c>
      <c r="F20" s="67">
        <v>583.33135200000004</v>
      </c>
      <c r="G20" s="103">
        <v>524.78489100000002</v>
      </c>
      <c r="H20" s="67">
        <v>564.15320799999995</v>
      </c>
      <c r="I20" s="67">
        <v>522.97517500000004</v>
      </c>
      <c r="J20" s="67">
        <v>556.68188459999999</v>
      </c>
      <c r="K20" s="65">
        <f>(E20/E19)*$S$18</f>
        <v>494.81942211032066</v>
      </c>
      <c r="L20" s="65">
        <f t="shared" ref="L20" si="0">(F20/F19)*$S$18</f>
        <v>496.03906494371631</v>
      </c>
      <c r="M20" s="65">
        <f>(G20/G19)*$S$18</f>
        <v>468.46066508678854</v>
      </c>
      <c r="N20" s="65">
        <f>(H20/H19)*$S$18</f>
        <v>463.76117678326119</v>
      </c>
      <c r="O20" s="65">
        <f>(I20/I19)*$S$18</f>
        <v>455.4779233646135</v>
      </c>
      <c r="P20" s="65">
        <f>(J20/J19)*$S$18</f>
        <v>475.83552076847792</v>
      </c>
      <c r="Q20" s="65">
        <f>AVERAGE(K20:P20)</f>
        <v>475.73229550952971</v>
      </c>
      <c r="R20" s="6">
        <v>544.6</v>
      </c>
      <c r="S20" s="11"/>
    </row>
    <row r="21" spans="1:19" x14ac:dyDescent="0.2">
      <c r="A21" s="162" t="s">
        <v>75</v>
      </c>
      <c r="B21" s="163"/>
      <c r="C21" s="163"/>
      <c r="D21" s="163"/>
      <c r="E21" s="73">
        <f t="shared" ref="E21:R21" si="1">CORREL(E$6:E$19,$S$6:$S$19)</f>
        <v>0.9733868121428837</v>
      </c>
      <c r="F21" s="71">
        <f t="shared" si="1"/>
        <v>0.97381189912274735</v>
      </c>
      <c r="G21" s="72">
        <f t="shared" si="1"/>
        <v>0.97972889294548371</v>
      </c>
      <c r="H21" s="71">
        <f t="shared" si="1"/>
        <v>0.9696762874659588</v>
      </c>
      <c r="I21" s="71">
        <f t="shared" si="1"/>
        <v>0.95834498910652555</v>
      </c>
      <c r="J21" s="72">
        <f t="shared" si="1"/>
        <v>0.98201872168171944</v>
      </c>
      <c r="K21" s="71">
        <f t="shared" si="1"/>
        <v>0.92666923921630373</v>
      </c>
      <c r="L21" s="71">
        <f t="shared" si="1"/>
        <v>0.92050074689662864</v>
      </c>
      <c r="M21" s="71">
        <f t="shared" si="1"/>
        <v>0.95335734668900185</v>
      </c>
      <c r="N21" s="73">
        <f t="shared" si="1"/>
        <v>0.93930710505999049</v>
      </c>
      <c r="O21" s="71">
        <f t="shared" si="1"/>
        <v>0.9333311971531344</v>
      </c>
      <c r="P21" s="73">
        <f t="shared" si="1"/>
        <v>0.95353370143593486</v>
      </c>
      <c r="Q21" s="73">
        <f t="shared" si="1"/>
        <v>0.95362875124122892</v>
      </c>
      <c r="R21" s="72">
        <f t="shared" si="1"/>
        <v>0.92840500175572316</v>
      </c>
      <c r="S21" s="5"/>
    </row>
    <row r="23" spans="1:19" x14ac:dyDescent="0.2">
      <c r="A23" s="165" t="s">
        <v>77</v>
      </c>
      <c r="B23" s="166"/>
    </row>
    <row r="24" spans="1:19" x14ac:dyDescent="0.2">
      <c r="A24" s="18" t="s">
        <v>56</v>
      </c>
      <c r="B24" s="18" t="s">
        <v>57</v>
      </c>
      <c r="C24" s="18" t="s">
        <v>68</v>
      </c>
      <c r="D24" s="18" t="s">
        <v>58</v>
      </c>
      <c r="E24" s="18" t="s">
        <v>59</v>
      </c>
      <c r="F24" s="18" t="s">
        <v>69</v>
      </c>
      <c r="G24" s="18" t="s">
        <v>60</v>
      </c>
      <c r="H24" s="18" t="s">
        <v>61</v>
      </c>
      <c r="I24" s="18" t="s">
        <v>70</v>
      </c>
      <c r="J24" s="18" t="s">
        <v>62</v>
      </c>
      <c r="K24" s="18" t="s">
        <v>63</v>
      </c>
      <c r="L24" s="18" t="s">
        <v>73</v>
      </c>
      <c r="M24" s="18" t="s">
        <v>64</v>
      </c>
      <c r="N24" s="18" t="s">
        <v>65</v>
      </c>
      <c r="O24" s="18" t="s">
        <v>74</v>
      </c>
      <c r="P24" s="18" t="s">
        <v>66</v>
      </c>
      <c r="Q24" s="18" t="s">
        <v>67</v>
      </c>
      <c r="R24" s="18" t="s">
        <v>0</v>
      </c>
    </row>
    <row r="25" spans="1:19" x14ac:dyDescent="0.2">
      <c r="A25" s="10" t="str">
        <f>A6</f>
        <v>ISRG</v>
      </c>
      <c r="B25" s="10" t="str">
        <f t="shared" ref="B25:D25" si="2">B6</f>
        <v>Instruments and accessories</v>
      </c>
      <c r="C25" s="10" t="str">
        <f t="shared" si="2"/>
        <v>2018Q1</v>
      </c>
      <c r="D25" s="10">
        <f t="shared" si="2"/>
        <v>20180426</v>
      </c>
      <c r="E25" s="19">
        <f t="shared" ref="E25:J25" si="3">$S6/E6-1</f>
        <v>-0.10067846510811707</v>
      </c>
      <c r="F25" s="19">
        <f t="shared" si="3"/>
        <v>-0.10450720542123271</v>
      </c>
      <c r="G25" s="19">
        <f t="shared" si="3"/>
        <v>-5.26127530795506E-5</v>
      </c>
      <c r="H25" s="19">
        <f t="shared" si="3"/>
        <v>-5.1699785578816049E-2</v>
      </c>
      <c r="I25" s="19">
        <f t="shared" si="3"/>
        <v>-0.1168055734507506</v>
      </c>
      <c r="J25" s="19">
        <f t="shared" si="3"/>
        <v>-7.6720370426000772E-2</v>
      </c>
      <c r="K25" s="19"/>
      <c r="L25" s="19"/>
      <c r="M25" s="19"/>
      <c r="N25" s="19"/>
      <c r="O25" s="19"/>
      <c r="P25" s="19"/>
      <c r="Q25" s="19"/>
      <c r="R25" s="42">
        <f t="shared" ref="R25:R33" si="4">$S6/R6-1</f>
        <v>4.8121701334989053E-2</v>
      </c>
    </row>
    <row r="26" spans="1:19" x14ac:dyDescent="0.2">
      <c r="A26" s="10" t="str">
        <f t="shared" ref="A26:D26" si="5">A7</f>
        <v>ISRG</v>
      </c>
      <c r="B26" s="10" t="str">
        <f t="shared" si="5"/>
        <v>Instruments and accessories</v>
      </c>
      <c r="C26" s="10" t="str">
        <f t="shared" si="5"/>
        <v>2018Q2</v>
      </c>
      <c r="D26" s="10">
        <f t="shared" si="5"/>
        <v>20180726</v>
      </c>
      <c r="E26" s="19">
        <f t="shared" ref="E26:J26" si="6">$S7/E7-1</f>
        <v>-1.2617988485032039E-2</v>
      </c>
      <c r="F26" s="19">
        <f t="shared" si="6"/>
        <v>-1.2042006920921278E-2</v>
      </c>
      <c r="G26" s="19">
        <f t="shared" si="6"/>
        <v>5.8044590527228879E-2</v>
      </c>
      <c r="H26" s="19">
        <f t="shared" si="6"/>
        <v>1.3296235272907797E-2</v>
      </c>
      <c r="I26" s="19">
        <f t="shared" si="6"/>
        <v>-5.2778254485005616E-2</v>
      </c>
      <c r="J26" s="19">
        <f t="shared" si="6"/>
        <v>-2.5345621691155173E-3</v>
      </c>
      <c r="K26" s="19">
        <f t="shared" ref="K26:Q26" si="7">$S7/K7-1</f>
        <v>9.7918790117343057E-2</v>
      </c>
      <c r="L26" s="19">
        <f t="shared" si="7"/>
        <v>0.10325621720251377</v>
      </c>
      <c r="M26" s="19">
        <f t="shared" si="7"/>
        <v>5.8100260094946732E-2</v>
      </c>
      <c r="N26" s="19">
        <f t="shared" si="7"/>
        <v>6.8539498213016525E-2</v>
      </c>
      <c r="O26" s="19">
        <f t="shared" si="7"/>
        <v>7.249515739802348E-2</v>
      </c>
      <c r="P26" s="19">
        <f t="shared" si="7"/>
        <v>8.0350314120018584E-2</v>
      </c>
      <c r="Q26" s="19">
        <f t="shared" si="7"/>
        <v>7.9874805631808377E-2</v>
      </c>
      <c r="R26" s="42">
        <f t="shared" si="4"/>
        <v>3.6834532374100837E-2</v>
      </c>
    </row>
    <row r="27" spans="1:19" x14ac:dyDescent="0.2">
      <c r="A27" s="10" t="str">
        <f t="shared" ref="A27:D27" si="8">A8</f>
        <v>ISRG</v>
      </c>
      <c r="B27" s="10" t="str">
        <f t="shared" si="8"/>
        <v>Instruments and accessories</v>
      </c>
      <c r="C27" s="10" t="str">
        <f t="shared" si="8"/>
        <v>2018Q3</v>
      </c>
      <c r="D27" s="10">
        <f t="shared" si="8"/>
        <v>20181025</v>
      </c>
      <c r="E27" s="19">
        <f t="shared" ref="E27:J27" si="9">$S8/E8-1</f>
        <v>-9.1761750567368905E-2</v>
      </c>
      <c r="F27" s="19">
        <f t="shared" si="9"/>
        <v>-8.4930464857909227E-2</v>
      </c>
      <c r="G27" s="19">
        <f t="shared" si="9"/>
        <v>2.6935546820170408E-3</v>
      </c>
      <c r="H27" s="19">
        <f t="shared" si="9"/>
        <v>3.4950389944058857E-2</v>
      </c>
      <c r="I27" s="19">
        <f t="shared" si="9"/>
        <v>-1.4085945071714678E-2</v>
      </c>
      <c r="J27" s="19">
        <f t="shared" si="9"/>
        <v>-3.3195536198076359E-2</v>
      </c>
      <c r="K27" s="19">
        <f t="shared" ref="K27:Q27" si="10">$S8/K8-1</f>
        <v>-8.0155158955047656E-2</v>
      </c>
      <c r="L27" s="19">
        <f t="shared" si="10"/>
        <v>-7.3776879632121872E-2</v>
      </c>
      <c r="M27" s="19">
        <f t="shared" si="10"/>
        <v>-5.2314464192506516E-2</v>
      </c>
      <c r="N27" s="19">
        <f t="shared" si="10"/>
        <v>2.1370013938045274E-2</v>
      </c>
      <c r="O27" s="19">
        <f t="shared" si="10"/>
        <v>4.0848206448485191E-2</v>
      </c>
      <c r="P27" s="19">
        <f t="shared" si="10"/>
        <v>-3.0738883640556991E-2</v>
      </c>
      <c r="Q27" s="19">
        <f t="shared" si="10"/>
        <v>-3.1248907252985236E-2</v>
      </c>
      <c r="R27" s="42">
        <f t="shared" si="4"/>
        <v>1.2376237623762387E-2</v>
      </c>
    </row>
    <row r="28" spans="1:19" x14ac:dyDescent="0.2">
      <c r="A28" s="10" t="str">
        <f t="shared" ref="A28:D28" si="11">A9</f>
        <v>ISRG</v>
      </c>
      <c r="B28" s="10" t="str">
        <f t="shared" si="11"/>
        <v>Instruments and accessories</v>
      </c>
      <c r="C28" s="10" t="str">
        <f t="shared" si="11"/>
        <v>2018Q4</v>
      </c>
      <c r="D28" s="10">
        <f t="shared" si="11"/>
        <v>20190124</v>
      </c>
      <c r="E28" s="19">
        <f t="shared" ref="E28:J28" si="12">$S9/E9-1</f>
        <v>-3.5055339231014337E-2</v>
      </c>
      <c r="F28" s="19">
        <f t="shared" si="12"/>
        <v>-3.5348789860819907E-2</v>
      </c>
      <c r="G28" s="19">
        <f t="shared" si="12"/>
        <v>6.4738709336233047E-2</v>
      </c>
      <c r="H28" s="19">
        <f t="shared" si="12"/>
        <v>-2.3302015624756534E-3</v>
      </c>
      <c r="I28" s="19">
        <f t="shared" si="12"/>
        <v>-3.2123971620175551E-2</v>
      </c>
      <c r="J28" s="19">
        <f t="shared" si="12"/>
        <v>-9.4491326824744926E-3</v>
      </c>
      <c r="K28" s="19">
        <f t="shared" ref="K28:Q28" si="13">$S9/K9-1</f>
        <v>6.2435612430745469E-2</v>
      </c>
      <c r="L28" s="19">
        <f t="shared" si="13"/>
        <v>5.418350528890703E-2</v>
      </c>
      <c r="M28" s="19">
        <f t="shared" si="13"/>
        <v>6.187848158043896E-2</v>
      </c>
      <c r="N28" s="19">
        <f t="shared" si="13"/>
        <v>-3.6021621778942969E-2</v>
      </c>
      <c r="O28" s="19">
        <f t="shared" si="13"/>
        <v>-1.8295739327676919E-2</v>
      </c>
      <c r="P28" s="19">
        <f t="shared" si="13"/>
        <v>2.456174377000675E-2</v>
      </c>
      <c r="Q28" s="19">
        <f t="shared" si="13"/>
        <v>2.3263250393036561E-2</v>
      </c>
      <c r="R28" s="42">
        <f t="shared" si="4"/>
        <v>2.4187637429758047E-2</v>
      </c>
    </row>
    <row r="29" spans="1:19" x14ac:dyDescent="0.2">
      <c r="A29" s="10" t="str">
        <f t="shared" ref="A29:D29" si="14">A10</f>
        <v>ISRG</v>
      </c>
      <c r="B29" s="10" t="str">
        <f t="shared" si="14"/>
        <v>Instruments and accessories</v>
      </c>
      <c r="C29" s="10" t="str">
        <f t="shared" si="14"/>
        <v>2019Q1</v>
      </c>
      <c r="D29" s="10">
        <f t="shared" si="14"/>
        <v>20190425</v>
      </c>
      <c r="E29" s="19">
        <f t="shared" ref="E29:J29" si="15">$S10/E10-1</f>
        <v>1.9001223774447018E-2</v>
      </c>
      <c r="F29" s="19">
        <f t="shared" si="15"/>
        <v>6.1285602179537157E-3</v>
      </c>
      <c r="G29" s="19">
        <f t="shared" si="15"/>
        <v>4.6175779933673722E-2</v>
      </c>
      <c r="H29" s="19">
        <f t="shared" si="15"/>
        <v>7.9715441392959718E-2</v>
      </c>
      <c r="I29" s="19">
        <f t="shared" si="15"/>
        <v>6.9438017199545232E-2</v>
      </c>
      <c r="J29" s="19">
        <f t="shared" si="15"/>
        <v>4.3326276884582793E-2</v>
      </c>
      <c r="K29" s="19">
        <f t="shared" ref="K29:Q29" si="16">$S10/K10-1</f>
        <v>5.6020376300525587E-2</v>
      </c>
      <c r="L29" s="19">
        <f t="shared" si="16"/>
        <v>4.2997250864164061E-2</v>
      </c>
      <c r="M29" s="19">
        <f t="shared" si="16"/>
        <v>-1.7434258038886985E-2</v>
      </c>
      <c r="N29" s="19">
        <f t="shared" si="16"/>
        <v>8.2237272376019632E-2</v>
      </c>
      <c r="O29" s="19">
        <f t="shared" si="16"/>
        <v>0.10493284867250052</v>
      </c>
      <c r="P29" s="19">
        <f t="shared" si="16"/>
        <v>5.3278848475471374E-2</v>
      </c>
      <c r="Q29" s="19">
        <f t="shared" si="16"/>
        <v>5.2275154679033431E-2</v>
      </c>
      <c r="R29" s="42">
        <f t="shared" si="4"/>
        <v>4.2210283960092188E-2</v>
      </c>
    </row>
    <row r="30" spans="1:19" x14ac:dyDescent="0.2">
      <c r="A30" s="10" t="str">
        <f t="shared" ref="A30:D30" si="17">A11</f>
        <v>ISRG</v>
      </c>
      <c r="B30" s="10" t="str">
        <f t="shared" si="17"/>
        <v>Instruments and accessories</v>
      </c>
      <c r="C30" s="10" t="str">
        <f t="shared" si="17"/>
        <v>2019Q2</v>
      </c>
      <c r="D30" s="10">
        <f t="shared" si="17"/>
        <v>20190725</v>
      </c>
      <c r="E30" s="19">
        <f t="shared" ref="E30:J30" si="18">$S11/E11-1</f>
        <v>4.2524985355802958E-3</v>
      </c>
      <c r="F30" s="19">
        <f t="shared" si="18"/>
        <v>1.4318804399753304E-2</v>
      </c>
      <c r="G30" s="19">
        <f t="shared" si="18"/>
        <v>9.0241815558379068E-2</v>
      </c>
      <c r="H30" s="19">
        <f t="shared" si="18"/>
        <v>7.4847750503932442E-3</v>
      </c>
      <c r="I30" s="19">
        <f t="shared" si="18"/>
        <v>3.1518681465168452E-2</v>
      </c>
      <c r="J30" s="19">
        <f t="shared" si="18"/>
        <v>2.8617842748773104E-2</v>
      </c>
      <c r="K30" s="19">
        <f t="shared" ref="K30:Q30" si="19">$S11/K11-1</f>
        <v>-1.4473707091574028E-2</v>
      </c>
      <c r="L30" s="19">
        <f t="shared" si="19"/>
        <v>8.140355522782583E-3</v>
      </c>
      <c r="M30" s="19">
        <f t="shared" si="19"/>
        <v>4.212106270276994E-2</v>
      </c>
      <c r="N30" s="19">
        <f t="shared" si="19"/>
        <v>-6.6897872877857867E-2</v>
      </c>
      <c r="O30" s="19">
        <f t="shared" si="19"/>
        <v>-3.5457254300416019E-2</v>
      </c>
      <c r="P30" s="19">
        <f t="shared" si="19"/>
        <v>-1.4097636052769258E-2</v>
      </c>
      <c r="Q30" s="19">
        <f t="shared" si="19"/>
        <v>-1.4607947600102866E-2</v>
      </c>
      <c r="R30" s="42">
        <f t="shared" si="4"/>
        <v>3.5120580660266132E-3</v>
      </c>
    </row>
    <row r="31" spans="1:19" x14ac:dyDescent="0.2">
      <c r="A31" s="10" t="str">
        <f t="shared" ref="A31:D31" si="20">A12</f>
        <v>ISRG</v>
      </c>
      <c r="B31" s="10" t="str">
        <f t="shared" si="20"/>
        <v>Instruments and accessories</v>
      </c>
      <c r="C31" s="10" t="str">
        <f t="shared" si="20"/>
        <v>2019Q3</v>
      </c>
      <c r="D31" s="10">
        <f t="shared" si="20"/>
        <v>20191024</v>
      </c>
      <c r="E31" s="19">
        <f t="shared" ref="E31:J31" si="21">$S12/E12-1</f>
        <v>-9.2672717022055151E-2</v>
      </c>
      <c r="F31" s="19">
        <f t="shared" si="21"/>
        <v>-9.6474131247227812E-2</v>
      </c>
      <c r="G31" s="19">
        <f t="shared" si="21"/>
        <v>-2.3691899449325815E-2</v>
      </c>
      <c r="H31" s="19">
        <f t="shared" si="21"/>
        <v>-1.604802708937858E-2</v>
      </c>
      <c r="I31" s="19">
        <f t="shared" si="21"/>
        <v>5.2737665353504992E-2</v>
      </c>
      <c r="J31" s="19">
        <f t="shared" si="21"/>
        <v>-3.8349500424873395E-2</v>
      </c>
      <c r="K31" s="19">
        <f t="shared" ref="K31:Q31" si="22">$S12/K12-1</f>
        <v>-9.6514786569088629E-2</v>
      </c>
      <c r="L31" s="19">
        <f t="shared" si="22"/>
        <v>-0.10922890827459875</v>
      </c>
      <c r="M31" s="19">
        <f t="shared" si="22"/>
        <v>-0.10450316010797334</v>
      </c>
      <c r="N31" s="19">
        <f t="shared" si="22"/>
        <v>-2.3357972966484453E-2</v>
      </c>
      <c r="O31" s="19">
        <f t="shared" si="22"/>
        <v>2.0570624914128643E-2</v>
      </c>
      <c r="P31" s="19">
        <f t="shared" si="22"/>
        <v>-6.5104201376372961E-2</v>
      </c>
      <c r="Q31" s="19">
        <f t="shared" si="22"/>
        <v>-6.5354306841829746E-2</v>
      </c>
      <c r="R31" s="42">
        <f t="shared" si="4"/>
        <v>4.1666666666666741E-2</v>
      </c>
    </row>
    <row r="32" spans="1:19" x14ac:dyDescent="0.2">
      <c r="A32" s="10" t="str">
        <f t="shared" ref="A32:D32" si="23">A13</f>
        <v>ISRG</v>
      </c>
      <c r="B32" s="10" t="str">
        <f t="shared" si="23"/>
        <v>Instruments and accessories</v>
      </c>
      <c r="C32" s="10" t="str">
        <f t="shared" si="23"/>
        <v>2019Q4</v>
      </c>
      <c r="D32" s="10">
        <f t="shared" si="23"/>
        <v>20200130</v>
      </c>
      <c r="E32" s="19">
        <f t="shared" ref="E32:J32" si="24">$S13/E13-1</f>
        <v>-4.8008590368289195E-2</v>
      </c>
      <c r="F32" s="19">
        <f t="shared" si="24"/>
        <v>-2.76592846786059E-2</v>
      </c>
      <c r="G32" s="19">
        <f t="shared" si="24"/>
        <v>-1.4272969278880776E-2</v>
      </c>
      <c r="H32" s="19">
        <f t="shared" si="24"/>
        <v>-2.9894807451385508E-2</v>
      </c>
      <c r="I32" s="19">
        <f t="shared" si="24"/>
        <v>7.3347164645000351E-2</v>
      </c>
      <c r="J32" s="19">
        <f t="shared" si="24"/>
        <v>-1.1043954300471781E-2</v>
      </c>
      <c r="K32" s="19">
        <f t="shared" ref="K32:Q32" si="25">$S13/K13-1</f>
        <v>4.9226037276399071E-2</v>
      </c>
      <c r="L32" s="19">
        <f t="shared" si="25"/>
        <v>7.6162563738893185E-2</v>
      </c>
      <c r="M32" s="19">
        <f t="shared" si="25"/>
        <v>9.6474977162765985E-3</v>
      </c>
      <c r="N32" s="19">
        <f t="shared" si="25"/>
        <v>-1.4072618118795899E-2</v>
      </c>
      <c r="O32" s="19">
        <f t="shared" si="25"/>
        <v>1.9577051310855298E-2</v>
      </c>
      <c r="P32" s="19">
        <f t="shared" si="25"/>
        <v>2.8394459459508026E-2</v>
      </c>
      <c r="Q32" s="19">
        <f t="shared" si="25"/>
        <v>2.735896934047255E-2</v>
      </c>
      <c r="R32" s="42">
        <f t="shared" si="4"/>
        <v>1.2055455093429757E-2</v>
      </c>
    </row>
    <row r="33" spans="1:18" x14ac:dyDescent="0.2">
      <c r="A33" s="10" t="str">
        <f t="shared" ref="A33:D33" si="26">A14</f>
        <v>ISRG</v>
      </c>
      <c r="B33" s="10" t="str">
        <f t="shared" si="26"/>
        <v>Instruments and accessories</v>
      </c>
      <c r="C33" s="10" t="str">
        <f t="shared" si="26"/>
        <v>2020Q1</v>
      </c>
      <c r="D33" s="10">
        <f t="shared" si="26"/>
        <v>20200423</v>
      </c>
      <c r="E33" s="19">
        <f t="shared" ref="E33:J33" si="27">$S14/E14-1</f>
        <v>-7.5078873981040961E-2</v>
      </c>
      <c r="F33" s="19">
        <f t="shared" si="27"/>
        <v>-7.4952097859810163E-2</v>
      </c>
      <c r="G33" s="19">
        <f t="shared" si="27"/>
        <v>-3.1385925145600235E-2</v>
      </c>
      <c r="H33" s="19">
        <f t="shared" si="27"/>
        <v>-3.5908072437597971E-2</v>
      </c>
      <c r="I33" s="19">
        <f t="shared" si="27"/>
        <v>2.1154523416395454E-2</v>
      </c>
      <c r="J33" s="19">
        <f t="shared" si="27"/>
        <v>-4.0515296519465838E-2</v>
      </c>
      <c r="K33" s="19">
        <f t="shared" ref="K33:Q33" si="28">$S14/K14-1</f>
        <v>-2.8435428449111955E-2</v>
      </c>
      <c r="L33" s="19">
        <f t="shared" si="28"/>
        <v>-4.8638108469593599E-2</v>
      </c>
      <c r="M33" s="19">
        <f t="shared" si="28"/>
        <v>-1.7360745250335929E-2</v>
      </c>
      <c r="N33" s="19">
        <f t="shared" si="28"/>
        <v>-6.1985700441564706E-3</v>
      </c>
      <c r="O33" s="19">
        <f t="shared" si="28"/>
        <v>-4.8626057763768493E-2</v>
      </c>
      <c r="P33" s="19">
        <f t="shared" si="28"/>
        <v>-2.9800457105399136E-2</v>
      </c>
      <c r="Q33" s="19">
        <f t="shared" si="28"/>
        <v>-3.0087382655141881E-2</v>
      </c>
      <c r="R33" s="42">
        <f t="shared" si="4"/>
        <v>-1.6378928729526399E-2</v>
      </c>
    </row>
    <row r="34" spans="1:18" x14ac:dyDescent="0.2">
      <c r="A34" s="10" t="str">
        <f t="shared" ref="A34:D34" si="29">A15</f>
        <v>ISRG</v>
      </c>
      <c r="B34" s="10" t="str">
        <f t="shared" si="29"/>
        <v>Instruments and accessories</v>
      </c>
      <c r="C34" s="10" t="str">
        <f t="shared" si="29"/>
        <v>2020Q2</v>
      </c>
      <c r="D34" s="10">
        <f t="shared" si="29"/>
        <v>20200730</v>
      </c>
      <c r="E34" s="19">
        <f t="shared" ref="E34:J34" si="30">$S15/E15-1</f>
        <v>-0.12263139458056738</v>
      </c>
      <c r="F34" s="19">
        <f t="shared" si="30"/>
        <v>-0.12761247411664767</v>
      </c>
      <c r="G34" s="19">
        <f t="shared" si="30"/>
        <v>-4.5629557629160211E-2</v>
      </c>
      <c r="H34" s="19">
        <f t="shared" si="30"/>
        <v>-0.13884636071151213</v>
      </c>
      <c r="I34" s="19">
        <f t="shared" si="30"/>
        <v>-0.12776798862861505</v>
      </c>
      <c r="J34" s="19">
        <f t="shared" si="30"/>
        <v>-0.11372337532979826</v>
      </c>
      <c r="K34" s="19">
        <f t="shared" ref="K34:Q34" si="31">$S15/K15-1</f>
        <v>-5.1412514280219423E-2</v>
      </c>
      <c r="L34" s="19">
        <f t="shared" si="31"/>
        <v>-5.6927188456946443E-2</v>
      </c>
      <c r="M34" s="19">
        <f t="shared" si="31"/>
        <v>-1.4705167778716222E-2</v>
      </c>
      <c r="N34" s="19">
        <f t="shared" si="31"/>
        <v>-0.10677227485368745</v>
      </c>
      <c r="O34" s="19">
        <f t="shared" si="31"/>
        <v>-0.14583739153088449</v>
      </c>
      <c r="P34" s="19">
        <f t="shared" si="31"/>
        <v>-7.6299370427449054E-2</v>
      </c>
      <c r="Q34" s="19">
        <f t="shared" si="31"/>
        <v>-7.7258332485706571E-2</v>
      </c>
      <c r="R34" s="42">
        <f t="shared" ref="R34" si="32">$S15/R15-1</f>
        <v>0.29503487894952829</v>
      </c>
    </row>
    <row r="35" spans="1:18" x14ac:dyDescent="0.2">
      <c r="A35" s="10" t="str">
        <f t="shared" ref="A35:D35" si="33">A16</f>
        <v>ISRG</v>
      </c>
      <c r="B35" s="10" t="str">
        <f t="shared" si="33"/>
        <v>Instruments and accessories</v>
      </c>
      <c r="C35" s="10" t="str">
        <f t="shared" si="33"/>
        <v>2020Q3</v>
      </c>
      <c r="D35" s="10">
        <f t="shared" si="33"/>
        <v>20201022</v>
      </c>
      <c r="E35" s="19">
        <f t="shared" ref="E35:J35" si="34">$S16/E16-1</f>
        <v>-5.6578367180470934E-3</v>
      </c>
      <c r="F35" s="19">
        <f t="shared" si="34"/>
        <v>-1.1965957576919872E-2</v>
      </c>
      <c r="G35" s="19">
        <f t="shared" si="34"/>
        <v>3.9469690253546519E-2</v>
      </c>
      <c r="H35" s="19">
        <f t="shared" si="34"/>
        <v>-1.5010979569260674E-2</v>
      </c>
      <c r="I35" s="19">
        <f t="shared" si="34"/>
        <v>-1.7190077909636448E-2</v>
      </c>
      <c r="J35" s="19">
        <f t="shared" si="34"/>
        <v>-2.5057866305367993E-3</v>
      </c>
      <c r="K35" s="19">
        <f t="shared" ref="K35:Q35" si="35">$S16/K16-1</f>
        <v>0.13332316330899507</v>
      </c>
      <c r="L35" s="19">
        <f t="shared" si="35"/>
        <v>0.13256323951059223</v>
      </c>
      <c r="M35" s="19">
        <f t="shared" si="35"/>
        <v>8.9167941613220503E-2</v>
      </c>
      <c r="N35" s="19">
        <f t="shared" si="35"/>
        <v>0.14380172769700894</v>
      </c>
      <c r="O35" s="19">
        <f t="shared" si="35"/>
        <v>0.12677579964661012</v>
      </c>
      <c r="P35" s="19">
        <f t="shared" si="35"/>
        <v>0.12548857275869985</v>
      </c>
      <c r="Q35" s="19">
        <f t="shared" si="35"/>
        <v>0.1249196584756973</v>
      </c>
      <c r="R35" s="42">
        <f>$S16/R16-1</f>
        <v>0.11190476190476195</v>
      </c>
    </row>
    <row r="36" spans="1:18" x14ac:dyDescent="0.2">
      <c r="A36" s="10" t="str">
        <f t="shared" ref="A36:D36" si="36">A17</f>
        <v>ISRG</v>
      </c>
      <c r="B36" s="10" t="str">
        <f t="shared" si="36"/>
        <v>Instruments and accessories</v>
      </c>
      <c r="C36" s="10" t="str">
        <f t="shared" si="36"/>
        <v>2020Q4</v>
      </c>
      <c r="D36" s="10">
        <f t="shared" si="36"/>
        <v>20210121</v>
      </c>
      <c r="E36" s="19">
        <f t="shared" ref="E36:J36" si="37">$S17/E17-1</f>
        <v>-1.6530167640956162E-2</v>
      </c>
      <c r="F36" s="19">
        <f t="shared" si="37"/>
        <v>-9.6662590736534826E-3</v>
      </c>
      <c r="G36" s="19">
        <f t="shared" si="37"/>
        <v>-3.2708455973762263E-3</v>
      </c>
      <c r="H36" s="19">
        <f t="shared" si="37"/>
        <v>4.9466938374183034E-3</v>
      </c>
      <c r="I36" s="19">
        <f t="shared" si="37"/>
        <v>1.3059050231482461E-2</v>
      </c>
      <c r="J36" s="19">
        <f t="shared" si="37"/>
        <v>-2.4016460648210725E-3</v>
      </c>
      <c r="K36" s="19">
        <f t="shared" ref="K36:Q36" si="38">$S17/K17-1</f>
        <v>-1.0934194811797582E-2</v>
      </c>
      <c r="L36" s="19">
        <f t="shared" si="38"/>
        <v>2.3275498662238547E-3</v>
      </c>
      <c r="M36" s="19">
        <f t="shared" si="38"/>
        <v>-4.1117635513256423E-2</v>
      </c>
      <c r="N36" s="19">
        <f t="shared" si="38"/>
        <v>2.0261823221086717E-2</v>
      </c>
      <c r="O36" s="19">
        <f t="shared" si="38"/>
        <v>3.0778207933413348E-2</v>
      </c>
      <c r="P36" s="19">
        <f t="shared" si="38"/>
        <v>1.0440217529095186E-4</v>
      </c>
      <c r="Q36" s="19">
        <f t="shared" si="38"/>
        <v>-2.9836077612299672E-4</v>
      </c>
      <c r="R36" s="42">
        <f>$S17/R17-1</f>
        <v>7.1236559139784994E-2</v>
      </c>
    </row>
    <row r="37" spans="1:18" x14ac:dyDescent="0.2">
      <c r="A37" s="10" t="str">
        <f t="shared" ref="A37:D37" si="39">A18</f>
        <v>ISRG</v>
      </c>
      <c r="B37" s="10" t="str">
        <f t="shared" si="39"/>
        <v>Instruments and accessories</v>
      </c>
      <c r="C37" s="10" t="str">
        <f t="shared" si="39"/>
        <v>2021Q1</v>
      </c>
      <c r="D37" s="10">
        <f t="shared" si="39"/>
        <v>20210422</v>
      </c>
      <c r="E37" s="19">
        <f t="shared" ref="E37:J37" si="40">$S18/E18-1</f>
        <v>-6.2937680305558241E-2</v>
      </c>
      <c r="F37" s="19">
        <f t="shared" si="40"/>
        <v>-4.0605805632586867E-2</v>
      </c>
      <c r="G37" s="19">
        <f t="shared" si="40"/>
        <v>3.8699875162961916E-4</v>
      </c>
      <c r="H37" s="19">
        <f t="shared" si="40"/>
        <v>-4.9663352161397278E-2</v>
      </c>
      <c r="I37" s="19">
        <f t="shared" si="40"/>
        <v>-4.6223050466921434E-3</v>
      </c>
      <c r="J37" s="19">
        <f t="shared" si="40"/>
        <v>-3.2134100275632016E-2</v>
      </c>
      <c r="K37" s="19">
        <f t="shared" ref="K37:Q37" si="41">$S18/K18-1</f>
        <v>-4.7187530453562276E-2</v>
      </c>
      <c r="L37" s="19">
        <f t="shared" si="41"/>
        <v>-3.1241535333323966E-2</v>
      </c>
      <c r="M37" s="19">
        <f t="shared" si="41"/>
        <v>3.6698478547045887E-3</v>
      </c>
      <c r="N37" s="19">
        <f t="shared" si="41"/>
        <v>-5.4341236538910986E-2</v>
      </c>
      <c r="O37" s="19">
        <f t="shared" si="41"/>
        <v>-1.7453430058331332E-2</v>
      </c>
      <c r="P37" s="19">
        <f t="shared" si="41"/>
        <v>-2.9804032949259263E-2</v>
      </c>
      <c r="Q37" s="19">
        <f t="shared" si="41"/>
        <v>-2.9764252479646647E-2</v>
      </c>
      <c r="R37" s="42">
        <f>$S18/R18-1</f>
        <v>0.14468571428571431</v>
      </c>
    </row>
    <row r="38" spans="1:18" x14ac:dyDescent="0.2">
      <c r="A38" s="10" t="str">
        <f t="shared" ref="A38:D38" si="42">A19</f>
        <v>ISRG</v>
      </c>
      <c r="B38" s="10" t="str">
        <f t="shared" si="42"/>
        <v>Instruments and accessories</v>
      </c>
      <c r="C38" s="10" t="str">
        <f t="shared" si="42"/>
        <v>2021Q2</v>
      </c>
      <c r="D38" s="10">
        <f t="shared" si="42"/>
        <v>20210729</v>
      </c>
      <c r="E38" s="19">
        <f>$S19/E19-1</f>
        <v>-2.9857839332339431E-2</v>
      </c>
      <c r="F38" s="19">
        <f t="shared" ref="F38:J38" si="43">$S19/F19-1</f>
        <v>-1.940826221298142E-2</v>
      </c>
      <c r="G38" s="19">
        <f t="shared" si="43"/>
        <v>2.9388888785603307E-2</v>
      </c>
      <c r="H38" s="19">
        <f t="shared" si="43"/>
        <v>-5.2050949981436445E-2</v>
      </c>
      <c r="I38" s="19">
        <f t="shared" si="43"/>
        <v>4.3241973952308221E-3</v>
      </c>
      <c r="J38" s="19">
        <f t="shared" si="43"/>
        <v>-1.4316610028673238E-2</v>
      </c>
      <c r="K38" s="19">
        <f t="shared" ref="K38:Q38" si="44">$S19/K19-1</f>
        <v>3.5301644594999404E-2</v>
      </c>
      <c r="L38" s="19">
        <f t="shared" si="44"/>
        <v>2.2094717212232107E-2</v>
      </c>
      <c r="M38" s="19">
        <f t="shared" si="44"/>
        <v>2.8990670680611341E-2</v>
      </c>
      <c r="N38" s="19">
        <f t="shared" si="44"/>
        <v>-2.5123705641251215E-3</v>
      </c>
      <c r="O38" s="19">
        <f t="shared" si="44"/>
        <v>8.9880479412818293E-3</v>
      </c>
      <c r="P38" s="19">
        <f t="shared" si="44"/>
        <v>1.8409048456023536E-2</v>
      </c>
      <c r="Q38" s="19">
        <f t="shared" si="44"/>
        <v>1.8391208524274338E-2</v>
      </c>
      <c r="R38" s="42">
        <f>$S19/R19-1</f>
        <v>0.17929344496630595</v>
      </c>
    </row>
    <row r="39" spans="1:18" x14ac:dyDescent="0.2">
      <c r="A39" s="171" t="s">
        <v>78</v>
      </c>
      <c r="B39" s="171"/>
      <c r="C39" s="167"/>
      <c r="D39" s="168"/>
      <c r="E39" s="82" cm="1">
        <f t="array" ref="E39">SUM(ABS(E25:E38))/COUNT(E25:E38)</f>
        <v>5.1195883260743806E-2</v>
      </c>
      <c r="F39" s="82" cm="1">
        <f t="array" ref="F39">SUM(ABS(F25:F38))/COUNT(F25:F38)</f>
        <v>4.7544293148358806E-2</v>
      </c>
      <c r="G39" s="84" cm="1">
        <f t="array" ref="G39">SUM(ABS(G25:G38))/COUNT(G25:G38)</f>
        <v>3.2103131262980998E-2</v>
      </c>
      <c r="H39" s="82" cm="1">
        <f t="array" ref="H39">SUM(ABS(H25:H38))/COUNT(H25:H38)</f>
        <v>3.7989005145785584E-2</v>
      </c>
      <c r="I39" s="82" cm="1">
        <f t="array" ref="I39">SUM(ABS(I25:I38))/COUNT(I25:I38)</f>
        <v>4.506810113706556E-2</v>
      </c>
      <c r="J39" s="84" cm="1">
        <f t="array" ref="J39">SUM(ABS(J25:J38))/COUNT(J25:J38)</f>
        <v>3.2059570763092529E-2</v>
      </c>
      <c r="K39" s="82" cm="1">
        <f t="array" ref="K39">SUM(ABS(K25:K38))/COUNT(K25:K38)</f>
        <v>5.8718380356877632E-2</v>
      </c>
      <c r="L39" s="82" cm="1">
        <f t="array" ref="L39">SUM(ABS(L25:L38))/COUNT(L25:L38)</f>
        <v>5.8579847644068726E-2</v>
      </c>
      <c r="M39" s="82" cm="1">
        <f t="array" ref="M39">SUM(ABS(M25:M38))/COUNT(M25:M38)</f>
        <v>4.1616245624972618E-2</v>
      </c>
      <c r="N39" s="82" cm="1">
        <f t="array" ref="N39">SUM(ABS(N25:N38))/COUNT(N25:N38)</f>
        <v>4.9721913322164482E-2</v>
      </c>
      <c r="O39" s="82" cm="1">
        <f t="array" ref="O39">SUM(ABS(O25:O38))/COUNT(O25:O38)</f>
        <v>5.3125832095875056E-2</v>
      </c>
      <c r="P39" s="82" cm="1">
        <f t="array" ref="P39">SUM(ABS(P25:P38))/COUNT(P25:P38)</f>
        <v>4.4340920828217362E-2</v>
      </c>
      <c r="Q39" s="82" cm="1">
        <f t="array" ref="Q39">SUM(ABS(Q25:Q38))/COUNT(Q25:Q38)</f>
        <v>4.4207887471989116E-2</v>
      </c>
      <c r="R39" s="104" cm="1">
        <f t="array" ref="R39">SUM(ABS(R25:R38))/COUNT(R25:R38)</f>
        <v>7.4249918608889104E-2</v>
      </c>
    </row>
    <row r="40" spans="1:18" x14ac:dyDescent="0.2">
      <c r="A40" s="172" t="s">
        <v>79</v>
      </c>
      <c r="B40" s="172"/>
      <c r="C40" s="169"/>
      <c r="D40" s="170"/>
      <c r="E40" s="83" cm="1">
        <f t="array" ref="E40">SQRT(SUM(POWER(E25:E38,2))/COUNT(E25:E38))</f>
        <v>6.3835640576454841E-2</v>
      </c>
      <c r="F40" s="83" cm="1">
        <f t="array" ref="F40">SQRT(SUM(POWER(F25:F38,2))/COUNT(F25:F38))</f>
        <v>6.2111225970625079E-2</v>
      </c>
      <c r="G40" s="85" cm="1">
        <f t="array" ref="G40">SQRT(SUM(POWER(G25:G38,2))/COUNT(G25:G38))</f>
        <v>4.1496892240458653E-2</v>
      </c>
      <c r="H40" s="83" cm="1">
        <f t="array" ref="H40">SQRT(SUM(POWER(H25:H38,2))/COUNT(H25:H38))</f>
        <v>5.1845705302491989E-2</v>
      </c>
      <c r="I40" s="83" cm="1">
        <f t="array" ref="I40">SQRT(SUM(POWER(I25:I38,2))/COUNT(I25:I38))</f>
        <v>5.910877243141794E-2</v>
      </c>
      <c r="J40" s="85" cm="1">
        <f t="array" ref="J40">SQRT(SUM(POWER(J25:J38,2))/COUNT(J25:J38))</f>
        <v>4.4075079790447461E-2</v>
      </c>
      <c r="K40" s="83" cm="1">
        <f t="array" ref="K40">SQRT(SUM(POWER(K25:K38,2))/COUNT(K25:K38))</f>
        <v>6.7832675381871127E-2</v>
      </c>
      <c r="L40" s="83" cm="1">
        <f t="array" ref="L40">SQRT(SUM(POWER(L25:L38,2))/COUNT(L25:L38))</f>
        <v>6.9799965004608847E-2</v>
      </c>
      <c r="M40" s="83" cm="1">
        <f t="array" ref="M40">SQRT(SUM(POWER(M25:M38,2))/COUNT(M25:M38))</f>
        <v>5.1175909144110271E-2</v>
      </c>
      <c r="N40" s="83" cm="1">
        <f t="array" ref="N40">SQRT(SUM(POWER(N25:N38,2))/COUNT(N25:N38))</f>
        <v>6.4403372285797886E-2</v>
      </c>
      <c r="O40" s="83" cm="1">
        <f t="array" ref="O40">SQRT(SUM(POWER(O25:O38,2))/COUNT(O25:O38))</f>
        <v>6.8708546105218413E-2</v>
      </c>
      <c r="P40" s="83" cm="1">
        <f t="array" ref="P40">SQRT(SUM(POWER(P25:P38,2))/COUNT(P25:P38))</f>
        <v>5.5310827994665163E-2</v>
      </c>
      <c r="Q40" s="83" cm="1">
        <f t="array" ref="Q40">SQRT(SUM(POWER(Q25:Q38,2))/COUNT(Q25:Q38))</f>
        <v>5.5168760709599141E-2</v>
      </c>
      <c r="R40" s="105" cm="1">
        <f t="array" ref="R40">SQRT(SUM(POWER(R25:R38,2))/COUNT(R25:R38))</f>
        <v>0.1089159076776987</v>
      </c>
    </row>
    <row r="41" spans="1:18" x14ac:dyDescent="0.2">
      <c r="G41" s="3">
        <f>AVERAGE(G36,G31:G34)</f>
        <v>-2.3650239420068653E-2</v>
      </c>
    </row>
    <row r="42" spans="1:18" x14ac:dyDescent="0.2">
      <c r="B42" t="s">
        <v>160</v>
      </c>
      <c r="G42" s="3">
        <f>G34</f>
        <v>-4.5629557629160211E-2</v>
      </c>
    </row>
  </sheetData>
  <mergeCells count="7">
    <mergeCell ref="A21:D21"/>
    <mergeCell ref="A4:B4"/>
    <mergeCell ref="A23:B23"/>
    <mergeCell ref="C39:D39"/>
    <mergeCell ref="C40:D40"/>
    <mergeCell ref="A39:B39"/>
    <mergeCell ref="A40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4"/>
  <sheetViews>
    <sheetView zoomScale="85" zoomScaleNormal="85" workbookViewId="0">
      <selection activeCell="A14" sqref="A14"/>
    </sheetView>
  </sheetViews>
  <sheetFormatPr defaultRowHeight="12.75" x14ac:dyDescent="0.2"/>
  <cols>
    <col min="1" max="1" width="11.28515625" style="75" customWidth="1"/>
    <col min="3" max="3" width="12.85546875" bestFit="1" customWidth="1"/>
    <col min="4" max="4" width="8.85546875" customWidth="1"/>
    <col min="5" max="5" width="6.42578125" customWidth="1"/>
    <col min="6" max="6" width="8.42578125" bestFit="1" customWidth="1"/>
    <col min="7" max="7" width="14.42578125" bestFit="1" customWidth="1"/>
    <col min="8" max="8" width="8.140625" bestFit="1" customWidth="1"/>
    <col min="9" max="9" width="7.42578125" bestFit="1" customWidth="1"/>
    <col min="10" max="10" width="11.85546875" bestFit="1" customWidth="1"/>
    <col min="11" max="11" width="12.42578125" bestFit="1" customWidth="1"/>
    <col min="12" max="12" width="6.42578125" bestFit="1" customWidth="1"/>
    <col min="13" max="13" width="7.42578125" bestFit="1" customWidth="1"/>
  </cols>
  <sheetData>
    <row r="1" spans="1:17" x14ac:dyDescent="0.2">
      <c r="A1" s="75" t="s">
        <v>104</v>
      </c>
      <c r="B1" t="s">
        <v>84</v>
      </c>
    </row>
    <row r="2" spans="1:17" x14ac:dyDescent="0.2">
      <c r="A2" s="75" t="s">
        <v>99</v>
      </c>
      <c r="B2" t="s">
        <v>82</v>
      </c>
    </row>
    <row r="3" spans="1:17" x14ac:dyDescent="0.2">
      <c r="A3" s="75" t="s">
        <v>100</v>
      </c>
      <c r="B3" t="s">
        <v>149</v>
      </c>
    </row>
    <row r="4" spans="1:17" x14ac:dyDescent="0.2">
      <c r="A4" s="75" t="s">
        <v>101</v>
      </c>
      <c r="B4" t="s">
        <v>174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5" t="s">
        <v>102</v>
      </c>
      <c r="B7" s="173" t="s">
        <v>83</v>
      </c>
      <c r="C7" s="173"/>
      <c r="D7" s="173" t="s">
        <v>114</v>
      </c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6"/>
      <c r="P7" s="6"/>
      <c r="Q7" s="6"/>
    </row>
    <row r="8" spans="1:17" ht="15" x14ac:dyDescent="0.2">
      <c r="A8" t="s">
        <v>173</v>
      </c>
      <c r="C8" s="79" t="s">
        <v>85</v>
      </c>
      <c r="D8" s="79" t="s">
        <v>86</v>
      </c>
      <c r="E8" s="79" t="s">
        <v>87</v>
      </c>
      <c r="F8" s="79" t="s">
        <v>88</v>
      </c>
      <c r="G8" s="79" t="s">
        <v>89</v>
      </c>
      <c r="H8" s="79" t="s">
        <v>90</v>
      </c>
      <c r="I8" s="79" t="s">
        <v>91</v>
      </c>
      <c r="J8" s="79" t="s">
        <v>92</v>
      </c>
      <c r="K8" s="79" t="s">
        <v>93</v>
      </c>
      <c r="L8" s="79" t="s">
        <v>94</v>
      </c>
      <c r="M8" s="79" t="s">
        <v>95</v>
      </c>
      <c r="O8" s="6"/>
      <c r="P8" s="6"/>
      <c r="Q8" s="6"/>
    </row>
    <row r="9" spans="1:17" ht="15" x14ac:dyDescent="0.2">
      <c r="B9" s="79" t="s">
        <v>96</v>
      </c>
      <c r="C9" s="2">
        <v>9.2744713669420442E-2</v>
      </c>
      <c r="D9" s="74">
        <v>3.4279144474122808E-2</v>
      </c>
      <c r="E9" s="2">
        <v>3.532266973046401E-2</v>
      </c>
      <c r="F9" s="2">
        <v>7.7842299388938066E-2</v>
      </c>
      <c r="G9" s="2">
        <v>3.9741344445543232E-2</v>
      </c>
      <c r="H9" s="2">
        <v>3.5192965886334859E-2</v>
      </c>
      <c r="I9" s="2">
        <v>3.5196834873043523E-2</v>
      </c>
      <c r="J9" s="2">
        <v>3.9514764490577253E-2</v>
      </c>
      <c r="K9" s="2">
        <v>4.0153454307185199E-2</v>
      </c>
      <c r="L9" s="2">
        <v>5.6865840666978681E-2</v>
      </c>
      <c r="M9" s="2">
        <v>0.32011819815801068</v>
      </c>
      <c r="O9" s="6"/>
      <c r="P9" s="6"/>
      <c r="Q9" s="6"/>
    </row>
    <row r="10" spans="1:17" ht="15" x14ac:dyDescent="0.2">
      <c r="B10" s="79" t="s">
        <v>97</v>
      </c>
      <c r="C10" s="2">
        <v>0.1159542566050417</v>
      </c>
      <c r="D10" s="74">
        <v>5.1585384787867138E-2</v>
      </c>
      <c r="E10" s="2">
        <v>5.2900558054139298E-2</v>
      </c>
      <c r="F10" s="2">
        <v>9.2613334806207689E-2</v>
      </c>
      <c r="G10" s="2">
        <v>5.1719119311129963E-2</v>
      </c>
      <c r="H10" s="2">
        <v>5.2757441064778393E-2</v>
      </c>
      <c r="I10" s="2">
        <v>5.3086233282337879E-2</v>
      </c>
      <c r="J10" s="2">
        <v>5.1408382551495178E-2</v>
      </c>
      <c r="K10" s="2">
        <v>5.1782707024365437E-2</v>
      </c>
      <c r="L10" s="2">
        <v>6.9799154885181985E-2</v>
      </c>
      <c r="M10" s="2">
        <v>0.74115527351062749</v>
      </c>
      <c r="O10" s="6"/>
      <c r="P10" s="6"/>
      <c r="Q10" s="6"/>
    </row>
    <row r="11" spans="1:17" ht="15" x14ac:dyDescent="0.2">
      <c r="B11" s="79" t="s">
        <v>98</v>
      </c>
      <c r="C11" s="2">
        <v>-8.3570885467182887E-2</v>
      </c>
      <c r="D11" s="74">
        <v>2.386276820325561E-2</v>
      </c>
      <c r="E11" s="2">
        <v>1.7784837279336881E-2</v>
      </c>
      <c r="F11" s="2">
        <v>-8.3030881479842389E-2</v>
      </c>
      <c r="G11" s="2">
        <v>-2.5850523965134379E-2</v>
      </c>
      <c r="H11" s="2">
        <v>1.7784791259552239E-2</v>
      </c>
      <c r="I11" s="2">
        <v>1.7236734904148121E-2</v>
      </c>
      <c r="J11" s="2">
        <v>-2.538609251674662E-2</v>
      </c>
      <c r="K11" s="2">
        <v>-2.7034619960761511E-2</v>
      </c>
      <c r="L11" s="2">
        <v>-1.093184706760714E-2</v>
      </c>
      <c r="M11" s="2">
        <v>3.2546403863265572E-3</v>
      </c>
      <c r="O11" s="6"/>
      <c r="P11" s="6"/>
      <c r="Q11" s="6"/>
    </row>
    <row r="12" spans="1:17" x14ac:dyDescent="0.2">
      <c r="C12" s="74"/>
      <c r="D12" s="2"/>
      <c r="E12" s="2"/>
      <c r="F12" s="74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ht="15" x14ac:dyDescent="0.2">
      <c r="A14" s="106" t="s">
        <v>175</v>
      </c>
      <c r="C14" s="79" t="s">
        <v>85</v>
      </c>
      <c r="D14" s="79" t="s">
        <v>86</v>
      </c>
      <c r="E14" s="79" t="s">
        <v>87</v>
      </c>
      <c r="F14" s="79" t="s">
        <v>88</v>
      </c>
      <c r="G14" s="79" t="s">
        <v>89</v>
      </c>
      <c r="H14" s="79" t="s">
        <v>90</v>
      </c>
      <c r="I14" s="79" t="s">
        <v>91</v>
      </c>
      <c r="J14" s="79" t="s">
        <v>92</v>
      </c>
      <c r="K14" s="79" t="s">
        <v>93</v>
      </c>
      <c r="L14" s="79" t="s">
        <v>94</v>
      </c>
      <c r="M14" s="79" t="s">
        <v>95</v>
      </c>
      <c r="O14" s="6"/>
      <c r="P14" s="6"/>
      <c r="Q14" s="6"/>
    </row>
    <row r="15" spans="1:17" ht="15" x14ac:dyDescent="0.2">
      <c r="B15" s="79" t="s">
        <v>96</v>
      </c>
      <c r="C15" s="2">
        <v>9.2744713669420442E-2</v>
      </c>
      <c r="D15" s="74">
        <v>2.364372498316536E-2</v>
      </c>
      <c r="E15" s="2">
        <v>4.6257425682966792E-2</v>
      </c>
      <c r="F15" s="2">
        <v>7.7842299388938066E-2</v>
      </c>
      <c r="G15" s="2">
        <v>4.538859429915737E-2</v>
      </c>
      <c r="H15" s="2">
        <v>4.6137999004452382E-2</v>
      </c>
      <c r="I15" s="2">
        <v>4.5867704747658923E-2</v>
      </c>
      <c r="J15" s="2">
        <v>4.5374933176184663E-2</v>
      </c>
      <c r="K15" s="2">
        <v>4.5113557616904609E-2</v>
      </c>
      <c r="L15" s="2">
        <v>0.1237110132670972</v>
      </c>
      <c r="M15" s="2">
        <v>0.74880678533072587</v>
      </c>
      <c r="O15" s="6"/>
      <c r="P15" s="6"/>
      <c r="Q15" s="6"/>
    </row>
    <row r="16" spans="1:17" ht="15" x14ac:dyDescent="0.2">
      <c r="B16" s="79" t="s">
        <v>97</v>
      </c>
      <c r="C16" s="2">
        <v>0.1159542566050417</v>
      </c>
      <c r="D16" s="74">
        <v>2.8289138165336649E-2</v>
      </c>
      <c r="E16" s="2">
        <v>6.4494417367665688E-2</v>
      </c>
      <c r="F16" s="2">
        <v>9.2613334806207689E-2</v>
      </c>
      <c r="G16" s="2">
        <v>5.6462960923759957E-2</v>
      </c>
      <c r="H16" s="2">
        <v>6.4287283030995707E-2</v>
      </c>
      <c r="I16" s="2">
        <v>6.3867628309673075E-2</v>
      </c>
      <c r="J16" s="2">
        <v>5.6261694664611027E-2</v>
      </c>
      <c r="K16" s="2">
        <v>5.5943626871775273E-2</v>
      </c>
      <c r="L16" s="2">
        <v>0.2071133288747159</v>
      </c>
      <c r="M16" s="2">
        <v>1.7883020952275761</v>
      </c>
      <c r="O16" s="6"/>
      <c r="P16" s="6"/>
      <c r="Q16" s="6"/>
    </row>
    <row r="17" spans="1:17" ht="15" x14ac:dyDescent="0.2">
      <c r="B17" s="79" t="s">
        <v>98</v>
      </c>
      <c r="C17" s="2">
        <v>-8.3570885467182887E-2</v>
      </c>
      <c r="D17" s="74">
        <v>8.8806079122755177E-3</v>
      </c>
      <c r="E17" s="2">
        <v>8.202877512834994E-3</v>
      </c>
      <c r="F17" s="2">
        <v>-8.3030881479842389E-2</v>
      </c>
      <c r="G17" s="2">
        <v>-3.2315555150382647E-2</v>
      </c>
      <c r="H17" s="2">
        <v>8.0929802215827795E-3</v>
      </c>
      <c r="I17" s="2">
        <v>7.1786224259248188E-3</v>
      </c>
      <c r="J17" s="2">
        <v>-3.235478204113662E-2</v>
      </c>
      <c r="K17" s="2">
        <v>-3.2559817892463538E-2</v>
      </c>
      <c r="L17" s="2">
        <v>-9.4556418513287444E-3</v>
      </c>
      <c r="M17" s="2">
        <v>-2.4493065198571968E-3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75" t="s">
        <v>103</v>
      </c>
      <c r="B19" t="s">
        <v>106</v>
      </c>
      <c r="O19" s="6"/>
      <c r="P19" s="6"/>
      <c r="Q19" s="6"/>
    </row>
    <row r="20" spans="1:17" x14ac:dyDescent="0.2">
      <c r="B20" t="s">
        <v>141</v>
      </c>
      <c r="H20" s="76" t="s">
        <v>107</v>
      </c>
      <c r="O20" s="6"/>
      <c r="P20" s="6"/>
      <c r="Q20" s="6"/>
    </row>
    <row r="21" spans="1:17" x14ac:dyDescent="0.2">
      <c r="B21" t="s">
        <v>142</v>
      </c>
      <c r="H21" s="76"/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75" t="s">
        <v>105</v>
      </c>
      <c r="B24" s="174" t="s">
        <v>109</v>
      </c>
      <c r="C24" s="174"/>
      <c r="D24" s="174"/>
      <c r="E24" s="174"/>
      <c r="F24" s="70" t="e">
        <f>#REF!+#REF!*'2. Past Proj &amp; Candidate Model'!R19</f>
        <v>#REF!</v>
      </c>
      <c r="G24" s="77" t="s">
        <v>110</v>
      </c>
      <c r="H24" s="2" t="e">
        <f>'2. Past Proj &amp; Candidate Model'!S19/'3. Improved Alpha Model'!F24-1</f>
        <v>#REF!</v>
      </c>
      <c r="O24" s="6"/>
      <c r="P24" s="6"/>
      <c r="Q24" s="6"/>
    </row>
    <row r="25" spans="1:17" x14ac:dyDescent="0.2">
      <c r="B25" t="s">
        <v>161</v>
      </c>
      <c r="O25" s="6"/>
      <c r="P25" s="6"/>
      <c r="Q25" s="6"/>
    </row>
    <row r="26" spans="1:17" x14ac:dyDescent="0.2">
      <c r="B26" t="s">
        <v>113</v>
      </c>
      <c r="O26" s="6"/>
      <c r="P26" s="6"/>
      <c r="Q26" s="6"/>
    </row>
    <row r="27" spans="1:17" x14ac:dyDescent="0.2">
      <c r="B27" t="s">
        <v>162</v>
      </c>
      <c r="O27" s="6"/>
      <c r="P27" s="6"/>
      <c r="Q27" s="6"/>
    </row>
    <row r="28" spans="1:17" x14ac:dyDescent="0.2">
      <c r="B28" s="175" t="s">
        <v>163</v>
      </c>
      <c r="C28" s="175"/>
      <c r="D28" s="175"/>
      <c r="E28" s="3">
        <f>C9</f>
        <v>9.2744713669420442E-2</v>
      </c>
      <c r="F28" t="s">
        <v>111</v>
      </c>
      <c r="G28" s="175" t="s">
        <v>112</v>
      </c>
      <c r="H28" s="175"/>
      <c r="I28" s="3">
        <f>D15</f>
        <v>2.364372498316536E-2</v>
      </c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A31" s="75" t="s">
        <v>108</v>
      </c>
      <c r="B31" t="s">
        <v>115</v>
      </c>
      <c r="O31" s="6"/>
      <c r="P31" s="6"/>
      <c r="Q31" s="6"/>
    </row>
    <row r="32" spans="1:17" x14ac:dyDescent="0.2">
      <c r="B32" t="s">
        <v>116</v>
      </c>
      <c r="O32" s="6"/>
      <c r="P32" s="6"/>
      <c r="Q32" s="6"/>
    </row>
    <row r="33" spans="2:17" x14ac:dyDescent="0.2">
      <c r="B33" t="s">
        <v>117</v>
      </c>
      <c r="O33" s="6"/>
      <c r="P33" s="6"/>
      <c r="Q33" s="6"/>
    </row>
    <row r="34" spans="2:17" x14ac:dyDescent="0.2">
      <c r="B34" t="s">
        <v>118</v>
      </c>
      <c r="O34" s="6"/>
      <c r="P34" s="6"/>
      <c r="Q34" s="6"/>
    </row>
    <row r="35" spans="2:17" x14ac:dyDescent="0.2">
      <c r="B35" t="s">
        <v>119</v>
      </c>
      <c r="O35" s="6"/>
      <c r="P35" s="6"/>
      <c r="Q35" s="6"/>
    </row>
    <row r="36" spans="2:17" x14ac:dyDescent="0.2">
      <c r="B36" t="s">
        <v>120</v>
      </c>
      <c r="O36" s="6"/>
      <c r="P36" s="6"/>
      <c r="Q36" s="6"/>
    </row>
    <row r="37" spans="2:17" x14ac:dyDescent="0.2">
      <c r="B37" t="s">
        <v>121</v>
      </c>
      <c r="O37" s="6"/>
      <c r="P37" s="6"/>
      <c r="Q37" s="6"/>
    </row>
    <row r="38" spans="2:17" x14ac:dyDescent="0.2">
      <c r="B38" t="s">
        <v>122</v>
      </c>
      <c r="O38" s="6"/>
      <c r="P38" s="6"/>
      <c r="Q38" s="6"/>
    </row>
    <row r="39" spans="2:17" x14ac:dyDescent="0.2">
      <c r="B39" t="s">
        <v>123</v>
      </c>
      <c r="O39" s="6"/>
      <c r="P39" s="6"/>
      <c r="Q39" s="6"/>
    </row>
    <row r="40" spans="2:17" x14ac:dyDescent="0.2">
      <c r="B40" t="s">
        <v>124</v>
      </c>
      <c r="O40" s="6"/>
      <c r="P40" s="6"/>
      <c r="Q40" s="6"/>
    </row>
    <row r="41" spans="2:17" x14ac:dyDescent="0.2">
      <c r="O41" s="6"/>
      <c r="P41" s="6"/>
      <c r="Q41" s="6"/>
    </row>
    <row r="42" spans="2:17" x14ac:dyDescent="0.2">
      <c r="O42" s="6"/>
      <c r="P42" s="6"/>
      <c r="Q42" s="6"/>
    </row>
    <row r="43" spans="2:17" x14ac:dyDescent="0.2">
      <c r="O43" s="6"/>
      <c r="P43" s="6"/>
    </row>
    <row r="44" spans="2:17" x14ac:dyDescent="0.2">
      <c r="O44" s="6"/>
      <c r="P44" s="6"/>
    </row>
  </sheetData>
  <mergeCells count="5">
    <mergeCell ref="D7:N7"/>
    <mergeCell ref="B7:C7"/>
    <mergeCell ref="B24:E24"/>
    <mergeCell ref="B28:D28"/>
    <mergeCell ref="G28:H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54"/>
  <sheetViews>
    <sheetView tabSelected="1" topLeftCell="A7" zoomScale="85" zoomScaleNormal="85" workbookViewId="0">
      <selection activeCell="G32" sqref="G32"/>
    </sheetView>
  </sheetViews>
  <sheetFormatPr defaultRowHeight="12.75" x14ac:dyDescent="0.2"/>
  <cols>
    <col min="1" max="1" width="9.140625" style="75"/>
    <col min="3" max="3" width="18.5703125" customWidth="1"/>
    <col min="4" max="4" width="14.7109375" customWidth="1"/>
    <col min="5" max="5" width="27.42578125" customWidth="1"/>
    <col min="6" max="7" width="14.7109375" customWidth="1"/>
    <col min="8" max="11" width="14.7109375" hidden="1" customWidth="1"/>
    <col min="12" max="13" width="14.7109375" customWidth="1"/>
    <col min="16" max="16" width="13.140625" customWidth="1"/>
    <col min="17" max="25" width="0" hidden="1" customWidth="1"/>
  </cols>
  <sheetData>
    <row r="1" spans="1:25" x14ac:dyDescent="0.2">
      <c r="A1" s="75" t="s">
        <v>126</v>
      </c>
      <c r="B1" t="s">
        <v>84</v>
      </c>
    </row>
    <row r="2" spans="1:25" x14ac:dyDescent="0.2">
      <c r="A2" s="75" t="s">
        <v>99</v>
      </c>
      <c r="B2" s="86" t="s">
        <v>164</v>
      </c>
      <c r="C2" s="87" t="str">
        <f>D5</f>
        <v>PROJ</v>
      </c>
      <c r="D2" t="s">
        <v>165</v>
      </c>
    </row>
    <row r="4" spans="1:25" x14ac:dyDescent="0.2">
      <c r="A4" s="75" t="s">
        <v>100</v>
      </c>
      <c r="B4" t="s">
        <v>125</v>
      </c>
    </row>
    <row r="5" spans="1:25" ht="15" x14ac:dyDescent="0.2">
      <c r="C5" s="79" t="s">
        <v>85</v>
      </c>
      <c r="D5" s="79" t="s">
        <v>86</v>
      </c>
      <c r="E5" s="79" t="s">
        <v>87</v>
      </c>
      <c r="F5" s="79" t="s">
        <v>88</v>
      </c>
      <c r="G5" s="79" t="s">
        <v>89</v>
      </c>
      <c r="H5" s="79" t="s">
        <v>90</v>
      </c>
      <c r="I5" s="79" t="s">
        <v>91</v>
      </c>
      <c r="J5" s="79" t="s">
        <v>92</v>
      </c>
      <c r="K5" s="79" t="s">
        <v>93</v>
      </c>
      <c r="L5" s="79" t="s">
        <v>94</v>
      </c>
      <c r="M5" s="79" t="s">
        <v>95</v>
      </c>
    </row>
    <row r="6" spans="1:25" ht="15" x14ac:dyDescent="0.2">
      <c r="B6" s="79" t="s">
        <v>96</v>
      </c>
      <c r="C6" s="2">
        <v>8.243974548392928E-2</v>
      </c>
      <c r="D6" s="2">
        <v>2.5059389155476969E-2</v>
      </c>
      <c r="E6" s="2">
        <v>4.4514701566175298E-2</v>
      </c>
      <c r="F6" s="2">
        <v>7.4387479876040927E-2</v>
      </c>
      <c r="G6" s="2">
        <v>4.0855698186006859E-2</v>
      </c>
      <c r="H6" s="2">
        <v>4.4408546712660119E-2</v>
      </c>
      <c r="I6" s="2">
        <v>4.4200317472269629E-2</v>
      </c>
      <c r="J6" s="2">
        <v>4.0842001590647423E-2</v>
      </c>
      <c r="K6" s="2">
        <v>4.0664590757025748E-2</v>
      </c>
      <c r="L6" s="2">
        <v>0.1133971326952988</v>
      </c>
      <c r="M6" s="2">
        <v>0.67155092666597527</v>
      </c>
    </row>
    <row r="7" spans="1:25" ht="15" x14ac:dyDescent="0.2">
      <c r="B7" s="79" t="s">
        <v>97</v>
      </c>
      <c r="C7" s="2">
        <v>0.10932272153715999</v>
      </c>
      <c r="D7" s="2">
        <v>2.9299316039771161E-2</v>
      </c>
      <c r="E7" s="2">
        <v>6.1654000244165751E-2</v>
      </c>
      <c r="F7" s="2">
        <v>8.869629839785674E-2</v>
      </c>
      <c r="G7" s="2">
        <v>5.3255796737610717E-2</v>
      </c>
      <c r="H7" s="2">
        <v>6.1461407968907887E-2</v>
      </c>
      <c r="I7" s="2">
        <v>6.1087374965881007E-2</v>
      </c>
      <c r="J7" s="2">
        <v>5.3065985550862588E-2</v>
      </c>
      <c r="K7" s="2">
        <v>5.2771255819923438E-2</v>
      </c>
      <c r="L7" s="2">
        <v>0.19553953803655461</v>
      </c>
      <c r="M7" s="2">
        <v>1.686121708883549</v>
      </c>
    </row>
    <row r="8" spans="1:25" ht="15" x14ac:dyDescent="0.2">
      <c r="B8" s="79" t="s">
        <v>98</v>
      </c>
      <c r="C8" s="2">
        <v>-6.649937264742789E-2</v>
      </c>
      <c r="D8" s="2">
        <v>3.2815791360458761E-3</v>
      </c>
      <c r="E8" s="2">
        <v>4.5303483220315849E-4</v>
      </c>
      <c r="F8" s="2">
        <v>-8.2022311847693707E-2</v>
      </c>
      <c r="G8" s="2">
        <v>-3.0140814623514811E-2</v>
      </c>
      <c r="H8" s="2">
        <v>4.5300746588039509E-4</v>
      </c>
      <c r="I8" s="2">
        <v>1.0304973803454411E-4</v>
      </c>
      <c r="J8" s="2">
        <v>-3.0187657775696101E-2</v>
      </c>
      <c r="K8" s="2">
        <v>-3.0609931337902681E-2</v>
      </c>
      <c r="L8" s="2">
        <v>-2.148229069522789E-2</v>
      </c>
      <c r="M8" s="2">
        <v>-2.5201363411801129E-2</v>
      </c>
    </row>
    <row r="10" spans="1:25" ht="15" x14ac:dyDescent="0.2">
      <c r="A10" s="75" t="s">
        <v>101</v>
      </c>
      <c r="B10" s="80" t="s">
        <v>166</v>
      </c>
    </row>
    <row r="12" spans="1:25" x14ac:dyDescent="0.2">
      <c r="A12" s="75" t="s">
        <v>102</v>
      </c>
      <c r="B12" t="s">
        <v>140</v>
      </c>
    </row>
    <row r="13" spans="1:25" ht="15" x14ac:dyDescent="0.2">
      <c r="B13" s="79" t="s">
        <v>127</v>
      </c>
      <c r="C13" s="79" t="s">
        <v>128</v>
      </c>
      <c r="D13" s="79" t="s">
        <v>85</v>
      </c>
      <c r="E13" s="79" t="s">
        <v>86</v>
      </c>
      <c r="F13" s="79" t="s">
        <v>87</v>
      </c>
      <c r="G13" s="79" t="s">
        <v>88</v>
      </c>
      <c r="H13" s="79" t="s">
        <v>89</v>
      </c>
      <c r="I13" s="79" t="s">
        <v>90</v>
      </c>
      <c r="J13" s="79" t="s">
        <v>91</v>
      </c>
      <c r="K13" s="79" t="s">
        <v>92</v>
      </c>
      <c r="L13" s="79" t="s">
        <v>93</v>
      </c>
      <c r="M13" s="79" t="s">
        <v>94</v>
      </c>
      <c r="N13" s="79" t="s">
        <v>95</v>
      </c>
      <c r="O13" s="79" t="s">
        <v>129</v>
      </c>
      <c r="P13" s="79" t="s">
        <v>130</v>
      </c>
      <c r="Q13" s="79" t="s">
        <v>131</v>
      </c>
      <c r="R13" s="79" t="s">
        <v>132</v>
      </c>
      <c r="S13" s="79" t="s">
        <v>133</v>
      </c>
      <c r="T13" s="79" t="s">
        <v>134</v>
      </c>
      <c r="U13" s="79" t="s">
        <v>135</v>
      </c>
      <c r="V13" s="79" t="s">
        <v>136</v>
      </c>
      <c r="W13" s="79" t="s">
        <v>137</v>
      </c>
      <c r="X13" s="79" t="s">
        <v>138</v>
      </c>
      <c r="Y13" s="79" t="s">
        <v>139</v>
      </c>
    </row>
    <row r="14" spans="1:25" x14ac:dyDescent="0.2">
      <c r="B14" t="s">
        <v>42</v>
      </c>
      <c r="C14">
        <v>337.6</v>
      </c>
      <c r="D14">
        <v>322.10000000000002</v>
      </c>
      <c r="E14">
        <v>337.61776300000002</v>
      </c>
    </row>
    <row r="15" spans="1:25" x14ac:dyDescent="0.2">
      <c r="B15" t="s">
        <v>43</v>
      </c>
      <c r="C15">
        <v>360.3</v>
      </c>
      <c r="D15">
        <v>347.5</v>
      </c>
      <c r="E15">
        <v>340.53385200000002</v>
      </c>
    </row>
    <row r="16" spans="1:25" x14ac:dyDescent="0.2">
      <c r="B16" t="s">
        <v>44</v>
      </c>
      <c r="C16">
        <v>368.1</v>
      </c>
      <c r="D16">
        <v>363.6</v>
      </c>
      <c r="E16">
        <v>367.11116600000003</v>
      </c>
    </row>
    <row r="17" spans="2:25" x14ac:dyDescent="0.2">
      <c r="B17" t="s">
        <v>45</v>
      </c>
      <c r="C17">
        <v>419.2</v>
      </c>
      <c r="D17">
        <v>409.3</v>
      </c>
      <c r="E17">
        <v>393.71161799999999</v>
      </c>
    </row>
    <row r="18" spans="2:25" x14ac:dyDescent="0.2">
      <c r="B18" t="s">
        <v>46</v>
      </c>
      <c r="C18">
        <v>407.4</v>
      </c>
      <c r="D18">
        <v>390.9</v>
      </c>
      <c r="E18">
        <v>389.41830599999997</v>
      </c>
    </row>
    <row r="19" spans="2:25" x14ac:dyDescent="0.2">
      <c r="B19" t="s">
        <v>47</v>
      </c>
      <c r="C19">
        <v>428.6</v>
      </c>
      <c r="D19">
        <v>427.1</v>
      </c>
      <c r="E19">
        <v>393.12379499999997</v>
      </c>
    </row>
    <row r="20" spans="2:25" x14ac:dyDescent="0.2">
      <c r="B20" t="s">
        <v>48</v>
      </c>
      <c r="C20">
        <v>450</v>
      </c>
      <c r="D20">
        <v>432</v>
      </c>
      <c r="E20">
        <v>460.920072</v>
      </c>
      <c r="F20">
        <v>508.584231813457</v>
      </c>
      <c r="G20">
        <v>437.52257793632168</v>
      </c>
      <c r="H20">
        <v>451.70963947986252</v>
      </c>
      <c r="I20">
        <v>508.22752404575817</v>
      </c>
      <c r="J20">
        <v>507.19334990658041</v>
      </c>
      <c r="K20">
        <v>451.99775864255213</v>
      </c>
      <c r="L20">
        <v>451.72572676717732</v>
      </c>
      <c r="M20">
        <v>698.21364392237683</v>
      </c>
      <c r="N20">
        <v>2700.237451040739</v>
      </c>
      <c r="O20" s="2">
        <v>-4.0000000000000042E-2</v>
      </c>
      <c r="P20" s="2">
        <v>2.4266826666666571E-2</v>
      </c>
      <c r="Q20" s="2">
        <v>0.1301871818076823</v>
      </c>
      <c r="R20" s="2">
        <v>-2.77276045859518E-2</v>
      </c>
      <c r="S20" s="2">
        <v>3.799198844138818E-3</v>
      </c>
      <c r="T20" s="2">
        <v>0.12939449787946281</v>
      </c>
      <c r="U20" s="2">
        <v>0.12709633312573421</v>
      </c>
      <c r="V20" s="2">
        <v>4.4394636501157159E-3</v>
      </c>
      <c r="W20" s="2">
        <v>3.8349483715049981E-3</v>
      </c>
      <c r="X20" s="2">
        <v>0.55158587538305959</v>
      </c>
      <c r="Y20" s="2">
        <v>5.0005276689794202</v>
      </c>
    </row>
    <row r="21" spans="2:25" x14ac:dyDescent="0.2">
      <c r="B21" t="s">
        <v>49</v>
      </c>
      <c r="C21">
        <v>503.7</v>
      </c>
      <c r="D21">
        <v>497.7</v>
      </c>
      <c r="E21">
        <v>510.99339300000003</v>
      </c>
      <c r="F21">
        <v>511.73538516144919</v>
      </c>
      <c r="G21">
        <v>505.94931217430002</v>
      </c>
      <c r="H21">
        <v>512.36794418831698</v>
      </c>
      <c r="I21">
        <v>511.62468841465852</v>
      </c>
      <c r="J21">
        <v>510.8798380788287</v>
      </c>
      <c r="K21">
        <v>512.33803386207819</v>
      </c>
      <c r="L21">
        <v>511.95080577485129</v>
      </c>
      <c r="M21">
        <v>441.07426660151492</v>
      </c>
      <c r="N21">
        <v>124.17855788012091</v>
      </c>
      <c r="O21" s="2">
        <v>-1.19118522930316E-2</v>
      </c>
      <c r="P21" s="2">
        <v>1.447963668850516E-2</v>
      </c>
      <c r="Q21" s="2">
        <v>1.5952720193466829E-2</v>
      </c>
      <c r="R21" s="2">
        <v>4.4655790635299564E-3</v>
      </c>
      <c r="S21" s="2">
        <v>1.7208545142578972E-2</v>
      </c>
      <c r="T21" s="2">
        <v>1.573295297728516E-2</v>
      </c>
      <c r="U21" s="2">
        <v>1.425419511381509E-2</v>
      </c>
      <c r="V21" s="2">
        <v>1.714916391121335E-2</v>
      </c>
      <c r="W21" s="2">
        <v>1.638039661475332E-2</v>
      </c>
      <c r="X21" s="2">
        <v>-0.1243314143309214</v>
      </c>
      <c r="Y21" s="2">
        <v>-0.7534672267617214</v>
      </c>
    </row>
    <row r="22" spans="2:25" x14ac:dyDescent="0.2">
      <c r="B22" t="s">
        <v>50</v>
      </c>
      <c r="C22">
        <v>444.4</v>
      </c>
      <c r="D22">
        <v>451.8</v>
      </c>
      <c r="E22">
        <v>458.79985799999997</v>
      </c>
      <c r="F22">
        <v>461.24776615254632</v>
      </c>
      <c r="G22">
        <v>460.43752492698559</v>
      </c>
      <c r="H22">
        <v>461.58618481396502</v>
      </c>
      <c r="I22">
        <v>461.22681797457602</v>
      </c>
      <c r="J22">
        <v>461.05511676007512</v>
      </c>
      <c r="K22">
        <v>461.58048099675841</v>
      </c>
      <c r="L22">
        <v>461.49373469488341</v>
      </c>
      <c r="M22">
        <v>466.88882541837461</v>
      </c>
      <c r="N22">
        <v>453.42254226535528</v>
      </c>
      <c r="O22" s="2">
        <v>1.665166516651673E-2</v>
      </c>
      <c r="P22" s="2">
        <v>3.2402920792079293E-2</v>
      </c>
      <c r="Q22" s="2">
        <v>3.7911264969726188E-2</v>
      </c>
      <c r="R22" s="2">
        <v>3.6088039889706769E-2</v>
      </c>
      <c r="S22" s="2">
        <v>3.8672783109732212E-2</v>
      </c>
      <c r="T22" s="2">
        <v>3.7864126855481572E-2</v>
      </c>
      <c r="U22" s="2">
        <v>3.7477760486217537E-2</v>
      </c>
      <c r="V22" s="2">
        <v>3.8659948237530051E-2</v>
      </c>
      <c r="W22" s="2">
        <v>3.8464749538441589E-2</v>
      </c>
      <c r="X22" s="2">
        <v>5.060491768311115E-2</v>
      </c>
      <c r="Y22" s="2">
        <v>2.0302750372086731E-2</v>
      </c>
    </row>
    <row r="23" spans="2:25" x14ac:dyDescent="0.2">
      <c r="B23" t="s">
        <v>51</v>
      </c>
      <c r="C23">
        <v>315.60000000000002</v>
      </c>
      <c r="D23">
        <v>243.7</v>
      </c>
      <c r="E23">
        <v>330.68920200000002</v>
      </c>
      <c r="F23">
        <v>350.29193118716989</v>
      </c>
      <c r="G23">
        <v>263.25507100506712</v>
      </c>
      <c r="H23">
        <v>277.37068641105168</v>
      </c>
      <c r="I23">
        <v>350.29195370678372</v>
      </c>
      <c r="J23">
        <v>350.534050217497</v>
      </c>
      <c r="K23">
        <v>277.62495813268549</v>
      </c>
      <c r="L23">
        <v>278.02376025558237</v>
      </c>
      <c r="M23">
        <v>341.63002227724479</v>
      </c>
      <c r="N23">
        <v>327.66493900928481</v>
      </c>
      <c r="O23" s="2">
        <v>-0.22782002534854251</v>
      </c>
      <c r="P23" s="2">
        <v>4.7811159695817507E-2</v>
      </c>
      <c r="Q23" s="2">
        <v>0.1099237363345054</v>
      </c>
      <c r="R23" s="2">
        <v>-0.16585845689142251</v>
      </c>
      <c r="S23" s="2">
        <v>-0.1211321723350708</v>
      </c>
      <c r="T23" s="2">
        <v>0.1099238076894284</v>
      </c>
      <c r="U23" s="2">
        <v>0.11069090689954671</v>
      </c>
      <c r="V23" s="2">
        <v>-0.120326495143582</v>
      </c>
      <c r="W23" s="2">
        <v>-0.11906286357546771</v>
      </c>
      <c r="X23" s="2">
        <v>8.2477890612309146E-2</v>
      </c>
      <c r="Y23" s="2">
        <v>3.8228577342473979E-2</v>
      </c>
    </row>
    <row r="24" spans="2:25" x14ac:dyDescent="0.2">
      <c r="B24" t="s">
        <v>52</v>
      </c>
      <c r="C24">
        <v>467</v>
      </c>
      <c r="D24">
        <v>420</v>
      </c>
      <c r="E24">
        <v>449.26754899999997</v>
      </c>
      <c r="F24">
        <v>449.84573879467439</v>
      </c>
      <c r="G24">
        <v>427.75357633070018</v>
      </c>
      <c r="H24">
        <v>438.80149229202931</v>
      </c>
      <c r="I24">
        <v>449.83169767133609</v>
      </c>
      <c r="J24">
        <v>449.69128710791819</v>
      </c>
      <c r="K24">
        <v>438.79622453270508</v>
      </c>
      <c r="L24">
        <v>438.80217720236618</v>
      </c>
      <c r="M24">
        <v>456.96777024532861</v>
      </c>
      <c r="N24">
        <v>443.25300419216092</v>
      </c>
      <c r="O24" s="2">
        <v>-0.1006423982869379</v>
      </c>
      <c r="P24" s="2">
        <v>-3.7970987152034293E-2</v>
      </c>
      <c r="Q24" s="2">
        <v>-3.6732893373288111E-2</v>
      </c>
      <c r="R24" s="2">
        <v>-8.403945111199107E-2</v>
      </c>
      <c r="S24" s="2">
        <v>-6.0382243486018727E-2</v>
      </c>
      <c r="T24" s="2">
        <v>-3.6762960018552282E-2</v>
      </c>
      <c r="U24" s="2">
        <v>-3.7063625036577667E-2</v>
      </c>
      <c r="V24" s="2">
        <v>-6.039352348457161E-2</v>
      </c>
      <c r="W24" s="2">
        <v>-6.0380776868594777E-2</v>
      </c>
      <c r="X24" s="2">
        <v>-2.148229069522789E-2</v>
      </c>
      <c r="Y24" s="2">
        <v>-5.0850098089591178E-2</v>
      </c>
    </row>
    <row r="25" spans="2:25" x14ac:dyDescent="0.2">
      <c r="B25" t="s">
        <v>53</v>
      </c>
      <c r="C25">
        <v>557.9</v>
      </c>
      <c r="D25">
        <v>520.79999999999995</v>
      </c>
      <c r="E25">
        <v>559.73079299999995</v>
      </c>
      <c r="F25">
        <v>555.38509159146713</v>
      </c>
      <c r="G25">
        <v>512.13975222017166</v>
      </c>
      <c r="H25">
        <v>541.08443952154107</v>
      </c>
      <c r="I25">
        <v>555.34378974874789</v>
      </c>
      <c r="J25">
        <v>554.8974170466804</v>
      </c>
      <c r="K25">
        <v>541.05830572693912</v>
      </c>
      <c r="L25">
        <v>540.82271930658408</v>
      </c>
      <c r="M25">
        <v>499.64035252142259</v>
      </c>
      <c r="N25">
        <v>598.29289271372363</v>
      </c>
      <c r="O25" s="2">
        <v>-6.649937264742789E-2</v>
      </c>
      <c r="P25" s="2">
        <v>3.2815791360458761E-3</v>
      </c>
      <c r="Q25" s="2">
        <v>-4.5078121680101058E-3</v>
      </c>
      <c r="R25" s="2">
        <v>-8.2022311847693707E-2</v>
      </c>
      <c r="S25" s="2">
        <v>-3.0140814623514811E-2</v>
      </c>
      <c r="T25" s="2">
        <v>-4.581843074479397E-3</v>
      </c>
      <c r="U25" s="2">
        <v>-5.3819375395582902E-3</v>
      </c>
      <c r="V25" s="2">
        <v>-3.0187657775696101E-2</v>
      </c>
      <c r="W25" s="2">
        <v>-3.0609931337902681E-2</v>
      </c>
      <c r="X25" s="2">
        <v>-0.1044266848513664</v>
      </c>
      <c r="Y25" s="2">
        <v>7.2401671829581682E-2</v>
      </c>
    </row>
    <row r="26" spans="2:25" x14ac:dyDescent="0.2">
      <c r="B26" t="s">
        <v>54</v>
      </c>
      <c r="C26">
        <v>500.8</v>
      </c>
      <c r="D26">
        <v>437.5</v>
      </c>
      <c r="E26">
        <v>500.60626600000001</v>
      </c>
      <c r="F26">
        <v>501.02687984396732</v>
      </c>
      <c r="G26">
        <v>452.72166924117442</v>
      </c>
      <c r="H26">
        <v>483.52725992483289</v>
      </c>
      <c r="I26">
        <v>501.02686613891302</v>
      </c>
      <c r="J26">
        <v>500.85160730880767</v>
      </c>
      <c r="K26">
        <v>483.51142932166618</v>
      </c>
      <c r="L26">
        <v>483.51754001293023</v>
      </c>
      <c r="M26">
        <v>502.08756030187931</v>
      </c>
      <c r="N26">
        <v>486.03895712974742</v>
      </c>
      <c r="O26" s="2">
        <v>-0.12639776357827481</v>
      </c>
      <c r="P26" s="2">
        <v>-3.8684904153352129E-4</v>
      </c>
      <c r="Q26" s="2">
        <v>4.5303483220315849E-4</v>
      </c>
      <c r="R26" s="2">
        <v>-9.6003056627048E-2</v>
      </c>
      <c r="S26" s="2">
        <v>-3.4490295677250482E-2</v>
      </c>
      <c r="T26" s="2">
        <v>4.5300746588039509E-4</v>
      </c>
      <c r="U26" s="2">
        <v>1.0304973803454411E-4</v>
      </c>
      <c r="V26" s="2">
        <v>-3.4521906306577137E-2</v>
      </c>
      <c r="W26" s="2">
        <v>-3.4509704447024392E-2</v>
      </c>
      <c r="X26" s="2">
        <v>2.571006992570402E-3</v>
      </c>
      <c r="Y26" s="2">
        <v>-2.94749258591307E-2</v>
      </c>
    </row>
    <row r="27" spans="2:25" x14ac:dyDescent="0.2">
      <c r="B27" t="s">
        <v>55</v>
      </c>
      <c r="C27">
        <v>577.5</v>
      </c>
      <c r="D27">
        <v>489.7</v>
      </c>
      <c r="E27">
        <v>561.01246700000002</v>
      </c>
      <c r="F27">
        <v>557.63933506924786</v>
      </c>
      <c r="G27">
        <v>504.42667558312218</v>
      </c>
      <c r="H27">
        <v>544.41924007146395</v>
      </c>
      <c r="I27">
        <v>557.6393152666592</v>
      </c>
      <c r="J27">
        <v>557.3603631508679</v>
      </c>
      <c r="K27">
        <v>544.39694526513949</v>
      </c>
      <c r="L27">
        <v>544.19841042015639</v>
      </c>
      <c r="M27">
        <v>547.34986522280803</v>
      </c>
      <c r="N27">
        <v>562.94621262968485</v>
      </c>
      <c r="O27" s="2">
        <v>-0.15203463203463211</v>
      </c>
      <c r="P27" s="2">
        <v>-2.854984069264066E-2</v>
      </c>
      <c r="Q27" s="2">
        <v>-3.4390761784852231E-2</v>
      </c>
      <c r="R27" s="2">
        <v>-0.12653389509416069</v>
      </c>
      <c r="S27" s="2">
        <v>-5.7282701174954147E-2</v>
      </c>
      <c r="T27" s="2">
        <v>-3.4390796075049017E-2</v>
      </c>
      <c r="U27" s="2">
        <v>-3.4873830041787228E-2</v>
      </c>
      <c r="V27" s="2">
        <v>-5.7321306900191327E-2</v>
      </c>
      <c r="W27" s="2">
        <v>-5.7665090181547418E-2</v>
      </c>
      <c r="X27" s="2">
        <v>-5.2208025588211249E-2</v>
      </c>
      <c r="Y27" s="2">
        <v>-2.5201363411801129E-2</v>
      </c>
    </row>
    <row r="28" spans="2:25" x14ac:dyDescent="0.2">
      <c r="B28" t="s">
        <v>71</v>
      </c>
      <c r="C28">
        <v>544.6</v>
      </c>
      <c r="D28">
        <v>544.6</v>
      </c>
      <c r="E28">
        <v>524.78489100000002</v>
      </c>
      <c r="F28">
        <v>527.94999395909804</v>
      </c>
      <c r="G28">
        <v>570.05946388670168</v>
      </c>
      <c r="H28">
        <v>542.09890855367485</v>
      </c>
      <c r="I28">
        <v>527.94998320516584</v>
      </c>
      <c r="J28">
        <v>527.79297998601805</v>
      </c>
      <c r="K28">
        <v>542.10652226560205</v>
      </c>
      <c r="L28">
        <v>541.83732268884398</v>
      </c>
      <c r="M28">
        <v>527.77943640935143</v>
      </c>
      <c r="N28">
        <v>515.46169036829542</v>
      </c>
      <c r="O28" s="2">
        <v>0</v>
      </c>
      <c r="P28" s="2">
        <v>-3.6384702533969901E-2</v>
      </c>
      <c r="Q28" s="2">
        <v>-3.057290863184348E-2</v>
      </c>
      <c r="R28" s="2">
        <v>4.6748923772863771E-2</v>
      </c>
      <c r="S28" s="2">
        <v>-4.5925292808027818E-3</v>
      </c>
      <c r="T28" s="2">
        <v>-3.057292837832204E-2</v>
      </c>
      <c r="U28" s="2">
        <v>-3.0861219269155301E-2</v>
      </c>
      <c r="V28" s="2">
        <v>-4.5785489063495666E-3</v>
      </c>
      <c r="W28" s="2">
        <v>-5.0728558779948862E-3</v>
      </c>
      <c r="X28" s="2">
        <v>-3.088608812091187E-2</v>
      </c>
      <c r="Y28" s="2">
        <v>-5.3504057347970257E-2</v>
      </c>
    </row>
    <row r="29" spans="2:25" x14ac:dyDescent="0.2">
      <c r="B29" s="125" t="s">
        <v>150</v>
      </c>
      <c r="C29" s="125"/>
      <c r="D29" s="125"/>
      <c r="E29">
        <f t="shared" ref="E29:E34" si="0">E$28/(1+P29)</f>
        <v>523.6822638215798</v>
      </c>
      <c r="L29" s="125" t="s">
        <v>143</v>
      </c>
      <c r="M29" s="125"/>
      <c r="N29" s="125"/>
      <c r="O29" s="125"/>
      <c r="P29" s="1">
        <f>AVERAGE(P20:P28)</f>
        <v>2.1055270621040045E-3</v>
      </c>
    </row>
    <row r="30" spans="2:25" x14ac:dyDescent="0.2">
      <c r="B30" s="174" t="s">
        <v>151</v>
      </c>
      <c r="C30" s="174"/>
      <c r="D30" s="174"/>
      <c r="E30">
        <f t="shared" si="0"/>
        <v>523.06840064970311</v>
      </c>
      <c r="L30" s="174" t="s">
        <v>145</v>
      </c>
      <c r="M30" s="174"/>
      <c r="N30" s="174"/>
      <c r="O30" s="174"/>
      <c r="P30" s="1">
        <f>MEDIAN(P20:P28)</f>
        <v>3.2815791360458761E-3</v>
      </c>
    </row>
    <row r="31" spans="2:25" x14ac:dyDescent="0.2">
      <c r="B31" s="175" t="s">
        <v>152</v>
      </c>
      <c r="C31" s="175"/>
      <c r="D31" s="175"/>
      <c r="E31">
        <f t="shared" si="0"/>
        <v>542.83997320229912</v>
      </c>
      <c r="F31">
        <f>E28/(1+P24)</f>
        <v>545.49798809751121</v>
      </c>
      <c r="G31">
        <f>$E$28/(1+'2. Past Proj &amp; Candidate Model'!G41)</f>
        <v>537.49681946794226</v>
      </c>
      <c r="L31" s="175" t="s">
        <v>144</v>
      </c>
      <c r="M31" s="175"/>
      <c r="N31" s="175"/>
      <c r="O31" s="175"/>
      <c r="P31" s="1">
        <f>AVERAGE(P24,P27)</f>
        <v>-3.3260413922337473E-2</v>
      </c>
    </row>
    <row r="32" spans="2:25" x14ac:dyDescent="0.2">
      <c r="B32" s="177" t="s">
        <v>153</v>
      </c>
      <c r="C32" s="177"/>
      <c r="D32" s="177"/>
      <c r="E32">
        <f t="shared" si="0"/>
        <v>542.83997320229912</v>
      </c>
      <c r="G32" s="112">
        <f>$E$28/(1+'2. Past Proj &amp; Candidate Model'!G42)</f>
        <v>549.87546522955324</v>
      </c>
      <c r="L32" s="177" t="s">
        <v>146</v>
      </c>
      <c r="M32" s="177"/>
      <c r="N32" s="177"/>
      <c r="O32" s="177"/>
      <c r="P32" s="1">
        <f>MEDIAN(P24,P27)</f>
        <v>-3.3260413922337473E-2</v>
      </c>
    </row>
    <row r="33" spans="1:16" x14ac:dyDescent="0.2">
      <c r="B33" s="178" t="s">
        <v>154</v>
      </c>
      <c r="C33" s="178"/>
      <c r="D33" s="178"/>
      <c r="E33">
        <f t="shared" si="0"/>
        <v>512.260918559218</v>
      </c>
      <c r="L33" s="178" t="s">
        <v>147</v>
      </c>
      <c r="M33" s="178"/>
      <c r="N33" s="178"/>
      <c r="O33" s="178"/>
      <c r="P33" s="1">
        <f>AVERAGE(P25,P20:P23)</f>
        <v>2.444842459582288E-2</v>
      </c>
    </row>
    <row r="34" spans="1:16" x14ac:dyDescent="0.2">
      <c r="B34" s="176" t="s">
        <v>155</v>
      </c>
      <c r="C34" s="176"/>
      <c r="D34" s="176"/>
      <c r="E34">
        <f t="shared" si="0"/>
        <v>512.35174012990262</v>
      </c>
      <c r="L34" s="176" t="s">
        <v>148</v>
      </c>
      <c r="M34" s="176"/>
      <c r="N34" s="176"/>
      <c r="O34" s="176"/>
      <c r="P34" s="1">
        <f>MEDIAN(P25,P20:P23)</f>
        <v>2.4266826666666571E-2</v>
      </c>
    </row>
    <row r="37" spans="1:16" x14ac:dyDescent="0.2">
      <c r="A37" s="75" t="s">
        <v>103</v>
      </c>
      <c r="B37" t="s">
        <v>156</v>
      </c>
    </row>
    <row r="38" spans="1:16" x14ac:dyDescent="0.2">
      <c r="B38" t="s">
        <v>157</v>
      </c>
    </row>
    <row r="44" spans="1:16" x14ac:dyDescent="0.2">
      <c r="A44" s="75" t="s">
        <v>105</v>
      </c>
      <c r="B44" s="88" t="s">
        <v>158</v>
      </c>
      <c r="C44" s="89">
        <f>G31</f>
        <v>537.49681946794226</v>
      </c>
      <c r="D44" t="s">
        <v>176</v>
      </c>
    </row>
    <row r="46" spans="1:16" x14ac:dyDescent="0.2">
      <c r="B46" s="179" t="s">
        <v>168</v>
      </c>
      <c r="C46" s="179"/>
      <c r="D46" s="2">
        <f>C44/D28-1</f>
        <v>-1.3042931568229443E-2</v>
      </c>
    </row>
    <row r="47" spans="1:16" x14ac:dyDescent="0.2">
      <c r="B47" s="164" t="s">
        <v>167</v>
      </c>
      <c r="C47" s="164"/>
      <c r="D47" s="2">
        <f>'1. Data &amp; Confidence Interval'!R25</f>
        <v>-1.6378928729526399E-2</v>
      </c>
    </row>
    <row r="50" spans="2:8" x14ac:dyDescent="0.2">
      <c r="B50" s="151" t="s">
        <v>178</v>
      </c>
      <c r="C50" s="152"/>
      <c r="D50" s="64" t="s">
        <v>31</v>
      </c>
      <c r="E50" s="64" t="s">
        <v>32</v>
      </c>
      <c r="F50" s="4" t="s">
        <v>39</v>
      </c>
      <c r="G50" s="153" t="s">
        <v>177</v>
      </c>
      <c r="H50" s="154"/>
    </row>
    <row r="51" spans="2:8" x14ac:dyDescent="0.2">
      <c r="B51" s="62" t="s">
        <v>37</v>
      </c>
      <c r="C51" s="63"/>
      <c r="D51" s="65">
        <f>'1. Data &amp; Confidence Interval'!M2</f>
        <v>493.66087875311541</v>
      </c>
      <c r="E51" s="65">
        <f>'1. Data &amp; Confidence Interval'!N2</f>
        <v>582.64645251908757</v>
      </c>
      <c r="F51" s="68">
        <f>AVERAGE(D51:E51)</f>
        <v>538.15366563610155</v>
      </c>
      <c r="G51" s="155">
        <f>F51/$D$28-1</f>
        <v>-1.183682402478603E-2</v>
      </c>
      <c r="H51" s="156"/>
    </row>
    <row r="52" spans="2:8" x14ac:dyDescent="0.2">
      <c r="B52" s="47" t="s">
        <v>38</v>
      </c>
      <c r="C52" s="20"/>
      <c r="D52" s="65">
        <f>'1. Data &amp; Confidence Interval'!M3</f>
        <v>503.45573745853443</v>
      </c>
      <c r="E52" s="65">
        <f>'1. Data &amp; Confidence Interval'!N3</f>
        <v>594.2068980055775</v>
      </c>
      <c r="F52" s="69">
        <f>AVERAGE(D52:E52)</f>
        <v>548.83131773205594</v>
      </c>
      <c r="G52" s="155">
        <f>F52/$D$28-1</f>
        <v>7.7695881969443992E-3</v>
      </c>
      <c r="H52" s="156"/>
    </row>
    <row r="53" spans="2:8" x14ac:dyDescent="0.2">
      <c r="E53" s="4" t="s">
        <v>40</v>
      </c>
      <c r="F53" s="69">
        <f>AVERAGE(F51:F52)</f>
        <v>543.49249168407869</v>
      </c>
      <c r="G53" s="155">
        <f>F53/$D$28-1</f>
        <v>-2.033617913920871E-3</v>
      </c>
      <c r="H53" s="156"/>
    </row>
    <row r="54" spans="2:8" x14ac:dyDescent="0.2">
      <c r="E54" s="86"/>
    </row>
  </sheetData>
  <mergeCells count="19">
    <mergeCell ref="B50:C50"/>
    <mergeCell ref="G50:H50"/>
    <mergeCell ref="G51:H51"/>
    <mergeCell ref="G52:H52"/>
    <mergeCell ref="G53:H53"/>
    <mergeCell ref="B47:C47"/>
    <mergeCell ref="B46:C46"/>
    <mergeCell ref="B29:D29"/>
    <mergeCell ref="B30:D30"/>
    <mergeCell ref="B31:D31"/>
    <mergeCell ref="B32:D32"/>
    <mergeCell ref="B33:D33"/>
    <mergeCell ref="B34:D34"/>
    <mergeCell ref="L34:O34"/>
    <mergeCell ref="L29:O29"/>
    <mergeCell ref="L30:O30"/>
    <mergeCell ref="L31:O31"/>
    <mergeCell ref="L32:O32"/>
    <mergeCell ref="L33:O33"/>
  </mergeCells>
  <conditionalFormatting sqref="P29:P3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2021-10-25T14:03:35Z</dcterms:modified>
</cp:coreProperties>
</file>