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KIDS\"/>
    </mc:Choice>
  </mc:AlternateContent>
  <xr:revisionPtr revIDLastSave="0" documentId="13_ncr:1_{D0BFD860-56B3-425C-A808-9ED7B3D69A4C}" xr6:coauthVersionLast="46" xr6:coauthVersionMax="46" xr10:uidLastSave="{00000000-0000-0000-0000-000000000000}"/>
  <bookViews>
    <workbookView xWindow="390" yWindow="390" windowWidth="21600" windowHeight="11385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4" i="1" l="1"/>
  <c r="AK25" i="1"/>
  <c r="AK24" i="1"/>
  <c r="C46" i="4" l="1"/>
  <c r="V36" i="4"/>
  <c r="K36" i="4" s="1"/>
  <c r="V35" i="4"/>
  <c r="K35" i="4" s="1"/>
  <c r="V34" i="4"/>
  <c r="K34" i="4" s="1"/>
  <c r="V33" i="4"/>
  <c r="K33" i="4" s="1"/>
  <c r="V32" i="4"/>
  <c r="K32" i="4" s="1"/>
  <c r="V31" i="4"/>
  <c r="K31" i="4" s="1"/>
  <c r="R22" i="2"/>
  <c r="E43" i="2" a="1"/>
  <c r="E43" i="2" s="1"/>
  <c r="G43" i="2" a="1"/>
  <c r="G43" i="2" s="1"/>
  <c r="K22" i="2"/>
  <c r="L22" i="2"/>
  <c r="M22" i="2"/>
  <c r="N22" i="2"/>
  <c r="O22" i="2"/>
  <c r="P22" i="2"/>
  <c r="K8" i="2"/>
  <c r="L8" i="2"/>
  <c r="M8" i="2"/>
  <c r="N8" i="2"/>
  <c r="O8" i="2"/>
  <c r="P8" i="2"/>
  <c r="K9" i="2"/>
  <c r="Q9" i="2" s="1"/>
  <c r="L9" i="2"/>
  <c r="M9" i="2"/>
  <c r="N9" i="2"/>
  <c r="O9" i="2"/>
  <c r="P9" i="2"/>
  <c r="K10" i="2"/>
  <c r="L10" i="2"/>
  <c r="M10" i="2"/>
  <c r="N10" i="2"/>
  <c r="O10" i="2"/>
  <c r="P10" i="2"/>
  <c r="K11" i="2"/>
  <c r="Q11" i="2" s="1"/>
  <c r="L11" i="2"/>
  <c r="M11" i="2"/>
  <c r="N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Q14" i="2"/>
  <c r="K15" i="2"/>
  <c r="L15" i="2"/>
  <c r="M15" i="2"/>
  <c r="N15" i="2"/>
  <c r="O15" i="2"/>
  <c r="P15" i="2"/>
  <c r="K16" i="2"/>
  <c r="Q16" i="2" s="1"/>
  <c r="L16" i="2"/>
  <c r="M16" i="2"/>
  <c r="N16" i="2"/>
  <c r="O16" i="2"/>
  <c r="P16" i="2"/>
  <c r="K17" i="2"/>
  <c r="Q17" i="2" s="1"/>
  <c r="L17" i="2"/>
  <c r="M17" i="2"/>
  <c r="N17" i="2"/>
  <c r="O17" i="2"/>
  <c r="P17" i="2"/>
  <c r="K18" i="2"/>
  <c r="L18" i="2"/>
  <c r="M18" i="2"/>
  <c r="N18" i="2"/>
  <c r="O18" i="2"/>
  <c r="P18" i="2"/>
  <c r="Q18" i="2"/>
  <c r="K19" i="2"/>
  <c r="L19" i="2"/>
  <c r="M19" i="2"/>
  <c r="N19" i="2"/>
  <c r="O19" i="2"/>
  <c r="P19" i="2"/>
  <c r="K20" i="2"/>
  <c r="L20" i="2"/>
  <c r="M20" i="2"/>
  <c r="N20" i="2"/>
  <c r="O20" i="2"/>
  <c r="P20" i="2"/>
  <c r="K21" i="2"/>
  <c r="L21" i="2"/>
  <c r="Q21" i="2" s="1"/>
  <c r="M21" i="2"/>
  <c r="N21" i="2"/>
  <c r="O21" i="2"/>
  <c r="P21" i="2"/>
  <c r="L7" i="2"/>
  <c r="M7" i="2"/>
  <c r="N7" i="2"/>
  <c r="O7" i="2"/>
  <c r="P7" i="2"/>
  <c r="K7" i="2"/>
  <c r="Q7" i="2" s="1"/>
  <c r="AK23" i="1"/>
  <c r="AK22" i="1"/>
  <c r="AK21" i="1"/>
  <c r="AK20" i="1"/>
  <c r="AJ17" i="1"/>
  <c r="AI17" i="1"/>
  <c r="AH17" i="1"/>
  <c r="AG17" i="1"/>
  <c r="AF17" i="1"/>
  <c r="AE17" i="1"/>
  <c r="AD17" i="1"/>
  <c r="AC17" i="1"/>
  <c r="AB17" i="1"/>
  <c r="AA17" i="1"/>
  <c r="Z17" i="1"/>
  <c r="Q13" i="2" l="1"/>
  <c r="Q20" i="2"/>
  <c r="Q15" i="2"/>
  <c r="Q12" i="2"/>
  <c r="Q10" i="2"/>
  <c r="Q19" i="2"/>
  <c r="Q8" i="2"/>
  <c r="Q22" i="2"/>
  <c r="Y17" i="1"/>
  <c r="W25" i="1" l="1"/>
  <c r="T25" i="1"/>
  <c r="W24" i="1"/>
  <c r="T24" i="1"/>
  <c r="T20" i="1"/>
  <c r="T22" i="1"/>
  <c r="E42" i="2"/>
  <c r="E41" i="2"/>
  <c r="E40" i="2"/>
  <c r="E39" i="2"/>
  <c r="E37" i="2"/>
  <c r="E36" i="2"/>
  <c r="E35" i="2"/>
  <c r="E34" i="2"/>
  <c r="E33" i="2"/>
  <c r="E32" i="2"/>
  <c r="E31" i="2"/>
  <c r="E30" i="2"/>
  <c r="E29" i="2"/>
  <c r="E28" i="2"/>
  <c r="E27" i="2"/>
  <c r="A27" i="2"/>
  <c r="B27" i="2"/>
  <c r="C27" i="2"/>
  <c r="D27" i="2"/>
  <c r="F27" i="2"/>
  <c r="G27" i="2"/>
  <c r="H27" i="2"/>
  <c r="I27" i="2"/>
  <c r="J27" i="2"/>
  <c r="R27" i="2"/>
  <c r="A28" i="2"/>
  <c r="B28" i="2"/>
  <c r="C28" i="2"/>
  <c r="D28" i="2"/>
  <c r="F28" i="2"/>
  <c r="G28" i="2"/>
  <c r="H28" i="2"/>
  <c r="I28" i="2"/>
  <c r="J28" i="2"/>
  <c r="L28" i="2"/>
  <c r="R28" i="2"/>
  <c r="A29" i="2"/>
  <c r="B29" i="2"/>
  <c r="C29" i="2"/>
  <c r="D29" i="2"/>
  <c r="F29" i="2"/>
  <c r="G29" i="2"/>
  <c r="H29" i="2"/>
  <c r="I29" i="2"/>
  <c r="J29" i="2"/>
  <c r="K29" i="2"/>
  <c r="M29" i="2"/>
  <c r="N29" i="2"/>
  <c r="O29" i="2"/>
  <c r="P29" i="2"/>
  <c r="Q29" i="2"/>
  <c r="R29" i="2"/>
  <c r="R23" i="2"/>
  <c r="J23" i="2"/>
  <c r="I23" i="2"/>
  <c r="H23" i="2"/>
  <c r="G23" i="2"/>
  <c r="F23" i="2"/>
  <c r="E23" i="2"/>
  <c r="L29" i="2"/>
  <c r="P23" i="2"/>
  <c r="AI20" i="1"/>
  <c r="J38" i="2"/>
  <c r="J41" i="2"/>
  <c r="C2" i="4"/>
  <c r="J40" i="2"/>
  <c r="J39" i="2"/>
  <c r="G39" i="2"/>
  <c r="H38" i="2"/>
  <c r="H39" i="2"/>
  <c r="G42" i="2"/>
  <c r="G41" i="2"/>
  <c r="G40" i="2"/>
  <c r="G38" i="2"/>
  <c r="G36" i="2"/>
  <c r="G35" i="2"/>
  <c r="E38" i="2"/>
  <c r="AJ18" i="1"/>
  <c r="AK18" i="1"/>
  <c r="J17" i="1"/>
  <c r="R17" i="1"/>
  <c r="Q17" i="1"/>
  <c r="P17" i="1"/>
  <c r="O17" i="1"/>
  <c r="M18" i="1"/>
  <c r="L18" i="1"/>
  <c r="J18" i="1"/>
  <c r="AK26" i="1" l="1"/>
  <c r="E44" i="2" a="1"/>
  <c r="E44" i="2" s="1"/>
  <c r="G46" i="2"/>
  <c r="K23" i="2"/>
  <c r="K28" i="2"/>
  <c r="O23" i="2"/>
  <c r="N23" i="2"/>
  <c r="L23" i="2"/>
  <c r="M23" i="2"/>
  <c r="P28" i="2"/>
  <c r="N28" i="2"/>
  <c r="O28" i="2"/>
  <c r="M28" i="2"/>
  <c r="AJ13" i="1"/>
  <c r="AJ10" i="1" s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Q30" i="2"/>
  <c r="P30" i="2"/>
  <c r="O30" i="2"/>
  <c r="N30" i="2"/>
  <c r="M30" i="2"/>
  <c r="L30" i="2"/>
  <c r="K30" i="2"/>
  <c r="R30" i="2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AI18" i="1"/>
  <c r="AH18" i="1"/>
  <c r="S18" i="1"/>
  <c r="R18" i="1"/>
  <c r="Q18" i="1"/>
  <c r="P18" i="1"/>
  <c r="O18" i="1"/>
  <c r="N18" i="1"/>
  <c r="K18" i="1"/>
  <c r="L17" i="1"/>
  <c r="K17" i="1"/>
  <c r="J30" i="2"/>
  <c r="I30" i="2"/>
  <c r="H30" i="2"/>
  <c r="G30" i="2"/>
  <c r="F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B30" i="2"/>
  <c r="C30" i="2"/>
  <c r="D30" i="2"/>
  <c r="A30" i="2"/>
  <c r="I24" i="3"/>
  <c r="E24" i="3"/>
  <c r="L10" i="1" l="1"/>
  <c r="Q23" i="2"/>
  <c r="Q28" i="2"/>
  <c r="C7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F20" i="3"/>
  <c r="D49" i="4" l="1"/>
  <c r="B7" i="1"/>
  <c r="R42" i="2"/>
  <c r="R41" i="2"/>
  <c r="R40" i="2"/>
  <c r="R38" i="2"/>
  <c r="R37" i="2"/>
  <c r="R36" i="2"/>
  <c r="R35" i="2"/>
  <c r="R34" i="2"/>
  <c r="R33" i="2"/>
  <c r="R32" i="2"/>
  <c r="R31" i="2"/>
  <c r="M2" i="1" l="1"/>
  <c r="N2" i="1"/>
  <c r="N3" i="1"/>
  <c r="M3" i="1"/>
  <c r="H20" i="3"/>
  <c r="O2" i="1" l="1"/>
  <c r="P2" i="1" s="1"/>
  <c r="O3" i="1"/>
  <c r="P3" i="1" s="1"/>
  <c r="R39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F31" i="2"/>
  <c r="G31" i="2"/>
  <c r="H31" i="2"/>
  <c r="I31" i="2"/>
  <c r="J31" i="2"/>
  <c r="F32" i="2"/>
  <c r="G32" i="2"/>
  <c r="H32" i="2"/>
  <c r="I32" i="2"/>
  <c r="J32" i="2"/>
  <c r="F33" i="2"/>
  <c r="G33" i="2"/>
  <c r="G45" i="2" s="1"/>
  <c r="H33" i="2"/>
  <c r="I33" i="2"/>
  <c r="J33" i="2"/>
  <c r="F34" i="2"/>
  <c r="G34" i="2"/>
  <c r="H34" i="2"/>
  <c r="I34" i="2"/>
  <c r="J34" i="2"/>
  <c r="F35" i="2"/>
  <c r="H35" i="2"/>
  <c r="I35" i="2"/>
  <c r="J35" i="2"/>
  <c r="F36" i="2"/>
  <c r="H36" i="2"/>
  <c r="I36" i="2"/>
  <c r="J36" i="2"/>
  <c r="F37" i="2"/>
  <c r="G37" i="2"/>
  <c r="H37" i="2"/>
  <c r="I37" i="2"/>
  <c r="J37" i="2"/>
  <c r="F38" i="2"/>
  <c r="I38" i="2"/>
  <c r="F39" i="2"/>
  <c r="I39" i="2"/>
  <c r="F40" i="2"/>
  <c r="H40" i="2"/>
  <c r="I40" i="2"/>
  <c r="F41" i="2"/>
  <c r="H41" i="2"/>
  <c r="I41" i="2"/>
  <c r="F42" i="2"/>
  <c r="H42" i="2"/>
  <c r="I42" i="2"/>
  <c r="J42" i="2"/>
  <c r="Q43" i="2" l="1" a="1"/>
  <c r="Q43" i="2" s="1"/>
  <c r="Q44" i="2" a="1"/>
  <c r="Q44" i="2" s="1"/>
  <c r="P44" i="2" a="1"/>
  <c r="P44" i="2" s="1"/>
  <c r="P43" i="2" a="1"/>
  <c r="P43" i="2" s="1"/>
  <c r="O43" i="2" a="1"/>
  <c r="O43" i="2" s="1"/>
  <c r="O44" i="2" a="1"/>
  <c r="O44" i="2" s="1"/>
  <c r="N43" i="2" a="1"/>
  <c r="N43" i="2" s="1"/>
  <c r="N44" i="2" a="1"/>
  <c r="N44" i="2" s="1"/>
  <c r="F43" i="2" a="1"/>
  <c r="F43" i="2" s="1"/>
  <c r="F44" i="2" a="1"/>
  <c r="F44" i="2" s="1"/>
  <c r="M44" i="2" a="1"/>
  <c r="M44" i="2" s="1"/>
  <c r="M43" i="2" a="1"/>
  <c r="M43" i="2" s="1"/>
  <c r="L43" i="2" a="1"/>
  <c r="L43" i="2" s="1"/>
  <c r="L44" i="2" a="1"/>
  <c r="L44" i="2" s="1"/>
  <c r="G44" i="2" a="1"/>
  <c r="G44" i="2" s="1"/>
  <c r="K44" i="2" a="1"/>
  <c r="K44" i="2" s="1"/>
  <c r="K43" i="2" a="1"/>
  <c r="K43" i="2" s="1"/>
  <c r="J43" i="2" a="1"/>
  <c r="J43" i="2" s="1"/>
  <c r="J44" i="2" a="1"/>
  <c r="J44" i="2" s="1"/>
  <c r="R44" i="2" a="1"/>
  <c r="R44" i="2" s="1"/>
  <c r="R43" i="2" a="1"/>
  <c r="R43" i="2" s="1"/>
  <c r="I44" i="2" a="1"/>
  <c r="I44" i="2" s="1"/>
  <c r="I43" i="2" a="1"/>
  <c r="I43" i="2" s="1"/>
  <c r="H44" i="2" a="1"/>
  <c r="H44" i="2" s="1"/>
  <c r="H43" i="2" a="1"/>
  <c r="H43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AE23" i="1"/>
  <c r="AA23" i="1"/>
  <c r="AC23" i="1"/>
  <c r="Z23" i="1"/>
  <c r="AB23" i="1"/>
  <c r="AH23" i="1"/>
  <c r="AG23" i="1"/>
  <c r="AF23" i="1"/>
  <c r="AG21" i="1"/>
  <c r="AA21" i="1"/>
  <c r="AC21" i="1"/>
  <c r="AD21" i="1"/>
  <c r="AF21" i="1"/>
  <c r="O4" i="1" l="1"/>
  <c r="P4" i="1" s="1"/>
  <c r="D48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<sst xmlns="http://schemas.openxmlformats.org/spreadsheetml/2006/main" count="311" uniqueCount="175">
  <si>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</si>
  <si>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</si>
  <si>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</si>
  <si>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</si>
  <si>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</si>
  <si>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</si>
  <si>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</si>
  <si>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</si>
  <si>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</si>
  <si>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</si>
  <si>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</si>
  <si>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</si>
  <si>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</si>
  <si>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</si>
  <si>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</si>
  <si>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</si>
  <si>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</si>
  <si>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</si>
  <si>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</si>
  <si>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</si>
  <si>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</si>
  <si>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</si>
  <si>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</si>
  <si>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</si>
  <si>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</si>
  <si>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</si>
  <si>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</si>
  <si>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</si>
  <si>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</si>
  <si>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</si>
  <si>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</si>
  <si>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</si>
  <si>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</si>
  <si>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</si>
  <si>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</si>
  <si>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</si>
  <si>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</si>
  <si>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</si>
  <si>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</si>
  <si>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</si>
  <si>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</si>
  <si>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</si>
  <si>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</si>
  <si>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</si>
  <si>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</si>
  <si>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</si>
  <si>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</si>
  <si>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</si>
  <si>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</si>
  <si>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</si>
  <si>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</si>
  <si>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</si>
  <si>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</si>
  <si>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</si>
  <si>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</si>
  <si>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</si>
  <si>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</si>
  <si>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</si>
  <si>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</si>
  <si>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</si>
  <si>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</si>
  <si>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</si>
  <si>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</si>
  <si>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</si>
  <si>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</si>
  <si>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</si>
  <si>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</si>
  <si>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</si>
  <si>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</si>
  <si>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</si>
  <si>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</si>
  <si>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</si>
  <si>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</si>
  <si>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</si>
  <si>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</si>
  <si>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</si>
  <si>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</si>
  <si>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</si>
  <si>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</si>
  <si>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</si>
  <si>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</si>
  <si>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</si>
  <si>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</si>
  <si>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</si>
  <si>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</si>
  <si>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</si>
  <si>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</si>
  <si>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</si>
  <si>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</si>
  <si>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</si>
  <si>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</si>
  <si>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</si>
  <si>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</si>
  <si>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</si>
  <si>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</si>
  <si>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</si>
  <si>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</si>
  <si>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</si>
  <si>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</si>
  <si>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</si>
  <si>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</si>
  <si>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</si>
  <si>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</si>
  <si>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</si>
  <si>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</si>
  <si>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</si>
  <si>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</si>
  <si>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</si>
  <si>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</si>
  <si>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</si>
  <si>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</si>
  <si>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</si>
  <si>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</si>
  <si>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</si>
  <si>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</si>
  <si>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</si>
  <si>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</si>
  <si>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</si>
  <si>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</si>
  <si>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</si>
  <si>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</si>
  <si>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</si>
  <si>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</si>
  <si>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</si>
  <si>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</si>
  <si>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</si>
  <si>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</si>
  <si>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</si>
  <si>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</si>
  <si>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</si>
  <si>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</si>
  <si>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</si>
  <si>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</si>
  <si>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</si>
  <si>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</si>
  <si>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</si>
  <si>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</si>
  <si>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</si>
  <si>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</si>
  <si>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</si>
  <si>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</si>
  <si>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</si>
  <si>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</si>
  <si>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</si>
  <si>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</si>
  <si>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</si>
  <si>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</si>
  <si>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</si>
  <si>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</si>
  <si>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</si>
  <si>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</si>
  <si>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</si>
  <si>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</si>
  <si>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</si>
  <si>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</si>
  <si>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</si>
  <si>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</si>
  <si>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</si>
  <si>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</si>
  <si>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</si>
  <si>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</si>
  <si>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</si>
  <si>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</si>
  <si>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</si>
  <si>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</si>
  <si>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</si>
  <si>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</si>
  <si>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</si>
  <si>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</si>
  <si>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2017Q3</t>
  </si>
  <si>
    <t>CORRELATION</t>
  </si>
  <si>
    <t>SS NO LR</t>
  </si>
  <si>
    <t>KIDS</t>
  </si>
  <si>
    <t xml:space="preserve"> </t>
  </si>
  <si>
    <t>U.S.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</si>
</sst>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61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</cellStyleXfs>
  <cellXfs count="17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18" borderId="0" xfId="2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abSelected="1" topLeftCell="O1" zoomScale="70" zoomScaleNormal="70" workbookViewId="0">
      <selection activeCell="AL24" sqref="AL24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13" customWidth="1"/>
    <col min="5" max="5" width="12.7109375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32" t="s">
        <v>172</v>
      </c>
      <c r="B1" s="133"/>
      <c r="C1" s="134"/>
      <c r="K1" s="141" t="s">
        <v>35</v>
      </c>
      <c r="L1" s="142"/>
      <c r="M1" s="61" t="s">
        <v>31</v>
      </c>
      <c r="N1" s="61" t="s">
        <v>32</v>
      </c>
      <c r="O1" s="4" t="s">
        <v>39</v>
      </c>
      <c r="P1" s="143" t="s">
        <v>41</v>
      </c>
      <c r="Q1" s="144"/>
    </row>
    <row r="2" spans="1:37" x14ac:dyDescent="0.2">
      <c r="A2" s="135"/>
      <c r="B2" s="136"/>
      <c r="C2" s="137"/>
      <c r="K2" s="59" t="s">
        <v>37</v>
      </c>
      <c r="L2" s="60"/>
      <c r="M2" s="62">
        <f>$B$7*($AK$25-2*$AK$26)</f>
        <v>20.094018675024525</v>
      </c>
      <c r="N2" s="62">
        <f>$B$7*($AK$25+2*$AK$26)</f>
        <v>24.237801645762421</v>
      </c>
      <c r="O2" s="64">
        <f>AVERAGE(M2:N2)</f>
        <v>22.165910160393473</v>
      </c>
      <c r="P2" s="145">
        <f>$O$2/AF14-1</f>
        <v>0.13091378369354456</v>
      </c>
      <c r="Q2" s="146"/>
    </row>
    <row r="3" spans="1:37" x14ac:dyDescent="0.2">
      <c r="A3" s="138"/>
      <c r="B3" s="139"/>
      <c r="C3" s="140"/>
      <c r="K3" s="45" t="s">
        <v>38</v>
      </c>
      <c r="L3" s="19"/>
      <c r="M3" s="63">
        <f>$C$7*($AK$25-2*$AK$26)</f>
        <v>20.922638001829661</v>
      </c>
      <c r="N3" s="63">
        <f>$C$7*($AK$25+2*$AK$26)</f>
        <v>25.237298620845408</v>
      </c>
      <c r="O3" s="65">
        <f>AVERAGE(M3:N3)</f>
        <v>23.079968311337534</v>
      </c>
      <c r="P3" s="147">
        <f>$O$3/AF15-1</f>
        <v>0.17754940363967009</v>
      </c>
      <c r="Q3" s="148"/>
    </row>
    <row r="4" spans="1:37" x14ac:dyDescent="0.2">
      <c r="A4" s="50"/>
      <c r="B4" s="50"/>
      <c r="C4" s="50"/>
      <c r="N4" s="4" t="s">
        <v>40</v>
      </c>
      <c r="O4" s="65">
        <f>AVERAGE(O2:O3)</f>
        <v>22.622939235865502</v>
      </c>
      <c r="P4" s="147">
        <f>$O$4/AF15-1</f>
        <v>0.15423159366660721</v>
      </c>
      <c r="Q4" s="148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97</v>
      </c>
      <c r="C6" s="57">
        <v>101</v>
      </c>
    </row>
    <row r="7" spans="1:37" ht="14.25" x14ac:dyDescent="0.2">
      <c r="A7" s="53" t="s">
        <v>36</v>
      </c>
      <c r="B7" s="54">
        <f>B6*$AK$24</f>
        <v>80.306971694262657</v>
      </c>
      <c r="C7" s="55">
        <f>C6*$AK$24</f>
        <v>83.618599392995137</v>
      </c>
    </row>
    <row r="8" spans="1:37" x14ac:dyDescent="0.2">
      <c r="F8" s="50"/>
    </row>
    <row r="9" spans="1:37" x14ac:dyDescent="0.2">
      <c r="F9" s="50"/>
      <c r="G9" s="50"/>
      <c r="H9" s="50"/>
    </row>
    <row r="10" spans="1:37" x14ac:dyDescent="0.2">
      <c r="J10" s="116" t="s">
        <v>15</v>
      </c>
      <c r="K10" s="116"/>
      <c r="L10" s="35">
        <f>AVERAGE(F13:AJ13)</f>
        <v>1.23048419203725</v>
      </c>
      <c r="AG10" s="116" t="s">
        <v>16</v>
      </c>
      <c r="AH10" s="116"/>
      <c r="AI10" s="116"/>
      <c r="AJ10" s="81">
        <f>AVERAGE(AJ13,AE13:AH13)</f>
        <v>1.1329831683155389</v>
      </c>
    </row>
    <row r="11" spans="1:37" x14ac:dyDescent="0.2">
      <c r="A11" s="51" t="s">
        <v>6</v>
      </c>
      <c r="B11" s="149">
        <v>2012</v>
      </c>
      <c r="C11" s="150"/>
      <c r="D11" s="150"/>
      <c r="E11" s="151"/>
      <c r="F11" s="122">
        <v>2014</v>
      </c>
      <c r="G11" s="122"/>
      <c r="H11" s="122"/>
      <c r="I11" s="123"/>
      <c r="J11" s="124">
        <v>2015</v>
      </c>
      <c r="K11" s="125"/>
      <c r="L11" s="125"/>
      <c r="M11" s="126"/>
      <c r="N11" s="124">
        <v>2016</v>
      </c>
      <c r="O11" s="125"/>
      <c r="P11" s="125"/>
      <c r="Q11" s="126"/>
      <c r="R11" s="158">
        <v>2017</v>
      </c>
      <c r="S11" s="159"/>
      <c r="T11" s="159"/>
      <c r="U11" s="160"/>
      <c r="V11" s="154">
        <v>2018</v>
      </c>
      <c r="W11" s="155"/>
      <c r="X11" s="155"/>
      <c r="Y11" s="156"/>
      <c r="Z11" s="118">
        <v>2019</v>
      </c>
      <c r="AA11" s="119"/>
      <c r="AB11" s="119"/>
      <c r="AC11" s="120"/>
      <c r="AD11" s="121">
        <v>2020</v>
      </c>
      <c r="AE11" s="122"/>
      <c r="AF11" s="122"/>
      <c r="AG11" s="123"/>
      <c r="AH11" s="124">
        <v>2021</v>
      </c>
      <c r="AI11" s="125"/>
      <c r="AJ11" s="125"/>
      <c r="AK11" s="126"/>
    </row>
    <row r="12" spans="1:37" x14ac:dyDescent="0.2">
      <c r="A12" s="14" t="s">
        <v>19</v>
      </c>
      <c r="B12" s="104" t="s">
        <v>20</v>
      </c>
      <c r="C12" s="104" t="s">
        <v>3</v>
      </c>
      <c r="D12" s="104" t="s">
        <v>4</v>
      </c>
      <c r="E12" s="104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B13" s="105"/>
      <c r="C13" s="105"/>
      <c r="D13" s="105"/>
      <c r="E13" s="105"/>
      <c r="F13" s="85"/>
      <c r="G13" s="85"/>
      <c r="H13" s="85"/>
      <c r="I13" s="85"/>
      <c r="J13" s="85"/>
      <c r="K13" s="85"/>
      <c r="L13" s="85"/>
      <c r="M13" s="85"/>
      <c r="N13" s="85">
        <f t="shared" ref="N13:AI13" si="0">N15/J15</f>
        <v>1.3260869565217392</v>
      </c>
      <c r="O13" s="85">
        <f t="shared" si="0"/>
        <v>1.1874999999999998</v>
      </c>
      <c r="P13" s="85">
        <f t="shared" si="0"/>
        <v>1.0972222222222223</v>
      </c>
      <c r="Q13" s="85">
        <f t="shared" si="0"/>
        <v>1.0895522388059702</v>
      </c>
      <c r="R13" s="85">
        <f t="shared" si="0"/>
        <v>1.1967213114754098</v>
      </c>
      <c r="S13" s="85">
        <f t="shared" si="0"/>
        <v>1.2105263157894737</v>
      </c>
      <c r="T13" s="85">
        <f t="shared" si="0"/>
        <v>1.2151898734177213</v>
      </c>
      <c r="U13" s="85">
        <f t="shared" si="0"/>
        <v>1.2054794520547947</v>
      </c>
      <c r="V13" s="85">
        <f t="shared" si="0"/>
        <v>1.1917808219178081</v>
      </c>
      <c r="W13" s="85">
        <f t="shared" si="0"/>
        <v>1.25</v>
      </c>
      <c r="X13" s="85">
        <f t="shared" si="0"/>
        <v>1.2916666666666667</v>
      </c>
      <c r="Y13" s="85">
        <f t="shared" si="0"/>
        <v>1.2386363636363635</v>
      </c>
      <c r="Z13" s="85">
        <f t="shared" si="0"/>
        <v>1.1839080459770117</v>
      </c>
      <c r="AA13" s="85">
        <f t="shared" si="0"/>
        <v>1.2</v>
      </c>
      <c r="AB13" s="85">
        <f t="shared" si="0"/>
        <v>1.3548387096774195</v>
      </c>
      <c r="AC13" s="85">
        <f t="shared" si="0"/>
        <v>1.3027522935779816</v>
      </c>
      <c r="AD13" s="85">
        <f t="shared" si="0"/>
        <v>1.3009708737864076</v>
      </c>
      <c r="AE13" s="85">
        <f t="shared" si="0"/>
        <v>0.87681159420289845</v>
      </c>
      <c r="AF13" s="85">
        <f t="shared" si="0"/>
        <v>1.1666666666666667</v>
      </c>
      <c r="AG13" s="85">
        <f t="shared" si="0"/>
        <v>1.26056338028169</v>
      </c>
      <c r="AH13" s="85">
        <f t="shared" si="0"/>
        <v>1.2537313432835822</v>
      </c>
      <c r="AI13" s="85">
        <f t="shared" si="0"/>
        <v>1.7933884297520661</v>
      </c>
      <c r="AJ13" s="85">
        <f>AJ14/AF14</f>
        <v>1.107142857142857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7"/>
      <c r="G14" s="7"/>
      <c r="H14" s="7"/>
      <c r="I14" s="7"/>
      <c r="J14" s="9">
        <v>4.5999999999999996</v>
      </c>
      <c r="K14" s="6">
        <v>6.4</v>
      </c>
      <c r="L14" s="6">
        <v>7.2</v>
      </c>
      <c r="M14" s="6">
        <v>6.7</v>
      </c>
      <c r="N14" s="9">
        <v>6.2</v>
      </c>
      <c r="O14" s="6">
        <v>7.5</v>
      </c>
      <c r="P14" s="6">
        <v>8.1999999999999993</v>
      </c>
      <c r="Q14" s="6">
        <v>6.9</v>
      </c>
      <c r="R14" s="9">
        <v>7.3</v>
      </c>
      <c r="S14" s="6">
        <v>9.1999999999999993</v>
      </c>
      <c r="T14" s="6">
        <v>9.6</v>
      </c>
      <c r="U14" s="6">
        <v>8.8000000000000007</v>
      </c>
      <c r="V14" s="9">
        <v>8.6999999999999993</v>
      </c>
      <c r="W14" s="6">
        <v>11.5</v>
      </c>
      <c r="X14" s="6">
        <v>12.4</v>
      </c>
      <c r="Y14" s="6">
        <v>10.9</v>
      </c>
      <c r="Z14" s="9">
        <v>10.3</v>
      </c>
      <c r="AA14" s="6">
        <v>13.8</v>
      </c>
      <c r="AB14" s="6">
        <v>16.8</v>
      </c>
      <c r="AC14" s="6">
        <v>14.2</v>
      </c>
      <c r="AD14" s="9">
        <v>13.4</v>
      </c>
      <c r="AE14" s="6">
        <v>12.1</v>
      </c>
      <c r="AF14" s="6">
        <v>19.600000000000001</v>
      </c>
      <c r="AG14" s="6">
        <v>17.899999999999999</v>
      </c>
      <c r="AH14" s="6">
        <v>16.8</v>
      </c>
      <c r="AI14" s="6">
        <v>21.7</v>
      </c>
      <c r="AJ14" s="6">
        <v>21.7</v>
      </c>
      <c r="AK14" s="6">
        <v>20</v>
      </c>
    </row>
    <row r="15" spans="1:37" x14ac:dyDescent="0.2">
      <c r="A15" s="15" t="s">
        <v>1</v>
      </c>
      <c r="B15" s="6"/>
      <c r="C15" s="6"/>
      <c r="D15" s="6"/>
      <c r="E15" s="6"/>
      <c r="F15" s="6"/>
      <c r="G15" s="6"/>
      <c r="H15" s="6"/>
      <c r="I15" s="6"/>
      <c r="J15" s="9">
        <v>4.5999999999999996</v>
      </c>
      <c r="K15" s="6">
        <v>6.4</v>
      </c>
      <c r="L15" s="6">
        <v>7.2</v>
      </c>
      <c r="M15" s="6">
        <v>6.7</v>
      </c>
      <c r="N15" s="9">
        <v>6.1</v>
      </c>
      <c r="O15" s="6">
        <v>7.6</v>
      </c>
      <c r="P15" s="6">
        <v>7.9</v>
      </c>
      <c r="Q15" s="6">
        <v>7.3</v>
      </c>
      <c r="R15" s="9">
        <v>7.3</v>
      </c>
      <c r="S15" s="6">
        <v>9.1999999999999993</v>
      </c>
      <c r="T15" s="6">
        <v>9.6</v>
      </c>
      <c r="U15" s="6">
        <v>8.8000000000000007</v>
      </c>
      <c r="V15" s="9">
        <v>8.6999999999999993</v>
      </c>
      <c r="W15" s="6">
        <v>11.5</v>
      </c>
      <c r="X15" s="6">
        <v>12.4</v>
      </c>
      <c r="Y15" s="6">
        <v>10.9</v>
      </c>
      <c r="Z15" s="9">
        <v>10.3</v>
      </c>
      <c r="AA15" s="6">
        <v>13.8</v>
      </c>
      <c r="AB15" s="6">
        <v>16.8</v>
      </c>
      <c r="AC15" s="6">
        <v>14.2</v>
      </c>
      <c r="AD15" s="9">
        <v>13.4</v>
      </c>
      <c r="AE15" s="6">
        <v>12.1</v>
      </c>
      <c r="AF15" s="6">
        <v>19.600000000000001</v>
      </c>
      <c r="AG15" s="6">
        <v>17.899999999999999</v>
      </c>
      <c r="AH15" s="9">
        <v>16.8</v>
      </c>
      <c r="AI15" s="6">
        <v>21.7</v>
      </c>
      <c r="AJ15" s="9"/>
      <c r="AK15" s="10"/>
    </row>
    <row r="16" spans="1:37" x14ac:dyDescent="0.2">
      <c r="A16" s="15" t="s">
        <v>157</v>
      </c>
      <c r="B16" s="9"/>
      <c r="C16" s="9"/>
      <c r="D16" s="9"/>
      <c r="E16" s="9"/>
      <c r="F16" s="9"/>
      <c r="G16" s="6"/>
      <c r="H16" s="6"/>
      <c r="I16" s="10"/>
      <c r="J16" s="9">
        <v>6.2</v>
      </c>
      <c r="K16" s="6">
        <v>7.7</v>
      </c>
      <c r="L16" s="6">
        <v>8.6999999999999993</v>
      </c>
      <c r="M16" s="10">
        <v>8.4</v>
      </c>
      <c r="N16" s="9">
        <v>8.1</v>
      </c>
      <c r="O16" s="6">
        <v>9.6999999999999993</v>
      </c>
      <c r="P16" s="6">
        <v>10.1</v>
      </c>
      <c r="Q16" s="10">
        <v>9.4</v>
      </c>
      <c r="R16" s="9">
        <v>9.8000000000000007</v>
      </c>
      <c r="S16" s="6">
        <v>11.8</v>
      </c>
      <c r="T16" s="6">
        <v>12.4</v>
      </c>
      <c r="U16" s="10">
        <v>11.7</v>
      </c>
      <c r="V16" s="9">
        <v>12.1</v>
      </c>
      <c r="W16" s="6">
        <v>15.1</v>
      </c>
      <c r="X16" s="6">
        <v>15.8</v>
      </c>
      <c r="Y16" s="10">
        <v>14.6</v>
      </c>
      <c r="Z16" s="9">
        <v>14.7</v>
      </c>
      <c r="AA16" s="6">
        <v>18.2</v>
      </c>
      <c r="AB16" s="6">
        <v>20.7</v>
      </c>
      <c r="AC16" s="10">
        <v>19</v>
      </c>
      <c r="AD16" s="6">
        <v>16.399999999999999</v>
      </c>
      <c r="AE16" s="6">
        <v>13.6</v>
      </c>
      <c r="AF16" s="10">
        <v>22.2</v>
      </c>
      <c r="AG16" s="9">
        <v>18.899999999999999</v>
      </c>
      <c r="AH16">
        <v>21.5</v>
      </c>
      <c r="AI16" s="82">
        <v>26.7</v>
      </c>
      <c r="AJ16">
        <v>26</v>
      </c>
      <c r="AK16" s="10"/>
    </row>
    <row r="17" spans="1:38" x14ac:dyDescent="0.2">
      <c r="A17" s="86" t="s">
        <v>18</v>
      </c>
      <c r="B17" s="87"/>
      <c r="C17" s="87"/>
      <c r="D17" s="87"/>
      <c r="E17" s="87"/>
      <c r="F17" s="87"/>
      <c r="G17" s="87"/>
      <c r="H17" s="87"/>
      <c r="I17" s="87"/>
      <c r="J17" s="87">
        <f t="shared" ref="J17:L17" si="1">J15/J16</f>
        <v>0.74193548387096764</v>
      </c>
      <c r="K17" s="87">
        <f t="shared" si="1"/>
        <v>0.83116883116883122</v>
      </c>
      <c r="L17" s="87">
        <f t="shared" si="1"/>
        <v>0.82758620689655182</v>
      </c>
      <c r="M17" s="87">
        <f t="shared" ref="M17:X17" si="2">M15/M16</f>
        <v>0.79761904761904756</v>
      </c>
      <c r="N17" s="87">
        <f t="shared" si="2"/>
        <v>0.75308641975308643</v>
      </c>
      <c r="O17" s="87">
        <f>O15/O16</f>
        <v>0.78350515463917525</v>
      </c>
      <c r="P17" s="87">
        <f>P15/P16</f>
        <v>0.78217821782178221</v>
      </c>
      <c r="Q17" s="87">
        <f>Q15/Q16</f>
        <v>0.77659574468085102</v>
      </c>
      <c r="R17" s="87">
        <f>R15/R16</f>
        <v>0.74489795918367341</v>
      </c>
      <c r="S17" s="87">
        <f t="shared" si="2"/>
        <v>0.77966101694915246</v>
      </c>
      <c r="T17" s="87">
        <f t="shared" si="2"/>
        <v>0.77419354838709675</v>
      </c>
      <c r="U17" s="87">
        <f t="shared" si="2"/>
        <v>0.75213675213675224</v>
      </c>
      <c r="V17" s="87">
        <f t="shared" si="2"/>
        <v>0.71900826446280985</v>
      </c>
      <c r="W17" s="87">
        <f t="shared" si="2"/>
        <v>0.76158940397350994</v>
      </c>
      <c r="X17" s="87">
        <f t="shared" si="2"/>
        <v>0.78481012658227844</v>
      </c>
      <c r="Y17" s="87">
        <f t="shared" ref="Y17:AI17" si="3">Y15/Y16</f>
        <v>0.74657534246575352</v>
      </c>
      <c r="Z17" s="87">
        <f t="shared" si="3"/>
        <v>0.70068027210884365</v>
      </c>
      <c r="AA17" s="87">
        <f t="shared" si="3"/>
        <v>0.75824175824175832</v>
      </c>
      <c r="AB17" s="87">
        <f t="shared" si="3"/>
        <v>0.81159420289855078</v>
      </c>
      <c r="AC17" s="87">
        <f t="shared" si="3"/>
        <v>0.74736842105263157</v>
      </c>
      <c r="AD17" s="87">
        <f t="shared" si="3"/>
        <v>0.81707317073170738</v>
      </c>
      <c r="AE17" s="87">
        <f t="shared" si="3"/>
        <v>0.88970588235294112</v>
      </c>
      <c r="AF17" s="87">
        <f t="shared" si="3"/>
        <v>0.88288288288288297</v>
      </c>
      <c r="AG17" s="87">
        <f t="shared" si="3"/>
        <v>0.94708994708994709</v>
      </c>
      <c r="AH17" s="87">
        <f t="shared" si="3"/>
        <v>0.78139534883720929</v>
      </c>
      <c r="AI17" s="87">
        <f t="shared" si="3"/>
        <v>0.81273408239700373</v>
      </c>
      <c r="AJ17" s="87">
        <f>AJ14/AJ16</f>
        <v>0.83461538461538454</v>
      </c>
      <c r="AK17" s="88"/>
    </row>
    <row r="18" spans="1:38" x14ac:dyDescent="0.2">
      <c r="A18" s="86" t="s">
        <v>24</v>
      </c>
      <c r="B18" s="87"/>
      <c r="C18" s="87"/>
      <c r="D18" s="87"/>
      <c r="E18" s="89"/>
      <c r="F18" s="87"/>
      <c r="G18" s="87"/>
      <c r="H18" s="87"/>
      <c r="I18" s="89"/>
      <c r="J18" s="87">
        <f>J15/SUM(J15:M15)</f>
        <v>0.18473895582329317</v>
      </c>
      <c r="K18" s="87">
        <f>K15/SUM(J15:M15)</f>
        <v>0.25702811244979923</v>
      </c>
      <c r="L18" s="87">
        <f>L15/SUM(J15:M15)</f>
        <v>0.28915662650602414</v>
      </c>
      <c r="M18" s="89">
        <f>M15/SUM(J15:M15)</f>
        <v>0.26907630522088355</v>
      </c>
      <c r="N18" s="87">
        <f>N15/SUM(N15:Q15)</f>
        <v>0.21107266435986155</v>
      </c>
      <c r="O18" s="87">
        <f>O15/SUM(N15:Q15)</f>
        <v>0.26297577854671278</v>
      </c>
      <c r="P18" s="87">
        <f>P15/SUM(N15:Q15)</f>
        <v>0.27335640138408301</v>
      </c>
      <c r="Q18" s="89">
        <f>Q15/SUM(N15:Q15)</f>
        <v>0.25259515570934254</v>
      </c>
      <c r="R18" s="87">
        <f>R15/SUM(R15:U15)</f>
        <v>0.20916905444126072</v>
      </c>
      <c r="S18" s="87">
        <f>S15/SUM(R15:U15)</f>
        <v>0.26361031518624634</v>
      </c>
      <c r="T18" s="87">
        <f>T15/SUM(R15:U15)</f>
        <v>0.2750716332378223</v>
      </c>
      <c r="U18" s="89">
        <f>U15/SUM(R15:U15)</f>
        <v>0.25214899713467048</v>
      </c>
      <c r="V18" s="87">
        <f>V15/SUM(V15:Y15)</f>
        <v>0.19999999999999998</v>
      </c>
      <c r="W18" s="87">
        <f>W15/SUM(V15:Y15)</f>
        <v>0.26436781609195403</v>
      </c>
      <c r="X18" s="87">
        <f>X15/SUM(V15:Y15)</f>
        <v>0.28505747126436781</v>
      </c>
      <c r="Y18" s="89">
        <f>Y15/SUM(V15:Y15)</f>
        <v>0.25057471264367814</v>
      </c>
      <c r="Z18" s="87">
        <f>Z15/SUM(Z15:AC15)</f>
        <v>0.18693284936479126</v>
      </c>
      <c r="AA18" s="87">
        <f>AA15/SUM(Z15:AC15)</f>
        <v>0.25045372050816694</v>
      </c>
      <c r="AB18" s="87">
        <f>AB15/SUM(Z15:AC15)</f>
        <v>0.30490018148820325</v>
      </c>
      <c r="AC18" s="89">
        <f>AC15/SUM(Z15:AC15)</f>
        <v>0.25771324863883843</v>
      </c>
      <c r="AD18" s="87"/>
      <c r="AE18" s="87"/>
      <c r="AF18" s="87"/>
      <c r="AG18" s="89"/>
      <c r="AH18" s="87">
        <f>AH15/SUM(AH15:AI15,AJ14:AK14)</f>
        <v>0.20947630922693267</v>
      </c>
      <c r="AI18" s="87">
        <f>AI15/SUM(AH15:AI15,AJ14:AK14)</f>
        <v>0.270573566084788</v>
      </c>
      <c r="AJ18" s="87">
        <f>AJ14/SUM(AH15:AI15,AJ14:AK14)</f>
        <v>0.270573566084788</v>
      </c>
      <c r="AK18" s="89">
        <f>AK14/SUM(AH15:AI15,AJ14:AK14)</f>
        <v>0.24937655860349126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6"/>
      <c r="N19" s="9"/>
      <c r="O19" s="12"/>
      <c r="P19" s="12"/>
      <c r="Q19" s="6"/>
      <c r="R19" s="83"/>
      <c r="S19" s="83"/>
      <c r="T19" s="83">
        <v>9.1999999999999993</v>
      </c>
      <c r="U19" s="83">
        <v>8.8000000000000007</v>
      </c>
      <c r="V19" s="83">
        <v>8.6</v>
      </c>
      <c r="W19" s="63">
        <v>10.9</v>
      </c>
      <c r="X19" s="63">
        <v>11.6</v>
      </c>
      <c r="Y19" s="63">
        <v>10.9</v>
      </c>
      <c r="Z19" s="83">
        <v>10.7</v>
      </c>
      <c r="AA19" s="63">
        <v>14</v>
      </c>
      <c r="AB19" s="63">
        <v>15.3</v>
      </c>
      <c r="AC19" s="63">
        <v>14.1</v>
      </c>
      <c r="AD19" s="83">
        <v>9.6</v>
      </c>
      <c r="AE19" s="63">
        <v>8.9</v>
      </c>
      <c r="AF19" s="63">
        <v>17.100000000000001</v>
      </c>
      <c r="AG19" s="63">
        <v>17.399999999999999</v>
      </c>
      <c r="AH19" s="83">
        <v>17</v>
      </c>
      <c r="AI19" s="63">
        <v>20.3</v>
      </c>
      <c r="AJ19" s="84"/>
      <c r="AK19" s="13"/>
    </row>
    <row r="20" spans="1:38" x14ac:dyDescent="0.2">
      <c r="J20" s="7"/>
      <c r="K20" s="7"/>
      <c r="L20" s="7"/>
      <c r="M20" s="7"/>
      <c r="N20" s="7"/>
      <c r="O20" s="7"/>
      <c r="P20" s="7"/>
      <c r="Q20" s="7"/>
      <c r="R20" s="127" t="s">
        <v>7</v>
      </c>
      <c r="S20" s="128"/>
      <c r="T20" s="7">
        <f t="shared" ref="T20:AH20" si="4">IF(T15&gt;T19,1,0)</f>
        <v>1</v>
      </c>
      <c r="U20" s="7">
        <f t="shared" si="4"/>
        <v>0</v>
      </c>
      <c r="V20" s="7">
        <f t="shared" si="4"/>
        <v>1</v>
      </c>
      <c r="W20" s="7">
        <f t="shared" si="4"/>
        <v>1</v>
      </c>
      <c r="X20" s="7">
        <f t="shared" si="4"/>
        <v>1</v>
      </c>
      <c r="Y20" s="7">
        <f t="shared" si="4"/>
        <v>0</v>
      </c>
      <c r="Z20" s="7">
        <f t="shared" si="4"/>
        <v>0</v>
      </c>
      <c r="AA20" s="7">
        <f t="shared" si="4"/>
        <v>0</v>
      </c>
      <c r="AB20" s="7">
        <f t="shared" si="4"/>
        <v>1</v>
      </c>
      <c r="AC20" s="7">
        <f t="shared" si="4"/>
        <v>1</v>
      </c>
      <c r="AD20" s="7">
        <f t="shared" si="4"/>
        <v>1</v>
      </c>
      <c r="AE20" s="7">
        <f t="shared" si="4"/>
        <v>1</v>
      </c>
      <c r="AF20" s="7">
        <f t="shared" si="4"/>
        <v>1</v>
      </c>
      <c r="AG20" s="7">
        <f t="shared" si="4"/>
        <v>1</v>
      </c>
      <c r="AH20" s="7">
        <f t="shared" si="4"/>
        <v>0</v>
      </c>
      <c r="AI20" s="8">
        <f>IF(AI15&gt;AI19,1,0)</f>
        <v>1</v>
      </c>
      <c r="AJ20" s="45" t="s">
        <v>8</v>
      </c>
      <c r="AK20" s="42">
        <f>AVERAGE(T20:AI20)</f>
        <v>0.6875</v>
      </c>
    </row>
    <row r="21" spans="1:38" x14ac:dyDescent="0.2">
      <c r="L21" s="6"/>
      <c r="M21" s="6"/>
      <c r="N21" s="6"/>
      <c r="O21" s="6"/>
      <c r="P21" s="6"/>
      <c r="Q21" s="6"/>
      <c r="R21" s="152" t="s">
        <v>9</v>
      </c>
      <c r="S21" s="153"/>
      <c r="T21" s="6"/>
      <c r="U21" s="6"/>
      <c r="V21" s="6"/>
      <c r="W21" s="6">
        <f t="shared" ref="W21:AI21" si="5">AVERAGE(T20:W20)</f>
        <v>0.75</v>
      </c>
      <c r="X21" s="6">
        <f t="shared" si="5"/>
        <v>0.75</v>
      </c>
      <c r="Y21" s="6">
        <f t="shared" si="5"/>
        <v>0.75</v>
      </c>
      <c r="Z21" s="6">
        <f t="shared" si="5"/>
        <v>0.5</v>
      </c>
      <c r="AA21" s="6">
        <f t="shared" si="5"/>
        <v>0.25</v>
      </c>
      <c r="AB21" s="6" t="s">
        <v>173</v>
      </c>
      <c r="AC21" s="6">
        <f t="shared" si="5"/>
        <v>0.5</v>
      </c>
      <c r="AD21" s="6">
        <f t="shared" si="5"/>
        <v>0.75</v>
      </c>
      <c r="AE21" s="6">
        <f t="shared" si="5"/>
        <v>1</v>
      </c>
      <c r="AF21" s="6">
        <f t="shared" si="5"/>
        <v>1</v>
      </c>
      <c r="AG21" s="6">
        <f t="shared" si="5"/>
        <v>1</v>
      </c>
      <c r="AH21" s="6">
        <f>AVERAGE(AE20:AH20)</f>
        <v>0.75</v>
      </c>
      <c r="AI21" s="10">
        <f t="shared" si="5"/>
        <v>0.75</v>
      </c>
      <c r="AJ21" s="41" t="s">
        <v>10</v>
      </c>
      <c r="AK21" s="42">
        <f>AVERAGE(W21:AI21)</f>
        <v>0.72916666666666663</v>
      </c>
    </row>
    <row r="22" spans="1:38" x14ac:dyDescent="0.2">
      <c r="J22" s="18"/>
      <c r="K22" s="18"/>
      <c r="L22" s="18"/>
      <c r="M22" s="18"/>
      <c r="N22" s="18"/>
      <c r="O22" s="18"/>
      <c r="P22" s="18"/>
      <c r="Q22" s="18"/>
      <c r="R22" s="112" t="s">
        <v>11</v>
      </c>
      <c r="S22" s="157"/>
      <c r="T22" s="18">
        <f t="shared" ref="T22:AI22" si="6">T15/T19-1</f>
        <v>4.3478260869565188E-2</v>
      </c>
      <c r="U22" s="18">
        <f t="shared" si="6"/>
        <v>0</v>
      </c>
      <c r="V22" s="18">
        <f t="shared" si="6"/>
        <v>1.1627906976744207E-2</v>
      </c>
      <c r="W22" s="18">
        <f t="shared" si="6"/>
        <v>5.504587155963292E-2</v>
      </c>
      <c r="X22" s="18">
        <f t="shared" si="6"/>
        <v>6.8965517241379448E-2</v>
      </c>
      <c r="Y22" s="18">
        <f t="shared" si="6"/>
        <v>0</v>
      </c>
      <c r="Z22" s="18">
        <f t="shared" si="6"/>
        <v>-3.7383177570093351E-2</v>
      </c>
      <c r="AA22" s="18">
        <f t="shared" si="6"/>
        <v>-1.4285714285714235E-2</v>
      </c>
      <c r="AB22" s="18">
        <f t="shared" si="6"/>
        <v>9.8039215686274606E-2</v>
      </c>
      <c r="AC22" s="18">
        <f t="shared" si="6"/>
        <v>7.0921985815601829E-3</v>
      </c>
      <c r="AD22" s="18">
        <f t="shared" si="6"/>
        <v>0.39583333333333348</v>
      </c>
      <c r="AE22" s="18">
        <f t="shared" si="6"/>
        <v>0.3595505617977528</v>
      </c>
      <c r="AF22" s="18">
        <f t="shared" si="6"/>
        <v>0.14619883040935666</v>
      </c>
      <c r="AG22" s="18">
        <f t="shared" si="6"/>
        <v>2.8735632183908066E-2</v>
      </c>
      <c r="AH22" s="18">
        <f t="shared" si="6"/>
        <v>-1.1764705882352899E-2</v>
      </c>
      <c r="AI22" s="40">
        <f t="shared" si="6"/>
        <v>6.8965517241379226E-2</v>
      </c>
      <c r="AJ22" s="41" t="s">
        <v>13</v>
      </c>
      <c r="AK22" s="43">
        <f>MEDIAN(T22:AI22)</f>
        <v>3.6106946526736627E-2</v>
      </c>
    </row>
    <row r="23" spans="1:38" x14ac:dyDescent="0.2">
      <c r="L23" s="32"/>
      <c r="M23" s="32"/>
      <c r="N23" s="32"/>
      <c r="O23" s="32"/>
      <c r="P23" s="32"/>
      <c r="Q23" s="32"/>
      <c r="R23" s="152" t="s">
        <v>12</v>
      </c>
      <c r="S23" s="153"/>
      <c r="T23" s="32"/>
      <c r="U23" s="32"/>
      <c r="V23" s="32"/>
      <c r="W23" s="32">
        <f t="shared" ref="W23:AI23" si="7">AVERAGE(T22:W22)</f>
        <v>2.7538009851485579E-2</v>
      </c>
      <c r="X23" s="32">
        <f t="shared" si="7"/>
        <v>3.3909823944439144E-2</v>
      </c>
      <c r="Y23" s="32">
        <f t="shared" si="7"/>
        <v>3.3909823944439144E-2</v>
      </c>
      <c r="Z23" s="32">
        <f t="shared" si="7"/>
        <v>2.1657052807729754E-2</v>
      </c>
      <c r="AA23" s="32">
        <f t="shared" si="7"/>
        <v>4.3241563463929655E-3</v>
      </c>
      <c r="AB23" s="32">
        <f t="shared" si="7"/>
        <v>1.1592580957616755E-2</v>
      </c>
      <c r="AC23" s="32">
        <f t="shared" si="7"/>
        <v>1.3365630603006801E-2</v>
      </c>
      <c r="AD23" s="32">
        <f t="shared" si="7"/>
        <v>0.12166975832886351</v>
      </c>
      <c r="AE23" s="32">
        <f t="shared" si="7"/>
        <v>0.21512882734973027</v>
      </c>
      <c r="AF23" s="32">
        <f t="shared" si="7"/>
        <v>0.22716873103050078</v>
      </c>
      <c r="AG23" s="32">
        <f t="shared" si="7"/>
        <v>0.23257958943108775</v>
      </c>
      <c r="AH23" s="32">
        <f t="shared" si="7"/>
        <v>0.13068007962716616</v>
      </c>
      <c r="AI23" s="33">
        <f t="shared" si="7"/>
        <v>5.8033818488072764E-2</v>
      </c>
      <c r="AJ23" s="19" t="s">
        <v>14</v>
      </c>
      <c r="AK23" s="33">
        <f>MEDIAN(W23:AI23)</f>
        <v>3.3909823944439144E-2</v>
      </c>
    </row>
    <row r="24" spans="1:38" x14ac:dyDescent="0.2">
      <c r="R24" s="127" t="s">
        <v>25</v>
      </c>
      <c r="S24" s="128"/>
      <c r="T24" s="100">
        <f>AVERAGE(T22,V22:X22,AB22:AG22,AI22)</f>
        <v>0.11668480417098971</v>
      </c>
      <c r="U24" s="112" t="s">
        <v>29</v>
      </c>
      <c r="V24" s="113"/>
      <c r="W24" s="46">
        <f>MEDIAN(T22,V22:X22,AB22:AG22,AI22)</f>
        <v>6.8965517241379226E-2</v>
      </c>
      <c r="AF24" s="3"/>
      <c r="AG24" s="129" t="s">
        <v>23</v>
      </c>
      <c r="AH24" s="130"/>
      <c r="AI24" s="130"/>
      <c r="AJ24" s="131"/>
      <c r="AK24" s="44">
        <f>AVERAGE(AF17,AH17:AJ17)</f>
        <v>0.8279069246831201</v>
      </c>
      <c r="AL24">
        <f>AL25*AK24</f>
        <v>20.780463809546315</v>
      </c>
    </row>
    <row r="25" spans="1:38" x14ac:dyDescent="0.2">
      <c r="R25" s="114" t="s">
        <v>26</v>
      </c>
      <c r="S25" s="117"/>
      <c r="T25" s="99">
        <f>AVERAGE(Z22:AA22,AH22)</f>
        <v>-2.1144532579386827E-2</v>
      </c>
      <c r="U25" s="114" t="s">
        <v>30</v>
      </c>
      <c r="V25" s="115"/>
      <c r="W25" s="33">
        <f>MEDIAN(Z22:AA22,AH22)</f>
        <v>-1.4285714285714235E-2</v>
      </c>
      <c r="AG25" s="108" t="s">
        <v>27</v>
      </c>
      <c r="AH25" s="109"/>
      <c r="AI25" s="109"/>
      <c r="AJ25" s="109"/>
      <c r="AK25" s="46">
        <f>AVERAGE(AJ18,X18,T18,P18)</f>
        <v>0.27601476799276525</v>
      </c>
      <c r="AL25">
        <v>25.1</v>
      </c>
    </row>
    <row r="26" spans="1:38" x14ac:dyDescent="0.2">
      <c r="AG26" s="110" t="s">
        <v>28</v>
      </c>
      <c r="AH26" s="111"/>
      <c r="AI26" s="111"/>
      <c r="AJ26" s="111"/>
      <c r="AK26" s="47">
        <f>_xlfn.STDEV.S(AJ18,AB18,T18,P18,L18,X18)</f>
        <v>1.289982327597199E-2</v>
      </c>
    </row>
    <row r="29" spans="1:38" ht="18" customHeight="1" x14ac:dyDescent="0.2"/>
  </sheetData>
  <mergeCells count="28">
    <mergeCell ref="P4:Q4"/>
    <mergeCell ref="B11:E11"/>
    <mergeCell ref="R21:S21"/>
    <mergeCell ref="V11:Y11"/>
    <mergeCell ref="R24:S24"/>
    <mergeCell ref="R23:S23"/>
    <mergeCell ref="R22:S22"/>
    <mergeCell ref="F11:I11"/>
    <mergeCell ref="J11:M11"/>
    <mergeCell ref="N11:Q11"/>
    <mergeCell ref="R11:U11"/>
    <mergeCell ref="A1:C3"/>
    <mergeCell ref="K1:L1"/>
    <mergeCell ref="P1:Q1"/>
    <mergeCell ref="P2:Q2"/>
    <mergeCell ref="P3:Q3"/>
    <mergeCell ref="AG25:AJ25"/>
    <mergeCell ref="AG26:AJ26"/>
    <mergeCell ref="U24:V24"/>
    <mergeCell ref="U25:V25"/>
    <mergeCell ref="J10:K10"/>
    <mergeCell ref="AG10:AI10"/>
    <mergeCell ref="R25:S25"/>
    <mergeCell ref="Z11:AC11"/>
    <mergeCell ref="AD11:AG11"/>
    <mergeCell ref="AH11:AK11"/>
    <mergeCell ref="R20:S20"/>
    <mergeCell ref="AG24:AJ24"/>
  </mergeCells>
  <conditionalFormatting sqref="L21:Q21 T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Q23 T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J20:Q20 T20:AI20 AK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:Q22 T22:AI2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L23:Q23 T23:AI23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J22:Q22 T22:AI22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6"/>
  <sheetViews>
    <sheetView topLeftCell="A4" zoomScale="85" zoomScaleNormal="85" workbookViewId="0">
      <selection activeCell="K17" sqref="K17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3" t="s">
        <v>75</v>
      </c>
      <c r="B4" s="163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172</v>
      </c>
      <c r="B6" t="s">
        <v>174</v>
      </c>
      <c r="C6" s="106" t="s">
        <v>169</v>
      </c>
      <c r="D6">
        <v>20171102</v>
      </c>
      <c r="E6">
        <v>7.9951840000000001</v>
      </c>
      <c r="F6">
        <v>8.2342519999999997</v>
      </c>
      <c r="G6" s="107">
        <v>10.512836</v>
      </c>
      <c r="H6">
        <v>7.8049590000000002</v>
      </c>
      <c r="I6">
        <v>4.7138600000000004</v>
      </c>
      <c r="J6">
        <v>7.8522181999999985</v>
      </c>
      <c r="R6">
        <v>9.1999999999999993</v>
      </c>
      <c r="S6">
        <v>9.6</v>
      </c>
    </row>
    <row r="7" spans="1:21" x14ac:dyDescent="0.2">
      <c r="A7" t="s">
        <v>172</v>
      </c>
      <c r="B7" t="s">
        <v>174</v>
      </c>
      <c r="C7" s="106" t="s">
        <v>167</v>
      </c>
      <c r="D7">
        <v>20180301</v>
      </c>
      <c r="E7">
        <v>8.4088919999999998</v>
      </c>
      <c r="F7">
        <v>8.1052079999999993</v>
      </c>
      <c r="G7" s="107">
        <v>8.1287570000000002</v>
      </c>
      <c r="H7">
        <v>9.1373510000000007</v>
      </c>
      <c r="I7">
        <v>6.8580420000000002</v>
      </c>
      <c r="J7">
        <v>8.1276499999999992</v>
      </c>
      <c r="K7">
        <f>(E7/E6)*$S6</f>
        <v>10.096748642682895</v>
      </c>
      <c r="L7">
        <f t="shared" ref="L7:P7" si="0">(F7/F6)*$S6</f>
        <v>9.4495525276612859</v>
      </c>
      <c r="M7">
        <f t="shared" si="0"/>
        <v>7.4229320423147476</v>
      </c>
      <c r="N7">
        <f t="shared" si="0"/>
        <v>11.238825162310269</v>
      </c>
      <c r="O7">
        <f t="shared" si="0"/>
        <v>13.966728583369044</v>
      </c>
      <c r="P7">
        <f t="shared" si="0"/>
        <v>9.9367386402991187</v>
      </c>
      <c r="Q7">
        <f>AVERAGE(K7:P7)</f>
        <v>10.351920933106227</v>
      </c>
      <c r="R7">
        <v>8.8000000000000007</v>
      </c>
      <c r="S7">
        <v>8.8000000000000007</v>
      </c>
      <c r="T7" s="91"/>
      <c r="U7" s="90"/>
    </row>
    <row r="8" spans="1:21" x14ac:dyDescent="0.2">
      <c r="A8" t="s">
        <v>172</v>
      </c>
      <c r="B8" t="s">
        <v>174</v>
      </c>
      <c r="C8" s="106" t="s">
        <v>42</v>
      </c>
      <c r="D8">
        <v>20180503</v>
      </c>
      <c r="E8">
        <v>10.107839</v>
      </c>
      <c r="F8">
        <v>10.020749</v>
      </c>
      <c r="G8" s="107">
        <v>9.7901570000000007</v>
      </c>
      <c r="H8">
        <v>9.9906469999999992</v>
      </c>
      <c r="I8">
        <v>7.8763170000000002</v>
      </c>
      <c r="J8">
        <v>9.5571418000000001</v>
      </c>
      <c r="K8">
        <f t="shared" ref="K8:K21" si="1">(E8/E7)*$S7</f>
        <v>10.577967132887425</v>
      </c>
      <c r="L8">
        <f t="shared" ref="L8:L21" si="2">(F8/F7)*$S7</f>
        <v>10.879744381637094</v>
      </c>
      <c r="M8">
        <f t="shared" ref="M8:M21" si="3">(G8/G7)*$S7</f>
        <v>10.598592330906191</v>
      </c>
      <c r="N8">
        <f t="shared" ref="N8:N21" si="4">(H8/H7)*$S7</f>
        <v>9.6217923115791439</v>
      </c>
      <c r="O8">
        <f t="shared" ref="O8:O21" si="5">(I8/I7)*$S7</f>
        <v>10.1066149201186</v>
      </c>
      <c r="P8">
        <f t="shared" ref="P8:P21" si="6">(J8/J7)*$S7</f>
        <v>10.347744777395683</v>
      </c>
      <c r="Q8">
        <f t="shared" ref="Q8:Q21" si="7">AVERAGE(K8:P8)</f>
        <v>10.355409309087356</v>
      </c>
      <c r="R8">
        <v>8.6</v>
      </c>
      <c r="S8">
        <v>8.6999999999999993</v>
      </c>
      <c r="T8" s="91"/>
      <c r="U8" s="90"/>
    </row>
    <row r="9" spans="1:21" x14ac:dyDescent="0.2">
      <c r="A9" t="s">
        <v>172</v>
      </c>
      <c r="B9" t="s">
        <v>174</v>
      </c>
      <c r="C9" s="106" t="s">
        <v>43</v>
      </c>
      <c r="D9">
        <v>20180802</v>
      </c>
      <c r="E9">
        <v>11.650333</v>
      </c>
      <c r="F9">
        <v>11.202590000000001</v>
      </c>
      <c r="G9" s="107">
        <v>10.772716000000001</v>
      </c>
      <c r="H9">
        <v>11.385177000000001</v>
      </c>
      <c r="I9">
        <v>11.965483000000001</v>
      </c>
      <c r="J9">
        <v>11.3952598</v>
      </c>
      <c r="K9">
        <f t="shared" si="1"/>
        <v>10.027652508117708</v>
      </c>
      <c r="L9">
        <f t="shared" si="2"/>
        <v>9.7260726718132542</v>
      </c>
      <c r="M9">
        <f t="shared" si="3"/>
        <v>9.5731487452141977</v>
      </c>
      <c r="N9">
        <f t="shared" si="4"/>
        <v>9.9143769067208556</v>
      </c>
      <c r="O9">
        <f t="shared" si="5"/>
        <v>13.216799438113016</v>
      </c>
      <c r="P9">
        <f t="shared" si="6"/>
        <v>10.373264552797572</v>
      </c>
      <c r="Q9">
        <f t="shared" si="7"/>
        <v>10.4718858037961</v>
      </c>
      <c r="R9">
        <v>10.9</v>
      </c>
      <c r="S9">
        <v>11.5</v>
      </c>
      <c r="T9" s="9"/>
      <c r="U9" s="62"/>
    </row>
    <row r="10" spans="1:21" x14ac:dyDescent="0.2">
      <c r="A10" t="s">
        <v>172</v>
      </c>
      <c r="B10" t="s">
        <v>174</v>
      </c>
      <c r="C10" s="106" t="s">
        <v>44</v>
      </c>
      <c r="D10">
        <v>20181025</v>
      </c>
      <c r="E10">
        <v>12.744766</v>
      </c>
      <c r="F10">
        <v>12.891238</v>
      </c>
      <c r="G10" s="107">
        <v>11.839888</v>
      </c>
      <c r="H10">
        <v>12.738194999999999</v>
      </c>
      <c r="I10">
        <v>14.383656999999999</v>
      </c>
      <c r="J10">
        <v>12.919548800000001</v>
      </c>
      <c r="K10">
        <f t="shared" si="1"/>
        <v>12.580310708715366</v>
      </c>
      <c r="L10">
        <f t="shared" si="2"/>
        <v>13.233478775890216</v>
      </c>
      <c r="M10">
        <f t="shared" si="3"/>
        <v>12.639218559182289</v>
      </c>
      <c r="N10">
        <f t="shared" si="4"/>
        <v>12.866663601277345</v>
      </c>
      <c r="O10">
        <f t="shared" si="5"/>
        <v>13.824101835253952</v>
      </c>
      <c r="P10">
        <f t="shared" si="6"/>
        <v>13.038299591905751</v>
      </c>
      <c r="Q10">
        <f t="shared" si="7"/>
        <v>13.030345512037487</v>
      </c>
      <c r="R10">
        <v>11.6</v>
      </c>
      <c r="S10">
        <v>12.4</v>
      </c>
      <c r="T10" s="9"/>
      <c r="U10" s="62"/>
    </row>
    <row r="11" spans="1:21" x14ac:dyDescent="0.2">
      <c r="A11" t="s">
        <v>172</v>
      </c>
      <c r="B11" t="s">
        <v>174</v>
      </c>
      <c r="C11" s="106" t="s">
        <v>45</v>
      </c>
      <c r="D11">
        <v>20190228</v>
      </c>
      <c r="E11">
        <v>10.998858</v>
      </c>
      <c r="F11">
        <v>10.935980000000001</v>
      </c>
      <c r="G11" s="107">
        <v>10.440818999999999</v>
      </c>
      <c r="H11">
        <v>11.165276</v>
      </c>
      <c r="I11">
        <v>12.613288000000001</v>
      </c>
      <c r="J11">
        <v>11.230844199999998</v>
      </c>
      <c r="K11">
        <f t="shared" si="1"/>
        <v>10.70132156212205</v>
      </c>
      <c r="L11">
        <f t="shared" si="2"/>
        <v>10.519249741568654</v>
      </c>
      <c r="M11">
        <f t="shared" si="3"/>
        <v>10.93474495704689</v>
      </c>
      <c r="N11">
        <f t="shared" si="4"/>
        <v>10.868841495989033</v>
      </c>
      <c r="O11">
        <f t="shared" si="5"/>
        <v>10.873783433517639</v>
      </c>
      <c r="P11">
        <f t="shared" si="6"/>
        <v>10.779205236641079</v>
      </c>
      <c r="Q11">
        <f t="shared" si="7"/>
        <v>10.77952440448089</v>
      </c>
      <c r="R11">
        <v>10.9</v>
      </c>
      <c r="S11">
        <v>10.9</v>
      </c>
      <c r="T11" s="9"/>
      <c r="U11" s="62"/>
    </row>
    <row r="12" spans="1:21" x14ac:dyDescent="0.2">
      <c r="A12" t="s">
        <v>172</v>
      </c>
      <c r="B12" t="s">
        <v>174</v>
      </c>
      <c r="C12" s="106" t="s">
        <v>46</v>
      </c>
      <c r="D12">
        <v>20190502</v>
      </c>
      <c r="E12">
        <v>13.144954</v>
      </c>
      <c r="F12">
        <v>12.846247999999999</v>
      </c>
      <c r="G12" s="107">
        <v>11.510742</v>
      </c>
      <c r="H12">
        <v>11.895962000000001</v>
      </c>
      <c r="I12">
        <v>11.674193000000001</v>
      </c>
      <c r="J12">
        <v>12.214419800000002</v>
      </c>
      <c r="K12">
        <f t="shared" si="1"/>
        <v>13.026806837582592</v>
      </c>
      <c r="L12">
        <f t="shared" si="2"/>
        <v>12.803983108966912</v>
      </c>
      <c r="M12">
        <f t="shared" si="3"/>
        <v>12.016977576184399</v>
      </c>
      <c r="N12">
        <f t="shared" si="4"/>
        <v>11.613325617745589</v>
      </c>
      <c r="O12">
        <f t="shared" si="5"/>
        <v>10.088464141943005</v>
      </c>
      <c r="P12">
        <f t="shared" si="6"/>
        <v>11.854600905246292</v>
      </c>
      <c r="Q12">
        <f t="shared" si="7"/>
        <v>11.900693031278131</v>
      </c>
      <c r="R12">
        <v>10.7</v>
      </c>
      <c r="S12">
        <v>10.3</v>
      </c>
      <c r="T12" s="9"/>
      <c r="U12" s="62"/>
    </row>
    <row r="13" spans="1:21" x14ac:dyDescent="0.2">
      <c r="A13" t="s">
        <v>172</v>
      </c>
      <c r="B13" t="s">
        <v>174</v>
      </c>
      <c r="C13" s="106" t="s">
        <v>47</v>
      </c>
      <c r="D13">
        <v>20190801</v>
      </c>
      <c r="E13">
        <v>13.043260999999999</v>
      </c>
      <c r="F13">
        <v>13.188729</v>
      </c>
      <c r="G13" s="107">
        <v>11.540955</v>
      </c>
      <c r="H13">
        <v>12.483095</v>
      </c>
      <c r="I13">
        <v>14.157252</v>
      </c>
      <c r="J13">
        <v>12.8826584</v>
      </c>
      <c r="K13">
        <f t="shared" si="1"/>
        <v>10.220316351049993</v>
      </c>
      <c r="L13">
        <f t="shared" si="2"/>
        <v>10.574598022706711</v>
      </c>
      <c r="M13">
        <f t="shared" si="3"/>
        <v>10.327035086009225</v>
      </c>
      <c r="N13">
        <f t="shared" si="4"/>
        <v>10.808363249647233</v>
      </c>
      <c r="O13">
        <f t="shared" si="5"/>
        <v>12.490773075278094</v>
      </c>
      <c r="P13">
        <f t="shared" si="6"/>
        <v>10.863502621712739</v>
      </c>
      <c r="Q13">
        <f t="shared" si="7"/>
        <v>10.880764734400664</v>
      </c>
      <c r="R13">
        <v>14</v>
      </c>
      <c r="S13">
        <v>13.8</v>
      </c>
      <c r="T13" s="9"/>
      <c r="U13" s="62"/>
    </row>
    <row r="14" spans="1:21" x14ac:dyDescent="0.2">
      <c r="A14" t="s">
        <v>172</v>
      </c>
      <c r="B14" t="s">
        <v>174</v>
      </c>
      <c r="C14" s="106" t="s">
        <v>48</v>
      </c>
      <c r="D14">
        <v>20191031</v>
      </c>
      <c r="E14">
        <v>13.8155</v>
      </c>
      <c r="F14">
        <v>14.545078999999999</v>
      </c>
      <c r="G14" s="107">
        <v>14.334566000000001</v>
      </c>
      <c r="H14">
        <v>12.128543000000001</v>
      </c>
      <c r="I14">
        <v>14.035762999999999</v>
      </c>
      <c r="J14">
        <v>13.771890200000001</v>
      </c>
      <c r="K14">
        <f t="shared" si="1"/>
        <v>14.617042471204098</v>
      </c>
      <c r="L14">
        <f t="shared" si="2"/>
        <v>15.219214088029254</v>
      </c>
      <c r="M14">
        <f t="shared" si="3"/>
        <v>17.140436887588596</v>
      </c>
      <c r="N14">
        <f t="shared" si="4"/>
        <v>13.408044511397215</v>
      </c>
      <c r="O14">
        <f t="shared" si="5"/>
        <v>13.681576721245055</v>
      </c>
      <c r="P14">
        <f t="shared" si="6"/>
        <v>14.752551752827664</v>
      </c>
      <c r="Q14">
        <f t="shared" si="7"/>
        <v>14.80314440538198</v>
      </c>
      <c r="R14">
        <v>15.3</v>
      </c>
      <c r="S14">
        <v>16.8</v>
      </c>
      <c r="T14" s="9"/>
      <c r="U14" s="62"/>
    </row>
    <row r="15" spans="1:21" x14ac:dyDescent="0.2">
      <c r="A15" t="s">
        <v>172</v>
      </c>
      <c r="B15" t="s">
        <v>174</v>
      </c>
      <c r="C15" s="106" t="s">
        <v>49</v>
      </c>
      <c r="D15">
        <v>20200227</v>
      </c>
      <c r="E15">
        <v>11.741842</v>
      </c>
      <c r="F15">
        <v>12.108984</v>
      </c>
      <c r="G15" s="107">
        <v>11.830688</v>
      </c>
      <c r="H15">
        <v>12.092458000000001</v>
      </c>
      <c r="I15">
        <v>14.398503</v>
      </c>
      <c r="J15">
        <v>12.434495</v>
      </c>
      <c r="K15">
        <f t="shared" si="1"/>
        <v>14.278379038036988</v>
      </c>
      <c r="L15">
        <f t="shared" si="2"/>
        <v>13.986237627172736</v>
      </c>
      <c r="M15">
        <f t="shared" si="3"/>
        <v>13.865474434314928</v>
      </c>
      <c r="N15">
        <f t="shared" si="4"/>
        <v>16.750016419944259</v>
      </c>
      <c r="O15">
        <f t="shared" si="5"/>
        <v>17.234178890025429</v>
      </c>
      <c r="P15">
        <f t="shared" si="6"/>
        <v>15.168543530792888</v>
      </c>
      <c r="Q15">
        <f t="shared" si="7"/>
        <v>15.213804990047871</v>
      </c>
      <c r="R15">
        <v>14.1</v>
      </c>
      <c r="S15">
        <v>14.2</v>
      </c>
      <c r="T15" s="9"/>
      <c r="U15" s="62"/>
    </row>
    <row r="16" spans="1:21" x14ac:dyDescent="0.2">
      <c r="A16" t="s">
        <v>172</v>
      </c>
      <c r="B16" t="s">
        <v>174</v>
      </c>
      <c r="C16" s="106" t="s">
        <v>50</v>
      </c>
      <c r="D16">
        <v>20200430</v>
      </c>
      <c r="E16">
        <v>14.44145</v>
      </c>
      <c r="F16">
        <v>13.991637000000001</v>
      </c>
      <c r="G16" s="107">
        <v>13.832916000000001</v>
      </c>
      <c r="H16">
        <v>14.442945999999999</v>
      </c>
      <c r="I16">
        <v>13.943804</v>
      </c>
      <c r="J16">
        <v>14.130550599999998</v>
      </c>
      <c r="K16">
        <f t="shared" si="1"/>
        <v>17.464771711286865</v>
      </c>
      <c r="L16">
        <f t="shared" si="2"/>
        <v>16.407755217118133</v>
      </c>
      <c r="M16">
        <f t="shared" si="3"/>
        <v>16.603210836090007</v>
      </c>
      <c r="N16">
        <f t="shared" si="4"/>
        <v>16.96014434782407</v>
      </c>
      <c r="O16">
        <f t="shared" si="5"/>
        <v>13.751569645816652</v>
      </c>
      <c r="P16">
        <f t="shared" si="6"/>
        <v>16.13686913059195</v>
      </c>
      <c r="Q16">
        <f t="shared" si="7"/>
        <v>16.220720148121277</v>
      </c>
      <c r="R16">
        <v>9.6</v>
      </c>
      <c r="S16">
        <v>13.4</v>
      </c>
      <c r="T16" s="9"/>
      <c r="U16" s="62"/>
    </row>
    <row r="17" spans="1:21" x14ac:dyDescent="0.2">
      <c r="A17" t="s">
        <v>172</v>
      </c>
      <c r="B17" t="s">
        <v>174</v>
      </c>
      <c r="C17" s="106" t="s">
        <v>51</v>
      </c>
      <c r="D17">
        <v>20200730</v>
      </c>
      <c r="E17">
        <v>17.514959000000001</v>
      </c>
      <c r="F17">
        <v>17.187698999999999</v>
      </c>
      <c r="G17" s="107">
        <v>12.992255</v>
      </c>
      <c r="H17">
        <v>14.365387999999999</v>
      </c>
      <c r="I17">
        <v>14.075234</v>
      </c>
      <c r="J17">
        <v>15.227106999999998</v>
      </c>
      <c r="K17">
        <f t="shared" si="1"/>
        <v>16.251861869826094</v>
      </c>
      <c r="L17">
        <f t="shared" si="2"/>
        <v>16.460916374545736</v>
      </c>
      <c r="M17">
        <f t="shared" si="3"/>
        <v>12.585648391127366</v>
      </c>
      <c r="N17">
        <f t="shared" si="4"/>
        <v>13.32804257524746</v>
      </c>
      <c r="O17">
        <f t="shared" si="5"/>
        <v>13.526304271058315</v>
      </c>
      <c r="P17">
        <f t="shared" si="6"/>
        <v>14.439864346121093</v>
      </c>
      <c r="Q17">
        <f t="shared" si="7"/>
        <v>14.432106304654345</v>
      </c>
      <c r="R17">
        <v>8.9</v>
      </c>
      <c r="S17">
        <v>12.1</v>
      </c>
      <c r="T17" s="9"/>
      <c r="U17" s="62"/>
    </row>
    <row r="18" spans="1:21" x14ac:dyDescent="0.2">
      <c r="A18" t="s">
        <v>172</v>
      </c>
      <c r="B18" t="s">
        <v>174</v>
      </c>
      <c r="C18" s="106" t="s">
        <v>52</v>
      </c>
      <c r="D18">
        <v>20201029</v>
      </c>
      <c r="E18">
        <v>16.900718000000001</v>
      </c>
      <c r="F18">
        <v>17.838726000000001</v>
      </c>
      <c r="G18" s="107">
        <v>20.043105000000001</v>
      </c>
      <c r="H18">
        <v>14.430082000000001</v>
      </c>
      <c r="I18">
        <v>16.186142</v>
      </c>
      <c r="J18">
        <v>17.079754600000001</v>
      </c>
      <c r="K18">
        <f t="shared" si="1"/>
        <v>11.675658949587037</v>
      </c>
      <c r="L18">
        <f t="shared" si="2"/>
        <v>12.558317701514323</v>
      </c>
      <c r="M18">
        <f t="shared" si="3"/>
        <v>18.666626424743047</v>
      </c>
      <c r="N18">
        <f t="shared" si="4"/>
        <v>12.154491907910877</v>
      </c>
      <c r="O18">
        <f t="shared" si="5"/>
        <v>13.914675819954397</v>
      </c>
      <c r="P18">
        <f t="shared" si="6"/>
        <v>13.572179578169381</v>
      </c>
      <c r="Q18">
        <f t="shared" si="7"/>
        <v>13.756991730313176</v>
      </c>
      <c r="R18">
        <v>17.100000000000001</v>
      </c>
      <c r="S18">
        <v>19.600000000000001</v>
      </c>
      <c r="T18" s="9"/>
      <c r="U18" s="62"/>
    </row>
    <row r="19" spans="1:21" x14ac:dyDescent="0.2">
      <c r="A19" t="s">
        <v>172</v>
      </c>
      <c r="B19" t="s">
        <v>174</v>
      </c>
      <c r="C19" s="106" t="s">
        <v>53</v>
      </c>
      <c r="D19">
        <v>20210304</v>
      </c>
      <c r="E19">
        <v>16.595258000000001</v>
      </c>
      <c r="F19">
        <v>16.765771000000001</v>
      </c>
      <c r="G19" s="107">
        <v>17.814845999999999</v>
      </c>
      <c r="H19">
        <v>16.490134000000001</v>
      </c>
      <c r="I19">
        <v>17.24635</v>
      </c>
      <c r="J19">
        <v>16.982471800000003</v>
      </c>
      <c r="K19">
        <f t="shared" si="1"/>
        <v>19.245753748450213</v>
      </c>
      <c r="L19">
        <f t="shared" si="2"/>
        <v>18.421108749582228</v>
      </c>
      <c r="M19">
        <f t="shared" si="3"/>
        <v>17.421002464438519</v>
      </c>
      <c r="N19">
        <f t="shared" si="4"/>
        <v>22.398114328109848</v>
      </c>
      <c r="O19">
        <f t="shared" si="5"/>
        <v>20.883819010113712</v>
      </c>
      <c r="P19">
        <f t="shared" si="6"/>
        <v>19.488362396026467</v>
      </c>
      <c r="Q19">
        <f t="shared" si="7"/>
        <v>19.643026782786833</v>
      </c>
      <c r="R19">
        <v>17.399999999999999</v>
      </c>
      <c r="S19">
        <v>17.899999999999999</v>
      </c>
      <c r="T19" s="9"/>
      <c r="U19" s="62"/>
    </row>
    <row r="20" spans="1:21" x14ac:dyDescent="0.2">
      <c r="A20" t="s">
        <v>172</v>
      </c>
      <c r="B20" t="s">
        <v>174</v>
      </c>
      <c r="C20" s="106" t="s">
        <v>54</v>
      </c>
      <c r="D20">
        <v>20210422</v>
      </c>
      <c r="E20">
        <v>17.727475999999999</v>
      </c>
      <c r="F20">
        <v>16.641627</v>
      </c>
      <c r="G20" s="107">
        <v>15.459056</v>
      </c>
      <c r="H20">
        <v>16.724143999999999</v>
      </c>
      <c r="I20">
        <v>16.494696999999999</v>
      </c>
      <c r="J20">
        <v>16.609400000000001</v>
      </c>
      <c r="K20">
        <f t="shared" si="1"/>
        <v>19.121234535793292</v>
      </c>
      <c r="L20">
        <f t="shared" si="2"/>
        <v>17.767457476306934</v>
      </c>
      <c r="M20">
        <f t="shared" si="3"/>
        <v>15.532949451261043</v>
      </c>
      <c r="N20">
        <f t="shared" si="4"/>
        <v>18.154017280878367</v>
      </c>
      <c r="O20">
        <f t="shared" si="5"/>
        <v>17.119858770116572</v>
      </c>
      <c r="P20">
        <f t="shared" si="6"/>
        <v>17.506771894065501</v>
      </c>
      <c r="Q20">
        <f t="shared" si="7"/>
        <v>17.533714901403616</v>
      </c>
      <c r="R20">
        <v>17</v>
      </c>
      <c r="S20">
        <v>16.8</v>
      </c>
    </row>
    <row r="21" spans="1:21" x14ac:dyDescent="0.2">
      <c r="A21" t="s">
        <v>172</v>
      </c>
      <c r="B21" t="s">
        <v>174</v>
      </c>
      <c r="C21" s="106" t="s">
        <v>55</v>
      </c>
      <c r="D21">
        <v>20210729</v>
      </c>
      <c r="E21">
        <v>19.442837000000001</v>
      </c>
      <c r="F21">
        <v>18.658394999999999</v>
      </c>
      <c r="G21" s="107">
        <v>19.420445000000001</v>
      </c>
      <c r="H21">
        <v>18.519352000000001</v>
      </c>
      <c r="I21">
        <v>18.569638999999999</v>
      </c>
      <c r="J21">
        <v>18.922133599999999</v>
      </c>
      <c r="K21">
        <f t="shared" si="1"/>
        <v>18.425615784221062</v>
      </c>
      <c r="L21">
        <f t="shared" si="2"/>
        <v>18.835960930983489</v>
      </c>
      <c r="M21">
        <f t="shared" si="3"/>
        <v>21.105006411775726</v>
      </c>
      <c r="N21">
        <f t="shared" si="4"/>
        <v>18.603350557134647</v>
      </c>
      <c r="O21">
        <f t="shared" si="5"/>
        <v>18.913347435239338</v>
      </c>
      <c r="P21">
        <f t="shared" si="6"/>
        <v>19.139273211554904</v>
      </c>
      <c r="Q21">
        <f t="shared" si="7"/>
        <v>19.170425721818194</v>
      </c>
      <c r="R21">
        <v>20.3</v>
      </c>
      <c r="S21">
        <v>21.7</v>
      </c>
    </row>
    <row r="22" spans="1:21" x14ac:dyDescent="0.2">
      <c r="A22" t="s">
        <v>172</v>
      </c>
      <c r="B22" t="s">
        <v>174</v>
      </c>
      <c r="C22" t="s">
        <v>71</v>
      </c>
      <c r="D22">
        <v>20211028</v>
      </c>
      <c r="E22">
        <v>22.649566</v>
      </c>
      <c r="F22">
        <v>21.976167</v>
      </c>
      <c r="G22" s="107">
        <v>20.158825</v>
      </c>
      <c r="H22">
        <v>18.972612000000002</v>
      </c>
      <c r="I22">
        <v>17.873705000000001</v>
      </c>
      <c r="J22">
        <v>556.16769099999999</v>
      </c>
      <c r="K22">
        <f t="shared" ref="K22" si="8">(E22/E21)*$S21</f>
        <v>25.279005435266466</v>
      </c>
      <c r="L22">
        <f t="shared" ref="L22" si="9">(F22/F21)*$S21</f>
        <v>25.558619800899276</v>
      </c>
      <c r="M22">
        <f t="shared" ref="M22" si="10">(G22/G21)*$S21</f>
        <v>22.525050404354793</v>
      </c>
      <c r="N22">
        <f t="shared" ref="N22" si="11">(H22/H21)*$S21</f>
        <v>22.231106163973774</v>
      </c>
      <c r="O22">
        <f t="shared" ref="O22" si="12">(I22/I21)*$S21</f>
        <v>20.88674952162506</v>
      </c>
      <c r="P22">
        <f t="shared" ref="P22" si="13">(J22/J21)*$S21</f>
        <v>637.81596461722484</v>
      </c>
      <c r="Q22">
        <f t="shared" ref="Q22" si="14">AVERAGE(K22:P22)</f>
        <v>125.71608265722404</v>
      </c>
      <c r="R22" s="6">
        <f>'1. Data &amp; Confidence Interval'!AJ14</f>
        <v>21.7</v>
      </c>
      <c r="S22" s="10"/>
    </row>
    <row r="23" spans="1:21" x14ac:dyDescent="0.2">
      <c r="A23" s="161" t="s">
        <v>170</v>
      </c>
      <c r="B23" s="162"/>
      <c r="C23" s="162"/>
      <c r="D23" s="162"/>
      <c r="E23" s="102">
        <f t="shared" ref="E23:R23" si="15">CORREL(E6:E21,$S6:$S21)</f>
        <v>0.82606960995395107</v>
      </c>
      <c r="F23" s="102">
        <f t="shared" si="15"/>
        <v>0.86020528953788078</v>
      </c>
      <c r="G23" s="103">
        <f t="shared" si="15"/>
        <v>0.9442500475809863</v>
      </c>
      <c r="H23" s="102">
        <f t="shared" si="15"/>
        <v>0.83982881357251749</v>
      </c>
      <c r="I23" s="102">
        <f t="shared" si="15"/>
        <v>0.85266540501467558</v>
      </c>
      <c r="J23" s="103">
        <f t="shared" si="15"/>
        <v>0.90446890790075518</v>
      </c>
      <c r="K23" s="102">
        <f t="shared" si="15"/>
        <v>0.61755093508584635</v>
      </c>
      <c r="L23" s="102">
        <f t="shared" si="15"/>
        <v>0.69129206677371102</v>
      </c>
      <c r="M23" s="102">
        <f t="shared" si="15"/>
        <v>0.91040449162228698</v>
      </c>
      <c r="N23" s="102">
        <f t="shared" si="15"/>
        <v>0.66226155011798815</v>
      </c>
      <c r="O23" s="102">
        <f t="shared" si="15"/>
        <v>0.718606471661141</v>
      </c>
      <c r="P23" s="102">
        <f t="shared" si="15"/>
        <v>0.78886276801747723</v>
      </c>
      <c r="Q23" s="102">
        <f t="shared" si="15"/>
        <v>0.78980388475794161</v>
      </c>
      <c r="R23" s="103">
        <f t="shared" si="15"/>
        <v>0.94559089392329354</v>
      </c>
      <c r="S23" s="5"/>
    </row>
    <row r="25" spans="1:21" x14ac:dyDescent="0.2">
      <c r="A25" s="164" t="s">
        <v>76</v>
      </c>
      <c r="B25" s="165"/>
    </row>
    <row r="26" spans="1:21" x14ac:dyDescent="0.2">
      <c r="A26" s="17" t="s">
        <v>56</v>
      </c>
      <c r="B26" s="17" t="s">
        <v>57</v>
      </c>
      <c r="C26" s="17" t="s">
        <v>68</v>
      </c>
      <c r="D26" s="17" t="s">
        <v>58</v>
      </c>
      <c r="E26" s="17" t="s">
        <v>59</v>
      </c>
      <c r="F26" s="17" t="s">
        <v>69</v>
      </c>
      <c r="G26" s="17" t="s">
        <v>60</v>
      </c>
      <c r="H26" s="17" t="s">
        <v>61</v>
      </c>
      <c r="I26" s="17" t="s">
        <v>70</v>
      </c>
      <c r="J26" s="17" t="s">
        <v>62</v>
      </c>
      <c r="K26" s="17" t="s">
        <v>63</v>
      </c>
      <c r="L26" s="17" t="s">
        <v>73</v>
      </c>
      <c r="M26" s="17" t="s">
        <v>64</v>
      </c>
      <c r="N26" s="17" t="s">
        <v>65</v>
      </c>
      <c r="O26" s="17" t="s">
        <v>74</v>
      </c>
      <c r="P26" s="17" t="s">
        <v>66</v>
      </c>
      <c r="Q26" s="17" t="s">
        <v>67</v>
      </c>
      <c r="R26" s="17" t="s">
        <v>0</v>
      </c>
    </row>
    <row r="27" spans="1:21" x14ac:dyDescent="0.2">
      <c r="A27" s="9" t="str">
        <f t="shared" ref="A27:D42" si="16">A6</f>
        <v>KIDS</v>
      </c>
      <c r="B27" s="9" t="str">
        <f t="shared" si="16"/>
        <v>U.S. SALES</v>
      </c>
      <c r="C27" s="9" t="str">
        <f t="shared" si="16"/>
        <v>2017Q3</v>
      </c>
      <c r="D27" s="9">
        <f t="shared" si="16"/>
        <v>20171102</v>
      </c>
      <c r="E27" s="18">
        <f t="shared" ref="E27:J36" si="17">$S6/E6-1</f>
        <v>0.20072283514675826</v>
      </c>
      <c r="F27" s="18">
        <f t="shared" si="17"/>
        <v>0.16586181719966797</v>
      </c>
      <c r="G27" s="18">
        <f t="shared" si="17"/>
        <v>-8.6830613547096203E-2</v>
      </c>
      <c r="H27" s="18">
        <f t="shared" si="17"/>
        <v>0.22998724272606674</v>
      </c>
      <c r="I27" s="18">
        <f t="shared" si="17"/>
        <v>1.0365475427781052</v>
      </c>
      <c r="J27" s="18">
        <f t="shared" si="17"/>
        <v>0.22258446664154108</v>
      </c>
      <c r="K27" s="18"/>
      <c r="L27" s="18"/>
      <c r="M27" s="18"/>
      <c r="N27" s="18"/>
      <c r="O27" s="18"/>
      <c r="P27" s="18"/>
      <c r="Q27" s="18"/>
      <c r="R27" s="40">
        <f t="shared" ref="R27:R42" si="18">$S6/R6-1</f>
        <v>4.3478260869565188E-2</v>
      </c>
    </row>
    <row r="28" spans="1:21" x14ac:dyDescent="0.2">
      <c r="A28" s="9" t="str">
        <f t="shared" si="16"/>
        <v>KIDS</v>
      </c>
      <c r="B28" s="9" t="str">
        <f t="shared" si="16"/>
        <v>U.S. SALES</v>
      </c>
      <c r="C28" s="9" t="str">
        <f t="shared" si="16"/>
        <v>2017Q4</v>
      </c>
      <c r="D28" s="9">
        <f t="shared" si="16"/>
        <v>20180301</v>
      </c>
      <c r="E28" s="18">
        <f t="shared" si="17"/>
        <v>4.6511240719942837E-2</v>
      </c>
      <c r="F28" s="18">
        <f t="shared" si="17"/>
        <v>8.5721674261783454E-2</v>
      </c>
      <c r="G28" s="18">
        <f t="shared" si="17"/>
        <v>8.2576339777409968E-2</v>
      </c>
      <c r="H28" s="18">
        <f t="shared" si="17"/>
        <v>-3.6920000118196183E-2</v>
      </c>
      <c r="I28" s="18">
        <f t="shared" si="17"/>
        <v>0.28316507831243976</v>
      </c>
      <c r="J28" s="18">
        <f t="shared" si="17"/>
        <v>8.2723788548965782E-2</v>
      </c>
      <c r="K28" s="18">
        <f t="shared" ref="K28:Q42" si="19">$S7/K7-1</f>
        <v>-0.1284322992058089</v>
      </c>
      <c r="L28" s="18">
        <f t="shared" si="19"/>
        <v>-6.8738972111100138E-2</v>
      </c>
      <c r="M28" s="18">
        <f t="shared" si="19"/>
        <v>0.18551536641251953</v>
      </c>
      <c r="N28" s="18">
        <f t="shared" si="19"/>
        <v>-0.21700000908359529</v>
      </c>
      <c r="O28" s="18">
        <f t="shared" si="19"/>
        <v>-0.36993119416105447</v>
      </c>
      <c r="P28" s="18">
        <f t="shared" si="19"/>
        <v>-0.11439755853988121</v>
      </c>
      <c r="Q28" s="18">
        <f t="shared" si="19"/>
        <v>-0.1499162274455812</v>
      </c>
      <c r="R28" s="40">
        <f t="shared" si="18"/>
        <v>0</v>
      </c>
    </row>
    <row r="29" spans="1:21" x14ac:dyDescent="0.2">
      <c r="A29" s="9" t="str">
        <f t="shared" si="16"/>
        <v>KIDS</v>
      </c>
      <c r="B29" s="9" t="str">
        <f t="shared" si="16"/>
        <v>U.S. SALES</v>
      </c>
      <c r="C29" s="9" t="str">
        <f t="shared" si="16"/>
        <v>2018Q1</v>
      </c>
      <c r="D29" s="9">
        <f t="shared" si="16"/>
        <v>20180503</v>
      </c>
      <c r="E29" s="18">
        <f t="shared" si="17"/>
        <v>-0.13928189794079637</v>
      </c>
      <c r="F29" s="18">
        <f t="shared" si="17"/>
        <v>-0.13180142522280536</v>
      </c>
      <c r="G29" s="18">
        <f t="shared" si="17"/>
        <v>-0.11135235114207065</v>
      </c>
      <c r="H29" s="18">
        <f t="shared" si="17"/>
        <v>-0.12918552722361221</v>
      </c>
      <c r="I29" s="18">
        <f t="shared" si="17"/>
        <v>0.1045771773787163</v>
      </c>
      <c r="J29" s="18">
        <f t="shared" si="17"/>
        <v>-8.9685997962277941E-2</v>
      </c>
      <c r="K29" s="18">
        <f t="shared" si="19"/>
        <v>-0.17753573151581581</v>
      </c>
      <c r="L29" s="18">
        <f t="shared" si="19"/>
        <v>-0.20034885978719152</v>
      </c>
      <c r="M29" s="18">
        <f t="shared" si="19"/>
        <v>-0.17913627316051883</v>
      </c>
      <c r="N29" s="18">
        <f t="shared" si="19"/>
        <v>-9.5802557541159294E-2</v>
      </c>
      <c r="O29" s="18">
        <f t="shared" si="19"/>
        <v>-0.13917765060174025</v>
      </c>
      <c r="P29" s="18">
        <f t="shared" si="19"/>
        <v>-0.15923709106114881</v>
      </c>
      <c r="Q29" s="18">
        <f t="shared" si="19"/>
        <v>-0.15985937973834197</v>
      </c>
      <c r="R29" s="40">
        <f t="shared" si="18"/>
        <v>1.1627906976744207E-2</v>
      </c>
    </row>
    <row r="30" spans="1:21" x14ac:dyDescent="0.2">
      <c r="A30" s="9" t="str">
        <f t="shared" si="16"/>
        <v>KIDS</v>
      </c>
      <c r="B30" s="9" t="str">
        <f t="shared" si="16"/>
        <v>U.S. SALES</v>
      </c>
      <c r="C30" s="9" t="str">
        <f t="shared" si="16"/>
        <v>2018Q2</v>
      </c>
      <c r="D30" s="9">
        <f t="shared" si="16"/>
        <v>20180802</v>
      </c>
      <c r="E30" s="18">
        <f t="shared" si="17"/>
        <v>-1.2903751334833125E-2</v>
      </c>
      <c r="F30" s="18">
        <f t="shared" si="17"/>
        <v>2.6548324985561367E-2</v>
      </c>
      <c r="G30" s="18">
        <f t="shared" si="17"/>
        <v>6.7511665581827085E-2</v>
      </c>
      <c r="H30" s="18">
        <f t="shared" si="17"/>
        <v>1.0085306534979521E-2</v>
      </c>
      <c r="I30" s="18">
        <f t="shared" si="17"/>
        <v>-3.8902148789146329E-2</v>
      </c>
      <c r="J30" s="18">
        <f t="shared" si="17"/>
        <v>9.1915587567386048E-3</v>
      </c>
      <c r="K30" s="18">
        <f t="shared" si="19"/>
        <v>0.14682873092085913</v>
      </c>
      <c r="L30" s="18">
        <f t="shared" si="19"/>
        <v>0.18238886218974026</v>
      </c>
      <c r="M30" s="18">
        <f t="shared" si="19"/>
        <v>0.20127664429627434</v>
      </c>
      <c r="N30" s="18">
        <f t="shared" si="19"/>
        <v>0.1599316939629627</v>
      </c>
      <c r="O30" s="18">
        <f t="shared" si="19"/>
        <v>-0.12989524779821626</v>
      </c>
      <c r="P30" s="18">
        <f t="shared" si="19"/>
        <v>0.10861917590818204</v>
      </c>
      <c r="Q30" s="18">
        <f t="shared" si="19"/>
        <v>9.8178514879450285E-2</v>
      </c>
      <c r="R30" s="40">
        <f t="shared" si="18"/>
        <v>5.504587155963292E-2</v>
      </c>
    </row>
    <row r="31" spans="1:21" x14ac:dyDescent="0.2">
      <c r="A31" s="9" t="str">
        <f t="shared" si="16"/>
        <v>KIDS</v>
      </c>
      <c r="B31" s="9" t="str">
        <f t="shared" si="16"/>
        <v>U.S. SALES</v>
      </c>
      <c r="C31" s="9" t="str">
        <f t="shared" si="16"/>
        <v>2018Q3</v>
      </c>
      <c r="D31" s="9">
        <f t="shared" si="16"/>
        <v>20181025</v>
      </c>
      <c r="E31" s="18">
        <f t="shared" si="17"/>
        <v>-2.7051575525199878E-2</v>
      </c>
      <c r="F31" s="18">
        <f t="shared" si="17"/>
        <v>-3.8106347893041681E-2</v>
      </c>
      <c r="G31" s="18">
        <f t="shared" si="17"/>
        <v>4.7307204257337476E-2</v>
      </c>
      <c r="H31" s="18">
        <f t="shared" si="17"/>
        <v>-2.6549679919329106E-2</v>
      </c>
      <c r="I31" s="18">
        <f t="shared" si="17"/>
        <v>-0.13791047714777949</v>
      </c>
      <c r="J31" s="18">
        <f t="shared" si="17"/>
        <v>-4.0214159800998628E-2</v>
      </c>
      <c r="K31" s="18">
        <f t="shared" si="19"/>
        <v>-1.4332770699411301E-2</v>
      </c>
      <c r="L31" s="18">
        <f t="shared" si="19"/>
        <v>-6.2982590595052956E-2</v>
      </c>
      <c r="M31" s="18">
        <f t="shared" si="19"/>
        <v>-1.8926689024496568E-2</v>
      </c>
      <c r="N31" s="18">
        <f t="shared" si="19"/>
        <v>-3.6269200449992045E-2</v>
      </c>
      <c r="O31" s="18">
        <f t="shared" si="19"/>
        <v>-0.10301586694205589</v>
      </c>
      <c r="P31" s="18">
        <f t="shared" si="19"/>
        <v>-4.8955739006182331E-2</v>
      </c>
      <c r="Q31" s="18">
        <f t="shared" si="19"/>
        <v>-4.8375195535311777E-2</v>
      </c>
      <c r="R31" s="40">
        <f t="shared" si="18"/>
        <v>6.8965517241379448E-2</v>
      </c>
    </row>
    <row r="32" spans="1:21" x14ac:dyDescent="0.2">
      <c r="A32" s="9" t="str">
        <f t="shared" si="16"/>
        <v>KIDS</v>
      </c>
      <c r="B32" s="9" t="str">
        <f t="shared" si="16"/>
        <v>U.S. SALES</v>
      </c>
      <c r="C32" s="9" t="str">
        <f t="shared" si="16"/>
        <v>2018Q4</v>
      </c>
      <c r="D32" s="9">
        <f t="shared" si="16"/>
        <v>20190228</v>
      </c>
      <c r="E32" s="18">
        <f t="shared" si="17"/>
        <v>-8.9880240294037961E-3</v>
      </c>
      <c r="F32" s="18">
        <f t="shared" si="17"/>
        <v>-3.2900572239524806E-3</v>
      </c>
      <c r="G32" s="18">
        <f t="shared" si="17"/>
        <v>4.3979404297689761E-2</v>
      </c>
      <c r="H32" s="18">
        <f t="shared" si="17"/>
        <v>-2.3759018585837066E-2</v>
      </c>
      <c r="I32" s="18">
        <f t="shared" si="17"/>
        <v>-0.13583198924816431</v>
      </c>
      <c r="J32" s="18">
        <f t="shared" si="17"/>
        <v>-2.9458533491186545E-2</v>
      </c>
      <c r="K32" s="18">
        <f t="shared" si="19"/>
        <v>1.8565785237328436E-2</v>
      </c>
      <c r="L32" s="18">
        <f t="shared" si="19"/>
        <v>3.6195571717129615E-2</v>
      </c>
      <c r="M32" s="18">
        <f t="shared" si="19"/>
        <v>-3.1774821619866556E-3</v>
      </c>
      <c r="N32" s="18">
        <f t="shared" si="19"/>
        <v>2.86677324556317E-3</v>
      </c>
      <c r="O32" s="18">
        <f t="shared" si="19"/>
        <v>2.4109884698964024E-3</v>
      </c>
      <c r="P32" s="18">
        <f t="shared" si="19"/>
        <v>1.1206277337433956E-2</v>
      </c>
      <c r="Q32" s="18">
        <f t="shared" si="19"/>
        <v>1.1176336821412169E-2</v>
      </c>
      <c r="R32" s="40">
        <f t="shared" si="18"/>
        <v>0</v>
      </c>
    </row>
    <row r="33" spans="1:18" x14ac:dyDescent="0.2">
      <c r="A33" s="9" t="str">
        <f t="shared" si="16"/>
        <v>KIDS</v>
      </c>
      <c r="B33" s="9" t="str">
        <f t="shared" si="16"/>
        <v>U.S. SALES</v>
      </c>
      <c r="C33" s="9" t="str">
        <f t="shared" si="16"/>
        <v>2019Q1</v>
      </c>
      <c r="D33" s="9">
        <f t="shared" si="16"/>
        <v>20190502</v>
      </c>
      <c r="E33" s="18">
        <f t="shared" si="17"/>
        <v>-0.21642936141123048</v>
      </c>
      <c r="F33" s="18">
        <f t="shared" si="17"/>
        <v>-0.19820946941083484</v>
      </c>
      <c r="G33" s="18">
        <f t="shared" si="17"/>
        <v>-0.10518366235643195</v>
      </c>
      <c r="H33" s="18">
        <f t="shared" si="17"/>
        <v>-0.13415997798244483</v>
      </c>
      <c r="I33" s="18">
        <f t="shared" si="17"/>
        <v>-0.11771203371402206</v>
      </c>
      <c r="J33" s="18">
        <f t="shared" si="17"/>
        <v>-0.15673440338115785</v>
      </c>
      <c r="K33" s="18">
        <f t="shared" si="19"/>
        <v>-0.20932273515530297</v>
      </c>
      <c r="L33" s="18">
        <f t="shared" si="19"/>
        <v>-0.19556282507224776</v>
      </c>
      <c r="M33" s="18">
        <f t="shared" si="19"/>
        <v>-0.14287931930464404</v>
      </c>
      <c r="N33" s="18">
        <f t="shared" si="19"/>
        <v>-0.11308781489246966</v>
      </c>
      <c r="O33" s="18">
        <f t="shared" si="19"/>
        <v>2.0968093366911189E-2</v>
      </c>
      <c r="P33" s="18">
        <f t="shared" si="19"/>
        <v>-0.13113903350034306</v>
      </c>
      <c r="Q33" s="18">
        <f t="shared" si="19"/>
        <v>-0.13450418619076132</v>
      </c>
      <c r="R33" s="40">
        <f t="shared" si="18"/>
        <v>-3.7383177570093351E-2</v>
      </c>
    </row>
    <row r="34" spans="1:18" x14ac:dyDescent="0.2">
      <c r="A34" s="9" t="str">
        <f t="shared" si="16"/>
        <v>KIDS</v>
      </c>
      <c r="B34" s="9" t="str">
        <f t="shared" si="16"/>
        <v>U.S. SALES</v>
      </c>
      <c r="C34" s="9" t="str">
        <f t="shared" si="16"/>
        <v>2019Q2</v>
      </c>
      <c r="D34" s="9">
        <f t="shared" si="16"/>
        <v>20190801</v>
      </c>
      <c r="E34" s="18">
        <f t="shared" si="17"/>
        <v>5.8017623046874744E-2</v>
      </c>
      <c r="F34" s="18">
        <f t="shared" si="17"/>
        <v>4.6347983949021954E-2</v>
      </c>
      <c r="G34" s="18">
        <f t="shared" si="17"/>
        <v>0.19574160024018816</v>
      </c>
      <c r="H34" s="18">
        <f t="shared" si="17"/>
        <v>0.10549507153474358</v>
      </c>
      <c r="I34" s="18">
        <f t="shared" si="17"/>
        <v>-2.5234558232063664E-2</v>
      </c>
      <c r="J34" s="18">
        <f t="shared" si="17"/>
        <v>7.1207476866731234E-2</v>
      </c>
      <c r="K34" s="18">
        <f t="shared" si="19"/>
        <v>0.35025174622723365</v>
      </c>
      <c r="L34" s="18">
        <f t="shared" si="19"/>
        <v>0.30501414525331572</v>
      </c>
      <c r="M34" s="18">
        <f t="shared" si="19"/>
        <v>0.33629835524581986</v>
      </c>
      <c r="N34" s="18">
        <f t="shared" si="19"/>
        <v>0.27678906428782457</v>
      </c>
      <c r="O34" s="18">
        <f t="shared" si="19"/>
        <v>0.10481552397370386</v>
      </c>
      <c r="P34" s="18">
        <f t="shared" si="19"/>
        <v>0.27030852576204323</v>
      </c>
      <c r="Q34" s="18">
        <f t="shared" si="19"/>
        <v>0.2682932070362547</v>
      </c>
      <c r="R34" s="40">
        <f t="shared" si="18"/>
        <v>-1.4285714285714235E-2</v>
      </c>
    </row>
    <row r="35" spans="1:18" x14ac:dyDescent="0.2">
      <c r="A35" s="9" t="str">
        <f t="shared" si="16"/>
        <v>KIDS</v>
      </c>
      <c r="B35" s="9" t="str">
        <f t="shared" si="16"/>
        <v>U.S. SALES</v>
      </c>
      <c r="C35" s="9" t="str">
        <f t="shared" si="16"/>
        <v>2019Q3</v>
      </c>
      <c r="D35" s="9">
        <f t="shared" si="16"/>
        <v>20191031</v>
      </c>
      <c r="E35" s="18">
        <f t="shared" si="17"/>
        <v>0.21602547862907606</v>
      </c>
      <c r="F35" s="18">
        <f t="shared" si="17"/>
        <v>0.15502982142620203</v>
      </c>
      <c r="G35" s="18">
        <f t="shared" si="17"/>
        <v>0.17199223192386848</v>
      </c>
      <c r="H35" s="18">
        <f t="shared" si="17"/>
        <v>0.38516225732967269</v>
      </c>
      <c r="I35" s="18">
        <f t="shared" si="17"/>
        <v>0.19694241061209161</v>
      </c>
      <c r="J35" s="18">
        <f t="shared" si="17"/>
        <v>0.21987612128943623</v>
      </c>
      <c r="K35" s="18">
        <f t="shared" si="19"/>
        <v>0.14934331162383763</v>
      </c>
      <c r="L35" s="18">
        <f t="shared" si="19"/>
        <v>0.10386777548612858</v>
      </c>
      <c r="M35" s="18">
        <f t="shared" si="19"/>
        <v>-1.9861622537469037E-2</v>
      </c>
      <c r="N35" s="18">
        <f t="shared" si="19"/>
        <v>0.25297913396092397</v>
      </c>
      <c r="O35" s="18">
        <f t="shared" si="19"/>
        <v>0.22792864757411979</v>
      </c>
      <c r="P35" s="18">
        <f t="shared" si="19"/>
        <v>0.13878604064411415</v>
      </c>
      <c r="Q35" s="18">
        <f t="shared" si="19"/>
        <v>0.1348940157533034</v>
      </c>
      <c r="R35" s="40">
        <f t="shared" si="18"/>
        <v>9.8039215686274606E-2</v>
      </c>
    </row>
    <row r="36" spans="1:18" x14ac:dyDescent="0.2">
      <c r="A36" s="9" t="str">
        <f t="shared" si="16"/>
        <v>KIDS</v>
      </c>
      <c r="B36" s="9" t="str">
        <f t="shared" si="16"/>
        <v>U.S. SALES</v>
      </c>
      <c r="C36" s="9" t="str">
        <f t="shared" si="16"/>
        <v>2019Q4</v>
      </c>
      <c r="D36" s="9">
        <f t="shared" si="16"/>
        <v>20200227</v>
      </c>
      <c r="E36" s="18">
        <f t="shared" si="17"/>
        <v>0.20935028762948771</v>
      </c>
      <c r="F36" s="18">
        <f t="shared" si="17"/>
        <v>0.17268302609038044</v>
      </c>
      <c r="G36" s="18">
        <f t="shared" si="17"/>
        <v>0.20026831913748366</v>
      </c>
      <c r="H36" s="18">
        <f t="shared" si="17"/>
        <v>0.17428565805231644</v>
      </c>
      <c r="I36" s="18">
        <f t="shared" si="17"/>
        <v>-1.3786363762955167E-2</v>
      </c>
      <c r="J36" s="18">
        <f t="shared" si="17"/>
        <v>0.14198445533976245</v>
      </c>
      <c r="K36" s="18">
        <f t="shared" si="19"/>
        <v>-5.4893512651674747E-3</v>
      </c>
      <c r="L36" s="18">
        <f t="shared" si="19"/>
        <v>1.5283765264502591E-2</v>
      </c>
      <c r="M36" s="18">
        <f t="shared" si="19"/>
        <v>2.4126514189602544E-2</v>
      </c>
      <c r="N36" s="18">
        <f t="shared" si="19"/>
        <v>-0.15223963702554666</v>
      </c>
      <c r="O36" s="18">
        <f t="shared" si="19"/>
        <v>-0.17605590085765632</v>
      </c>
      <c r="P36" s="18">
        <f t="shared" si="19"/>
        <v>-6.385211136630875E-2</v>
      </c>
      <c r="Q36" s="18">
        <f t="shared" si="19"/>
        <v>-6.6637175296452966E-2</v>
      </c>
      <c r="R36" s="40">
        <f t="shared" si="18"/>
        <v>7.0921985815601829E-3</v>
      </c>
    </row>
    <row r="37" spans="1:18" x14ac:dyDescent="0.2">
      <c r="A37" s="9" t="str">
        <f t="shared" si="16"/>
        <v>KIDS</v>
      </c>
      <c r="B37" s="9" t="str">
        <f t="shared" si="16"/>
        <v>U.S. SALES</v>
      </c>
      <c r="C37" s="9" t="str">
        <f t="shared" si="16"/>
        <v>2020Q1</v>
      </c>
      <c r="D37" s="9">
        <f t="shared" si="16"/>
        <v>20200430</v>
      </c>
      <c r="E37" s="18">
        <f t="shared" ref="E37:J42" si="20">$S16/E16-1</f>
        <v>-7.211533467899689E-2</v>
      </c>
      <c r="F37" s="18">
        <f t="shared" si="20"/>
        <v>-4.2285044987945275E-2</v>
      </c>
      <c r="G37" s="18">
        <f t="shared" si="20"/>
        <v>-3.1296076691277541E-2</v>
      </c>
      <c r="H37" s="18">
        <f t="shared" si="20"/>
        <v>-7.2211444950358361E-2</v>
      </c>
      <c r="I37" s="18">
        <f t="shared" si="20"/>
        <v>-3.8999687603182065E-2</v>
      </c>
      <c r="J37" s="18">
        <f t="shared" si="20"/>
        <v>-5.1700080250234315E-2</v>
      </c>
      <c r="K37" s="18">
        <f t="shared" si="19"/>
        <v>-0.23274118771675356</v>
      </c>
      <c r="L37" s="18">
        <f t="shared" si="19"/>
        <v>-0.18331302346466971</v>
      </c>
      <c r="M37" s="18">
        <f t="shared" si="19"/>
        <v>-0.19292719147595616</v>
      </c>
      <c r="N37" s="18">
        <f t="shared" si="19"/>
        <v>-0.20991238487193797</v>
      </c>
      <c r="O37" s="18">
        <f t="shared" si="19"/>
        <v>-2.5565783024892874E-2</v>
      </c>
      <c r="P37" s="18">
        <f t="shared" si="19"/>
        <v>-0.16960347812472798</v>
      </c>
      <c r="Q37" s="18">
        <f t="shared" si="19"/>
        <v>-0.17389611079924705</v>
      </c>
      <c r="R37" s="40">
        <f t="shared" si="18"/>
        <v>0.39583333333333348</v>
      </c>
    </row>
    <row r="38" spans="1:18" x14ac:dyDescent="0.2">
      <c r="A38" s="9" t="str">
        <f t="shared" si="16"/>
        <v>KIDS</v>
      </c>
      <c r="B38" s="9" t="str">
        <f t="shared" si="16"/>
        <v>U.S. SALES</v>
      </c>
      <c r="C38" s="9" t="str">
        <f t="shared" si="16"/>
        <v>2020Q2</v>
      </c>
      <c r="D38" s="9">
        <f t="shared" si="16"/>
        <v>20200730</v>
      </c>
      <c r="E38" s="18">
        <f t="shared" si="20"/>
        <v>-0.3091619569306443</v>
      </c>
      <c r="F38" s="18">
        <f t="shared" si="20"/>
        <v>-0.29600815094562682</v>
      </c>
      <c r="G38" s="18">
        <f t="shared" si="20"/>
        <v>-6.8675914997050169E-2</v>
      </c>
      <c r="H38" s="18">
        <f t="shared" si="20"/>
        <v>-0.15769765494673726</v>
      </c>
      <c r="I38" s="18">
        <f t="shared" si="20"/>
        <v>-0.14033400794615569</v>
      </c>
      <c r="J38" s="18">
        <f t="shared" si="20"/>
        <v>-0.20536448584750855</v>
      </c>
      <c r="K38" s="18">
        <f t="shared" si="19"/>
        <v>-0.25546992111313838</v>
      </c>
      <c r="L38" s="18">
        <f t="shared" si="19"/>
        <v>-0.26492549231883711</v>
      </c>
      <c r="M38" s="18">
        <f t="shared" si="19"/>
        <v>-3.8587474878905681E-2</v>
      </c>
      <c r="N38" s="18">
        <f t="shared" si="19"/>
        <v>-9.2139754830026899E-2</v>
      </c>
      <c r="O38" s="18">
        <f t="shared" si="19"/>
        <v>-0.10544670905489839</v>
      </c>
      <c r="P38" s="18">
        <f t="shared" si="19"/>
        <v>-0.16204198945606019</v>
      </c>
      <c r="Q38" s="18">
        <f t="shared" si="19"/>
        <v>-0.16159154148568344</v>
      </c>
      <c r="R38" s="40">
        <f t="shared" si="18"/>
        <v>0.3595505617977528</v>
      </c>
    </row>
    <row r="39" spans="1:18" x14ac:dyDescent="0.2">
      <c r="A39" s="9" t="str">
        <f t="shared" si="16"/>
        <v>KIDS</v>
      </c>
      <c r="B39" s="9" t="str">
        <f t="shared" si="16"/>
        <v>U.S. SALES</v>
      </c>
      <c r="C39" s="9" t="str">
        <f t="shared" si="16"/>
        <v>2020Q3</v>
      </c>
      <c r="D39" s="9">
        <f t="shared" si="16"/>
        <v>20201029</v>
      </c>
      <c r="E39" s="18">
        <f t="shared" si="20"/>
        <v>0.1597140429181767</v>
      </c>
      <c r="F39" s="18">
        <f t="shared" si="20"/>
        <v>9.8733171864403335E-2</v>
      </c>
      <c r="G39" s="18">
        <f t="shared" si="20"/>
        <v>-2.2107602589518938E-2</v>
      </c>
      <c r="H39" s="18">
        <f t="shared" si="20"/>
        <v>0.35827363974785453</v>
      </c>
      <c r="I39" s="18">
        <f t="shared" si="20"/>
        <v>0.21091239654267224</v>
      </c>
      <c r="J39" s="18">
        <f t="shared" si="20"/>
        <v>0.1475574713468073</v>
      </c>
      <c r="K39" s="18">
        <f t="shared" si="19"/>
        <v>0.67870610854843827</v>
      </c>
      <c r="L39" s="18">
        <f t="shared" si="19"/>
        <v>0.56071859829096127</v>
      </c>
      <c r="M39" s="18">
        <f t="shared" si="19"/>
        <v>5.0002263613083686E-2</v>
      </c>
      <c r="N39" s="18">
        <f t="shared" si="19"/>
        <v>0.61257254918596282</v>
      </c>
      <c r="O39" s="18">
        <f t="shared" si="19"/>
        <v>0.40858473841643828</v>
      </c>
      <c r="P39" s="18">
        <f t="shared" si="19"/>
        <v>0.44413061197084858</v>
      </c>
      <c r="Q39" s="18">
        <f t="shared" si="19"/>
        <v>0.42473008519819833</v>
      </c>
      <c r="R39" s="40">
        <f t="shared" si="18"/>
        <v>0.14619883040935666</v>
      </c>
    </row>
    <row r="40" spans="1:18" x14ac:dyDescent="0.2">
      <c r="A40" s="9" t="str">
        <f t="shared" si="16"/>
        <v>KIDS</v>
      </c>
      <c r="B40" s="9" t="str">
        <f t="shared" si="16"/>
        <v>U.S. SALES</v>
      </c>
      <c r="C40" s="9" t="str">
        <f t="shared" si="16"/>
        <v>2020Q4</v>
      </c>
      <c r="D40" s="9">
        <f t="shared" si="16"/>
        <v>20210304</v>
      </c>
      <c r="E40" s="18">
        <f t="shared" si="20"/>
        <v>7.8621374852984927E-2</v>
      </c>
      <c r="F40" s="18">
        <f t="shared" si="20"/>
        <v>6.765146678909062E-2</v>
      </c>
      <c r="G40" s="18">
        <f t="shared" si="20"/>
        <v>4.7799458945645412E-3</v>
      </c>
      <c r="H40" s="18">
        <f t="shared" si="20"/>
        <v>8.5497546593617635E-2</v>
      </c>
      <c r="I40" s="18">
        <f t="shared" si="20"/>
        <v>3.7900773207084404E-2</v>
      </c>
      <c r="J40" s="18">
        <f t="shared" si="20"/>
        <v>5.4027953692818542E-2</v>
      </c>
      <c r="K40" s="18">
        <f t="shared" si="19"/>
        <v>-6.9924709940684004E-2</v>
      </c>
      <c r="L40" s="18">
        <f t="shared" si="19"/>
        <v>-2.8288674512822021E-2</v>
      </c>
      <c r="M40" s="18">
        <f t="shared" si="19"/>
        <v>2.7495405992809863E-2</v>
      </c>
      <c r="N40" s="18">
        <f t="shared" si="19"/>
        <v>-0.20082558121710603</v>
      </c>
      <c r="O40" s="18">
        <f t="shared" si="19"/>
        <v>-0.14287707668164984</v>
      </c>
      <c r="P40" s="18">
        <f t="shared" si="19"/>
        <v>-8.1503122927882532E-2</v>
      </c>
      <c r="Q40" s="18">
        <f t="shared" si="19"/>
        <v>-8.8735142606140904E-2</v>
      </c>
      <c r="R40" s="40">
        <f t="shared" si="18"/>
        <v>2.8735632183908066E-2</v>
      </c>
    </row>
    <row r="41" spans="1:18" x14ac:dyDescent="0.2">
      <c r="A41" s="9" t="str">
        <f t="shared" si="16"/>
        <v>KIDS</v>
      </c>
      <c r="B41" s="9" t="str">
        <f t="shared" si="16"/>
        <v>U.S. SALES</v>
      </c>
      <c r="C41" s="9" t="str">
        <f t="shared" si="16"/>
        <v>2021Q1</v>
      </c>
      <c r="D41" s="9">
        <f t="shared" si="16"/>
        <v>20210422</v>
      </c>
      <c r="E41" s="18">
        <f t="shared" si="20"/>
        <v>-5.2318559054881697E-2</v>
      </c>
      <c r="F41" s="18">
        <f t="shared" si="20"/>
        <v>9.5166776661921304E-3</v>
      </c>
      <c r="G41" s="18">
        <f t="shared" si="20"/>
        <v>8.6741648390432191E-2</v>
      </c>
      <c r="H41" s="18">
        <f t="shared" si="20"/>
        <v>4.5357179416776194E-3</v>
      </c>
      <c r="I41" s="18">
        <f t="shared" si="20"/>
        <v>1.8509160853333873E-2</v>
      </c>
      <c r="J41" s="18">
        <f t="shared" si="20"/>
        <v>1.14754295760231E-2</v>
      </c>
      <c r="K41" s="18">
        <f t="shared" si="19"/>
        <v>-0.12139564165944106</v>
      </c>
      <c r="L41" s="18">
        <f t="shared" si="19"/>
        <v>-5.4451092825017144E-2</v>
      </c>
      <c r="M41" s="18">
        <f t="shared" si="19"/>
        <v>8.1571793735290443E-2</v>
      </c>
      <c r="N41" s="18">
        <f t="shared" si="19"/>
        <v>-7.4584994600867427E-2</v>
      </c>
      <c r="O41" s="18">
        <f t="shared" si="19"/>
        <v>-1.8683493503748871E-2</v>
      </c>
      <c r="P41" s="18">
        <f t="shared" si="19"/>
        <v>-4.0371343063256848E-2</v>
      </c>
      <c r="Q41" s="18">
        <f t="shared" si="19"/>
        <v>-4.1845946824701663E-2</v>
      </c>
      <c r="R41" s="40">
        <f t="shared" si="18"/>
        <v>-1.1764705882352899E-2</v>
      </c>
    </row>
    <row r="42" spans="1:18" x14ac:dyDescent="0.2">
      <c r="A42" s="9" t="str">
        <f t="shared" si="16"/>
        <v>KIDS</v>
      </c>
      <c r="B42" s="9" t="str">
        <f t="shared" si="16"/>
        <v>U.S. SALES</v>
      </c>
      <c r="C42" s="9" t="str">
        <f t="shared" si="16"/>
        <v>2021Q2</v>
      </c>
      <c r="D42" s="9">
        <f t="shared" si="16"/>
        <v>20210729</v>
      </c>
      <c r="E42" s="18">
        <f t="shared" si="20"/>
        <v>0.1160922657531922</v>
      </c>
      <c r="F42" s="18">
        <f t="shared" si="20"/>
        <v>0.16301536118192383</v>
      </c>
      <c r="G42" s="18">
        <f t="shared" si="20"/>
        <v>0.11737913317640247</v>
      </c>
      <c r="H42" s="18">
        <f t="shared" si="20"/>
        <v>0.17174726199923174</v>
      </c>
      <c r="I42" s="18">
        <f t="shared" si="20"/>
        <v>0.16857414406386684</v>
      </c>
      <c r="J42" s="18">
        <f t="shared" si="20"/>
        <v>0.1468051361818945</v>
      </c>
      <c r="K42" s="18">
        <f t="shared" si="19"/>
        <v>0.17770826517412708</v>
      </c>
      <c r="L42" s="18">
        <f t="shared" si="19"/>
        <v>0.15205165690832478</v>
      </c>
      <c r="M42" s="18">
        <f t="shared" si="19"/>
        <v>2.8192059107468026E-2</v>
      </c>
      <c r="N42" s="18">
        <f t="shared" si="19"/>
        <v>0.1664565441238619</v>
      </c>
      <c r="O42" s="18">
        <f t="shared" si="19"/>
        <v>0.14733788264094239</v>
      </c>
      <c r="P42" s="18">
        <f t="shared" si="19"/>
        <v>0.13379435886306879</v>
      </c>
      <c r="Q42" s="18">
        <f t="shared" si="19"/>
        <v>0.13195190940923407</v>
      </c>
      <c r="R42" s="40">
        <f t="shared" si="18"/>
        <v>6.8965517241379226E-2</v>
      </c>
    </row>
    <row r="43" spans="1:18" x14ac:dyDescent="0.2">
      <c r="A43" s="170" t="s">
        <v>77</v>
      </c>
      <c r="B43" s="170"/>
      <c r="C43" s="166"/>
      <c r="D43" s="167"/>
      <c r="E43" s="73" cm="1">
        <f t="array" ref="E43">SUM(ABS(E27:E42))/COUNT(E27:E42)</f>
        <v>0.12020660060015499</v>
      </c>
      <c r="F43" s="73" cm="1">
        <f t="array" ref="F43">SUM(ABS(F27:F42))/COUNT(F27:F42)</f>
        <v>0.10630061381865209</v>
      </c>
      <c r="G43" s="75" cm="1">
        <f t="array" ref="G43">SUM(ABS(G27:G42))/COUNT(G27:G42)</f>
        <v>9.0232732125040585E-2</v>
      </c>
      <c r="H43" s="73" cm="1">
        <f t="array" ref="H43">SUM(ABS(H27:H42))/COUNT(H27:H42)</f>
        <v>0.13159706288666723</v>
      </c>
      <c r="I43" s="73" cm="1">
        <f t="array" ref="I43">SUM(ABS(I27:I42))/COUNT(I27:I42)</f>
        <v>0.16911499688698622</v>
      </c>
      <c r="J43" s="73" cm="1">
        <f t="array" ref="J43">SUM(ABS(J27:J42))/COUNT(J27:J42)</f>
        <v>0.10503696993588016</v>
      </c>
      <c r="K43" s="73" cm="1">
        <f t="array" ref="K43">SUM(ABS(K27:K42))/COUNT(K27:K42)</f>
        <v>0.1824032197335565</v>
      </c>
      <c r="L43" s="73" cm="1">
        <f t="array" ref="L43">SUM(ABS(L27:L42))/COUNT(L27:L42)</f>
        <v>0.16094212705313607</v>
      </c>
      <c r="M43" s="73" cm="1">
        <f t="array" ref="M43">SUM(ABS(M27:M42))/COUNT(M27:M42)</f>
        <v>0.10199829700912301</v>
      </c>
      <c r="N43" s="73" cm="1">
        <f t="array" ref="N43">SUM(ABS(N27:N42))/COUNT(N27:N42)</f>
        <v>0.1775638462186534</v>
      </c>
      <c r="O43" s="73" cm="1">
        <f t="array" ref="O43">SUM(ABS(O27:O42))/COUNT(O27:O42)</f>
        <v>0.14151298647119501</v>
      </c>
      <c r="P43" s="73" cm="1">
        <f t="array" ref="P43">SUM(ABS(P27:P42))/COUNT(P27:P42)</f>
        <v>0.1385297638354322</v>
      </c>
      <c r="Q43" s="73" cm="1">
        <f t="array" ref="Q43">SUM(ABS(Q27:Q42))/COUNT(Q27:Q42)</f>
        <v>0.13963899833467169</v>
      </c>
      <c r="R43" s="75" cm="1">
        <f t="array" ref="R43">SUM(ABS(R27:R42))/COUNT(R27:R42)</f>
        <v>8.4185402726190461E-2</v>
      </c>
    </row>
    <row r="44" spans="1:18" x14ac:dyDescent="0.2">
      <c r="A44" s="171" t="s">
        <v>78</v>
      </c>
      <c r="B44" s="171"/>
      <c r="C44" s="168"/>
      <c r="D44" s="169"/>
      <c r="E44" s="74" cm="1">
        <f t="array" ref="E44">SQRT(SUM(POWER(E27:E42,2))/COUNT(E27:E42))</f>
        <v>0.14837031809572912</v>
      </c>
      <c r="F44" s="74" cm="1">
        <f t="array" ref="F44">SQRT(SUM(POWER(F27:F42,2))/COUNT(F27:F42))</f>
        <v>0.13230761587752521</v>
      </c>
      <c r="G44" s="76" cm="1">
        <f t="array" ref="G44">SQRT(SUM(POWER(G27:G42,2))/COUNT(G27:G42))</f>
        <v>0.10667246497978776</v>
      </c>
      <c r="H44" s="74" cm="1">
        <f t="array" ref="H44">SQRT(SUM(POWER(H27:H42,2))/COUNT(H27:H42))</f>
        <v>0.17238063673533721</v>
      </c>
      <c r="I44" s="74" cm="1">
        <f t="array" ref="I44">SQRT(SUM(POWER(I27:I42,2))/COUNT(I27:I42))</f>
        <v>0.29089268780500721</v>
      </c>
      <c r="J44" s="74" cm="1">
        <f t="array" ref="J44">SQRT(SUM(POWER(J27:J42,2))/COUNT(J27:J42))</f>
        <v>0.12658113011383523</v>
      </c>
      <c r="K44" s="74" cm="1">
        <f t="array" ref="K44">SQRT(SUM(POWER(K27:K42,2))/COUNT(K27:K42))</f>
        <v>0.24361586599635421</v>
      </c>
      <c r="L44" s="74" cm="1">
        <f t="array" ref="L44">SQRT(SUM(POWER(L27:L42,2))/COUNT(L27:L42))</f>
        <v>0.21146903559171368</v>
      </c>
      <c r="M44" s="74" cm="1">
        <f t="array" ref="M44">SQRT(SUM(POWER(M27:M42,2))/COUNT(M27:M42))</f>
        <v>0.13935300098781467</v>
      </c>
      <c r="N44" s="74" cm="1">
        <f t="array" ref="N44">SQRT(SUM(POWER(N27:N42,2))/COUNT(N27:N42))</f>
        <v>0.22526207427747735</v>
      </c>
      <c r="O44" s="74" cm="1">
        <f t="array" ref="O44">SQRT(SUM(POWER(O27:O42,2))/COUNT(O27:O42))</f>
        <v>0.1824406675015289</v>
      </c>
      <c r="P44" s="74" cm="1">
        <f t="array" ref="P44">SQRT(SUM(POWER(P27:P42,2))/COUNT(P27:P42))</f>
        <v>0.17220431796141272</v>
      </c>
      <c r="Q44" s="74" cm="1">
        <f t="array" ref="Q44">SQRT(SUM(POWER(Q27:Q42,2))/COUNT(Q27:Q42))</f>
        <v>0.17061206700871728</v>
      </c>
      <c r="R44" s="76" cm="1">
        <f t="array" ref="R44">SQRT(SUM(POWER(R27:R42,2))/COUNT(R27:R42))</f>
        <v>0.1445100663305636</v>
      </c>
    </row>
    <row r="45" spans="1:18" x14ac:dyDescent="0.2">
      <c r="G45" s="3" t="e">
        <f>AVERAGE(#REF!,G41,G39,G33:G36,G28:G29)</f>
        <v>#REF!</v>
      </c>
      <c r="J45" s="3"/>
    </row>
    <row r="46" spans="1:18" x14ac:dyDescent="0.2">
      <c r="B46" t="s">
        <v>158</v>
      </c>
      <c r="G46" s="3">
        <f>AVERAGE(G29,G35)</f>
        <v>3.0319940390898914E-2</v>
      </c>
      <c r="J46" s="3"/>
    </row>
  </sheetData>
  <mergeCells count="7">
    <mergeCell ref="A23:D23"/>
    <mergeCell ref="A4:B4"/>
    <mergeCell ref="A25:B25"/>
    <mergeCell ref="C43:D43"/>
    <mergeCell ref="C44:D44"/>
    <mergeCell ref="A43:B43"/>
    <mergeCell ref="A44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M52" sqref="M52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2" t="s">
        <v>82</v>
      </c>
      <c r="C7" s="172"/>
      <c r="D7" s="172" t="s">
        <v>112</v>
      </c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6"/>
      <c r="P7" s="6"/>
      <c r="Q7" s="6"/>
    </row>
    <row r="8" spans="1:17" ht="15" x14ac:dyDescent="0.2">
      <c r="A8" s="67" t="s">
        <v>171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9.2960544459497169E-2</v>
      </c>
      <c r="D9" s="2">
        <v>9.1313022582621486E-2</v>
      </c>
      <c r="E9" s="2">
        <v>0.11327128635694809</v>
      </c>
      <c r="F9" s="2">
        <v>0.1013545096447378</v>
      </c>
      <c r="G9" s="2">
        <v>7.3256787460623959E-2</v>
      </c>
      <c r="H9" s="2">
        <v>0.11349109035099381</v>
      </c>
      <c r="I9" s="2">
        <v>0.11328489562172391</v>
      </c>
      <c r="J9" s="2">
        <v>6.7183089361474477E-2</v>
      </c>
      <c r="K9" s="2">
        <v>7.6399830766601826E-2</v>
      </c>
      <c r="L9" s="2">
        <v>0.14994298148019361</v>
      </c>
      <c r="M9" s="2">
        <v>0.2452962269205618</v>
      </c>
      <c r="O9" s="6"/>
      <c r="P9" s="6"/>
      <c r="Q9" s="6"/>
    </row>
    <row r="10" spans="1:17" ht="15" x14ac:dyDescent="0.2">
      <c r="B10" s="71" t="s">
        <v>96</v>
      </c>
      <c r="C10" s="2">
        <v>0.13470436970987129</v>
      </c>
      <c r="D10" s="2">
        <v>0.1069635901273511</v>
      </c>
      <c r="E10" s="2">
        <v>0.123201042497482</v>
      </c>
      <c r="F10" s="2">
        <v>0.12664118728577309</v>
      </c>
      <c r="G10" s="2">
        <v>8.868277158342569E-2</v>
      </c>
      <c r="H10" s="2">
        <v>0.1239467777963001</v>
      </c>
      <c r="I10" s="2">
        <v>0.12317050937039679</v>
      </c>
      <c r="J10" s="2">
        <v>8.1520612308090074E-2</v>
      </c>
      <c r="K10" s="2">
        <v>0.10038350021971611</v>
      </c>
      <c r="L10" s="2">
        <v>0.1694061010132229</v>
      </c>
      <c r="M10" s="2">
        <v>0.41932593971696419</v>
      </c>
      <c r="O10" s="6"/>
      <c r="P10" s="6"/>
      <c r="Q10" s="6"/>
    </row>
    <row r="11" spans="1:17" ht="15" x14ac:dyDescent="0.2">
      <c r="B11" s="71" t="s">
        <v>97</v>
      </c>
      <c r="C11" s="2">
        <v>-4.6224544963056391E-2</v>
      </c>
      <c r="D11" s="2">
        <v>-4.2287650971002899E-2</v>
      </c>
      <c r="E11" s="2">
        <v>-2.683672034144979E-2</v>
      </c>
      <c r="F11" s="2">
        <v>-2.0178381684695661E-3</v>
      </c>
      <c r="G11" s="2">
        <v>2.3850258544944821E-2</v>
      </c>
      <c r="H11" s="2">
        <v>-4.1079023333813518E-2</v>
      </c>
      <c r="I11" s="2">
        <v>-2.713510202903785E-2</v>
      </c>
      <c r="J11" s="2">
        <v>1.260935764770532E-2</v>
      </c>
      <c r="K11" s="2">
        <v>1.7378406889025141E-2</v>
      </c>
      <c r="L11" s="2">
        <v>8.0291778764736144E-2</v>
      </c>
      <c r="M11" s="2">
        <v>1.488864136325441E-2</v>
      </c>
      <c r="O11" s="6"/>
      <c r="P11" s="6"/>
      <c r="Q11" s="6"/>
    </row>
    <row r="12" spans="1:17" ht="15" x14ac:dyDescent="0.2">
      <c r="B12" s="9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73" t="s">
        <v>108</v>
      </c>
      <c r="C20" s="173"/>
      <c r="D20" s="173"/>
      <c r="E20" s="173"/>
      <c r="F20" s="66" t="e">
        <f>#REF!+#REF!*'2. Past Proj &amp; Candidate Model'!#REF!</f>
        <v>#REF!</v>
      </c>
      <c r="G20" s="69" t="s">
        <v>109</v>
      </c>
      <c r="H20" s="2" t="e">
        <f>'2. Past Proj &amp; Candidate Model'!#REF!/'3.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4" t="s">
        <v>159</v>
      </c>
      <c r="C24" s="174"/>
      <c r="D24" s="174"/>
      <c r="E24" s="3">
        <f>C9</f>
        <v>9.2960544459497169E-2</v>
      </c>
      <c r="F24" t="s">
        <v>110</v>
      </c>
      <c r="G24" s="174" t="s">
        <v>111</v>
      </c>
      <c r="H24" s="174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zoomScale="85" zoomScaleNormal="85" workbookViewId="0">
      <selection activeCell="K33" sqref="K33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78" t="str">
        <f>D5</f>
        <v>PROJ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171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8.4509585872270157E-2</v>
      </c>
      <c r="D6" s="2">
        <v>8.946837411155785E-2</v>
      </c>
      <c r="E6" s="2">
        <v>0.1053600478200951</v>
      </c>
      <c r="F6" s="2">
        <v>9.5642267428249564E-2</v>
      </c>
      <c r="G6" s="2">
        <v>7.0060538103007441E-2</v>
      </c>
      <c r="H6" s="2">
        <v>0.1062848348391526</v>
      </c>
      <c r="I6" s="2">
        <v>0.1053984070306262</v>
      </c>
      <c r="J6" s="2">
        <v>6.3637556349878652E-2</v>
      </c>
      <c r="K6" s="2">
        <v>7.2889129416617418E-2</v>
      </c>
      <c r="L6" s="2">
        <v>0.13990821887562899</v>
      </c>
      <c r="M6" s="2">
        <v>0.22810951167339649</v>
      </c>
    </row>
    <row r="7" spans="1:25" ht="15" x14ac:dyDescent="0.2">
      <c r="B7" s="71" t="s">
        <v>96</v>
      </c>
      <c r="C7" s="2">
        <v>0.12843557712626941</v>
      </c>
      <c r="D7" s="2">
        <v>0.1042096684152572</v>
      </c>
      <c r="E7" s="2">
        <v>0.1177338711242185</v>
      </c>
      <c r="F7" s="2">
        <v>0.1213049057130668</v>
      </c>
      <c r="G7" s="2">
        <v>8.5332398597244841E-2</v>
      </c>
      <c r="H7" s="2">
        <v>0.11862822050045051</v>
      </c>
      <c r="I7" s="2">
        <v>0.1177106512244932</v>
      </c>
      <c r="J7" s="2">
        <v>7.8189943660735645E-2</v>
      </c>
      <c r="K7" s="2">
        <v>9.6387456486245207E-2</v>
      </c>
      <c r="L7" s="2">
        <v>0.16196220409546799</v>
      </c>
      <c r="M7" s="2">
        <v>0.40017105889671839</v>
      </c>
    </row>
    <row r="8" spans="1:25" ht="15" x14ac:dyDescent="0.2">
      <c r="B8" s="71" t="s">
        <v>97</v>
      </c>
      <c r="C8" s="2">
        <v>-2.7932960893854771E-2</v>
      </c>
      <c r="D8" s="2">
        <v>-7.1021889400921578E-2</v>
      </c>
      <c r="E8" s="2">
        <v>-2.6247662451564849E-2</v>
      </c>
      <c r="F8" s="2">
        <v>3.454586016703165E-2</v>
      </c>
      <c r="G8" s="2">
        <v>2.856123372727648E-2</v>
      </c>
      <c r="H8" s="2">
        <v>-3.4222279720740538E-2</v>
      </c>
      <c r="I8" s="2">
        <v>-2.6533521119648799E-2</v>
      </c>
      <c r="J8" s="2">
        <v>1.7347622462980269E-2</v>
      </c>
      <c r="K8" s="2">
        <v>1.781984575412587E-2</v>
      </c>
      <c r="L8" s="2">
        <v>9.4068062346686077E-3</v>
      </c>
      <c r="M8" s="2">
        <v>-2.815885528483553E-2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169</v>
      </c>
      <c r="C14">
        <v>9.6</v>
      </c>
      <c r="D14">
        <v>9.1999999999999993</v>
      </c>
      <c r="E14">
        <v>10.512836</v>
      </c>
    </row>
    <row r="15" spans="1:25" x14ac:dyDescent="0.2">
      <c r="B15" t="s">
        <v>167</v>
      </c>
      <c r="C15">
        <v>8.8000000000000007</v>
      </c>
      <c r="D15">
        <v>8.8000000000000007</v>
      </c>
      <c r="E15">
        <v>8.1287570000000002</v>
      </c>
    </row>
    <row r="16" spans="1:25" x14ac:dyDescent="0.2">
      <c r="B16" t="s">
        <v>42</v>
      </c>
      <c r="C16">
        <v>8.6999999999999993</v>
      </c>
      <c r="D16">
        <v>8.6</v>
      </c>
      <c r="E16">
        <v>9.7901570000000007</v>
      </c>
    </row>
    <row r="17" spans="2:25" x14ac:dyDescent="0.2">
      <c r="B17" t="s">
        <v>43</v>
      </c>
      <c r="C17">
        <v>11.5</v>
      </c>
      <c r="D17">
        <v>10.9</v>
      </c>
      <c r="E17">
        <v>10.772716000000001</v>
      </c>
    </row>
    <row r="18" spans="2:25" x14ac:dyDescent="0.2">
      <c r="B18" t="s">
        <v>44</v>
      </c>
      <c r="C18">
        <v>12.4</v>
      </c>
      <c r="D18">
        <v>11.6</v>
      </c>
      <c r="E18">
        <v>11.839888</v>
      </c>
    </row>
    <row r="19" spans="2:25" x14ac:dyDescent="0.2">
      <c r="B19" t="s">
        <v>45</v>
      </c>
      <c r="C19">
        <v>10.9</v>
      </c>
      <c r="D19">
        <v>10.9</v>
      </c>
      <c r="E19">
        <v>10.440818999999999</v>
      </c>
    </row>
    <row r="20" spans="2:25" x14ac:dyDescent="0.2">
      <c r="B20" t="s">
        <v>46</v>
      </c>
      <c r="C20">
        <v>10.3</v>
      </c>
      <c r="D20">
        <v>10.7</v>
      </c>
      <c r="E20">
        <v>11.510742</v>
      </c>
      <c r="F20">
        <v>11.61251985189117</v>
      </c>
      <c r="G20">
        <v>11.13248175182482</v>
      </c>
      <c r="H20">
        <v>11.287675509364909</v>
      </c>
      <c r="I20">
        <v>11.346254981572081</v>
      </c>
      <c r="J20">
        <v>11.602570107256239</v>
      </c>
      <c r="K20">
        <v>11.298550036869409</v>
      </c>
      <c r="L20">
        <v>11.278942377974779</v>
      </c>
      <c r="M20">
        <v>11.979741962266351</v>
      </c>
      <c r="N20">
        <v>12.38686018787109</v>
      </c>
      <c r="O20" s="2">
        <v>3.883495145631044E-2</v>
      </c>
      <c r="P20" s="2">
        <v>0.1175477669902911</v>
      </c>
      <c r="Q20" s="2">
        <v>0.12742911183409419</v>
      </c>
      <c r="R20" s="2">
        <v>8.0823471050953E-2</v>
      </c>
      <c r="S20" s="2">
        <v>9.5890826151932451E-2</v>
      </c>
      <c r="T20" s="2">
        <v>0.10157815355068719</v>
      </c>
      <c r="U20" s="2">
        <v>0.12646311720934331</v>
      </c>
      <c r="V20" s="2">
        <v>9.6946605521301743E-2</v>
      </c>
      <c r="W20" s="2">
        <v>9.5042949317940106E-2</v>
      </c>
      <c r="X20" s="2">
        <v>0.1630817439093539</v>
      </c>
      <c r="Y20" s="2">
        <v>0.20260778523020309</v>
      </c>
    </row>
    <row r="21" spans="2:25" x14ac:dyDescent="0.2">
      <c r="B21" t="s">
        <v>47</v>
      </c>
      <c r="C21">
        <v>13.8</v>
      </c>
      <c r="D21">
        <v>14</v>
      </c>
      <c r="E21">
        <v>11.540955</v>
      </c>
      <c r="F21">
        <v>11.2799813776119</v>
      </c>
      <c r="G21">
        <v>14.63407738095238</v>
      </c>
      <c r="H21">
        <v>14.55903701427285</v>
      </c>
      <c r="I21">
        <v>11.10201434029373</v>
      </c>
      <c r="J21">
        <v>11.27131081481483</v>
      </c>
      <c r="K21">
        <v>14.372547880378329</v>
      </c>
      <c r="L21">
        <v>14.03373015873016</v>
      </c>
      <c r="M21">
        <v>11.47276135371855</v>
      </c>
      <c r="N21">
        <v>11.58537798545569</v>
      </c>
      <c r="O21" s="2">
        <v>1.449275362318825E-2</v>
      </c>
      <c r="P21" s="2">
        <v>-0.16369891304347831</v>
      </c>
      <c r="Q21" s="2">
        <v>-0.18261004510058709</v>
      </c>
      <c r="R21" s="2">
        <v>6.0440389924085743E-2</v>
      </c>
      <c r="S21" s="2">
        <v>5.5002682193684649E-2</v>
      </c>
      <c r="T21" s="2">
        <v>-0.19550620722509229</v>
      </c>
      <c r="U21" s="2">
        <v>-0.18323834675254891</v>
      </c>
      <c r="V21" s="2">
        <v>4.1488976839009213E-2</v>
      </c>
      <c r="W21" s="2">
        <v>1.6936968023924411E-2</v>
      </c>
      <c r="X21" s="2">
        <v>-0.1686404816145981</v>
      </c>
      <c r="Y21" s="2">
        <v>-0.16047985612639901</v>
      </c>
    </row>
    <row r="22" spans="2:25" x14ac:dyDescent="0.2">
      <c r="B22" t="s">
        <v>48</v>
      </c>
      <c r="C22">
        <v>16.8</v>
      </c>
      <c r="D22">
        <v>15.3</v>
      </c>
      <c r="E22">
        <v>14.334566000000001</v>
      </c>
      <c r="F22">
        <v>14.93715929012664</v>
      </c>
      <c r="G22">
        <v>15.358636596617121</v>
      </c>
      <c r="H22">
        <v>15.5728314305219</v>
      </c>
      <c r="I22">
        <v>14.059573407925139</v>
      </c>
      <c r="J22">
        <v>14.907226674533639</v>
      </c>
      <c r="K22">
        <v>15.4522657520458</v>
      </c>
      <c r="L22">
        <v>14.99793268409363</v>
      </c>
      <c r="M22">
        <v>20.322603265090581</v>
      </c>
      <c r="N22">
        <v>-4.1718870642873753</v>
      </c>
      <c r="O22" s="2">
        <v>-8.9285714285714302E-2</v>
      </c>
      <c r="P22" s="2">
        <v>-0.14675202380952379</v>
      </c>
      <c r="Q22" s="2">
        <v>-0.11088337558770001</v>
      </c>
      <c r="R22" s="2">
        <v>-8.5795440677552737E-2</v>
      </c>
      <c r="S22" s="2">
        <v>-7.3045748183220405E-2</v>
      </c>
      <c r="T22" s="2">
        <v>-0.16312063048064651</v>
      </c>
      <c r="U22" s="2">
        <v>-0.11266507889680701</v>
      </c>
      <c r="V22" s="2">
        <v>-8.0222276663940328E-2</v>
      </c>
      <c r="W22" s="2">
        <v>-0.1072659116610937</v>
      </c>
      <c r="X22" s="2">
        <v>0.209678765779201</v>
      </c>
      <c r="Y22" s="2">
        <v>-1.248326610969487</v>
      </c>
    </row>
    <row r="23" spans="2:25" x14ac:dyDescent="0.2">
      <c r="B23" t="s">
        <v>49</v>
      </c>
      <c r="C23">
        <v>14.2</v>
      </c>
      <c r="D23">
        <v>14.1</v>
      </c>
      <c r="E23">
        <v>11.830688</v>
      </c>
      <c r="F23">
        <v>12.593685881513981</v>
      </c>
      <c r="G23">
        <v>14.77811034115139</v>
      </c>
      <c r="H23">
        <v>14.471777823749109</v>
      </c>
      <c r="I23">
        <v>12.56990836593214</v>
      </c>
      <c r="J23">
        <v>12.59033367502151</v>
      </c>
      <c r="K23">
        <v>14.31176951822051</v>
      </c>
      <c r="L23">
        <v>14.453041809708591</v>
      </c>
      <c r="M23">
        <v>12.288752909941669</v>
      </c>
      <c r="N23">
        <v>12.70262387726328</v>
      </c>
      <c r="O23" s="2">
        <v>-7.0422535211267512E-3</v>
      </c>
      <c r="P23" s="2">
        <v>-0.16685295774647879</v>
      </c>
      <c r="Q23" s="2">
        <v>-0.1131207125694379</v>
      </c>
      <c r="R23" s="2">
        <v>4.0711995855732042E-2</v>
      </c>
      <c r="S23" s="2">
        <v>1.9139283362613169E-2</v>
      </c>
      <c r="T23" s="2">
        <v>-0.1147951854977363</v>
      </c>
      <c r="U23" s="2">
        <v>-0.11335678344918911</v>
      </c>
      <c r="V23" s="2">
        <v>7.8710928324303708E-3</v>
      </c>
      <c r="W23" s="2">
        <v>1.781984575412587E-2</v>
      </c>
      <c r="X23" s="2">
        <v>-0.1345948654970657</v>
      </c>
      <c r="Y23" s="2">
        <v>-0.1054490227279381</v>
      </c>
    </row>
    <row r="24" spans="2:25" x14ac:dyDescent="0.2">
      <c r="B24" t="s">
        <v>50</v>
      </c>
      <c r="C24">
        <v>13.4</v>
      </c>
      <c r="D24">
        <v>9.6</v>
      </c>
      <c r="E24">
        <v>13.832916000000001</v>
      </c>
      <c r="F24">
        <v>15.674855710985989</v>
      </c>
      <c r="G24">
        <v>9.7243560095718848</v>
      </c>
      <c r="H24">
        <v>10.95397129922535</v>
      </c>
      <c r="I24">
        <v>15.445275330056971</v>
      </c>
      <c r="J24">
        <v>15.663013050511429</v>
      </c>
      <c r="K24">
        <v>11.155021888641141</v>
      </c>
      <c r="L24">
        <v>10.15903157138804</v>
      </c>
      <c r="M24">
        <v>16.130058521802859</v>
      </c>
      <c r="N24">
        <v>16.567911480311469</v>
      </c>
      <c r="O24" s="2">
        <v>-0.28358208955223879</v>
      </c>
      <c r="P24" s="2">
        <v>3.2307164179104619E-2</v>
      </c>
      <c r="Q24" s="2">
        <v>0.16976535156611899</v>
      </c>
      <c r="R24" s="2">
        <v>-0.27430179033045637</v>
      </c>
      <c r="S24" s="2">
        <v>-0.1825394552816906</v>
      </c>
      <c r="T24" s="2">
        <v>0.15263248731768431</v>
      </c>
      <c r="U24" s="2">
        <v>0.16888157093368841</v>
      </c>
      <c r="V24" s="2">
        <v>-0.16753567995215379</v>
      </c>
      <c r="W24" s="2">
        <v>-0.24186331556805671</v>
      </c>
      <c r="X24" s="2">
        <v>0.20373571058230319</v>
      </c>
      <c r="Y24" s="2">
        <v>0.2364113045008556</v>
      </c>
    </row>
    <row r="25" spans="2:25" x14ac:dyDescent="0.2">
      <c r="B25" t="s">
        <v>51</v>
      </c>
      <c r="C25">
        <v>12.1</v>
      </c>
      <c r="D25">
        <v>8.9</v>
      </c>
      <c r="E25">
        <v>12.992255</v>
      </c>
      <c r="F25">
        <v>13.94313702805583</v>
      </c>
      <c r="G25">
        <v>9.5635827382800347</v>
      </c>
      <c r="H25">
        <v>11.599582515280879</v>
      </c>
      <c r="I25">
        <v>13.792657831326251</v>
      </c>
      <c r="J25">
        <v>13.93706449900278</v>
      </c>
      <c r="K25">
        <v>11.47045979715881</v>
      </c>
      <c r="L25">
        <v>11.523069430498451</v>
      </c>
      <c r="M25">
        <v>13.92923869066712</v>
      </c>
      <c r="N25">
        <v>14.4683806833263</v>
      </c>
      <c r="O25" s="2">
        <v>-0.26446280991735532</v>
      </c>
      <c r="P25" s="2">
        <v>7.3740082644628169E-2</v>
      </c>
      <c r="Q25" s="2">
        <v>0.15232537421948991</v>
      </c>
      <c r="R25" s="2">
        <v>-0.20962126129917069</v>
      </c>
      <c r="S25" s="2">
        <v>-4.135681691893589E-2</v>
      </c>
      <c r="T25" s="2">
        <v>0.13988907696911121</v>
      </c>
      <c r="U25" s="2">
        <v>0.15182351231427929</v>
      </c>
      <c r="V25" s="2">
        <v>-5.2028115937288288E-2</v>
      </c>
      <c r="W25" s="2">
        <v>-4.7680212355500351E-2</v>
      </c>
      <c r="X25" s="2">
        <v>0.15117675129480371</v>
      </c>
      <c r="Y25" s="2">
        <v>0.19573394077076881</v>
      </c>
    </row>
    <row r="26" spans="2:25" x14ac:dyDescent="0.2">
      <c r="B26" t="s">
        <v>52</v>
      </c>
      <c r="C26">
        <v>19.600000000000001</v>
      </c>
      <c r="D26">
        <v>17.100000000000001</v>
      </c>
      <c r="E26">
        <v>20.043105000000001</v>
      </c>
      <c r="F26">
        <v>21.86494011023672</v>
      </c>
      <c r="G26">
        <v>17.213142857142859</v>
      </c>
      <c r="H26">
        <v>22.258574474144531</v>
      </c>
      <c r="I26">
        <v>21.25085615819421</v>
      </c>
      <c r="J26">
        <v>21.833565866741498</v>
      </c>
      <c r="K26">
        <v>21.860154301141399</v>
      </c>
      <c r="L26">
        <v>21.714209618826711</v>
      </c>
      <c r="M26">
        <v>25.520696136780451</v>
      </c>
      <c r="N26">
        <v>21.67770815351011</v>
      </c>
      <c r="O26" s="2">
        <v>-0.12755102040816321</v>
      </c>
      <c r="P26" s="2">
        <v>2.260739795918365E-2</v>
      </c>
      <c r="Q26" s="2">
        <v>0.1155581688896283</v>
      </c>
      <c r="R26" s="2">
        <v>-0.1217784256559766</v>
      </c>
      <c r="S26" s="2">
        <v>0.13564155480329229</v>
      </c>
      <c r="T26" s="2">
        <v>8.4227355009908633E-2</v>
      </c>
      <c r="U26" s="2">
        <v>0.1139574421806888</v>
      </c>
      <c r="V26" s="2">
        <v>0.1153139949561939</v>
      </c>
      <c r="W26" s="2">
        <v>0.10786783769524</v>
      </c>
      <c r="X26" s="2">
        <v>0.30207633350920648</v>
      </c>
      <c r="Y26" s="2">
        <v>0.10600551803623</v>
      </c>
    </row>
    <row r="27" spans="2:25" x14ac:dyDescent="0.2">
      <c r="B27" t="s">
        <v>53</v>
      </c>
      <c r="C27">
        <v>17.899999999999999</v>
      </c>
      <c r="D27">
        <v>17.399999999999999</v>
      </c>
      <c r="E27">
        <v>17.814845999999999</v>
      </c>
      <c r="F27">
        <v>18.08363340639233</v>
      </c>
      <c r="G27">
        <v>18.518370896989861</v>
      </c>
      <c r="H27">
        <v>19.270529538238019</v>
      </c>
      <c r="I27">
        <v>17.696341824585222</v>
      </c>
      <c r="J27">
        <v>18.076291310509092</v>
      </c>
      <c r="K27">
        <v>18.879305750355091</v>
      </c>
      <c r="L27">
        <v>19.26136482386384</v>
      </c>
      <c r="M27">
        <v>18.068381831600561</v>
      </c>
      <c r="N27">
        <v>18.937056870403062</v>
      </c>
      <c r="O27" s="2">
        <v>-2.7932960893854771E-2</v>
      </c>
      <c r="P27" s="2">
        <v>-4.7572067039105548E-3</v>
      </c>
      <c r="Q27" s="2">
        <v>1.025884951912448E-2</v>
      </c>
      <c r="R27" s="2">
        <v>3.454586016703165E-2</v>
      </c>
      <c r="S27" s="2">
        <v>7.6565895990950983E-2</v>
      </c>
      <c r="T27" s="2">
        <v>-1.1377551699149779E-2</v>
      </c>
      <c r="U27" s="2">
        <v>9.8486765647536334E-3</v>
      </c>
      <c r="V27" s="2">
        <v>5.4709818455591863E-2</v>
      </c>
      <c r="W27" s="2">
        <v>7.6053900774516459E-2</v>
      </c>
      <c r="X27" s="2">
        <v>9.4068062346686077E-3</v>
      </c>
      <c r="Y27" s="2">
        <v>5.793613801134434E-2</v>
      </c>
    </row>
    <row r="28" spans="2:25" x14ac:dyDescent="0.2">
      <c r="B28" t="s">
        <v>54</v>
      </c>
      <c r="C28">
        <v>16.8</v>
      </c>
      <c r="D28">
        <v>17</v>
      </c>
      <c r="E28">
        <v>15.459056</v>
      </c>
      <c r="F28">
        <v>15.725937524606</v>
      </c>
      <c r="G28">
        <v>17.924674739705139</v>
      </c>
      <c r="H28">
        <v>17.279828726618241</v>
      </c>
      <c r="I28">
        <v>15.61088768452958</v>
      </c>
      <c r="J28">
        <v>15.722802805536469</v>
      </c>
      <c r="K28">
        <v>17.091440057378069</v>
      </c>
      <c r="L28">
        <v>17.274641463465692</v>
      </c>
      <c r="M28">
        <v>15.989930125785699</v>
      </c>
      <c r="N28">
        <v>16.326931231214761</v>
      </c>
      <c r="O28" s="2">
        <v>1.1904761904761861E-2</v>
      </c>
      <c r="P28" s="2">
        <v>-7.9818095238095244E-2</v>
      </c>
      <c r="Q28" s="2">
        <v>-6.3932290202024067E-2</v>
      </c>
      <c r="R28" s="2">
        <v>6.6944924982448528E-2</v>
      </c>
      <c r="S28" s="2">
        <v>2.856123372727648E-2</v>
      </c>
      <c r="T28" s="2">
        <v>-7.078049496847727E-2</v>
      </c>
      <c r="U28" s="2">
        <v>-6.4118880622829333E-2</v>
      </c>
      <c r="V28" s="2">
        <v>1.7347622462980269E-2</v>
      </c>
      <c r="W28" s="2">
        <v>2.825246806343373E-2</v>
      </c>
      <c r="X28" s="2">
        <v>-4.8218444893708079E-2</v>
      </c>
      <c r="Y28" s="2">
        <v>-2.815885528483553E-2</v>
      </c>
    </row>
    <row r="29" spans="2:25" x14ac:dyDescent="0.2">
      <c r="B29" t="s">
        <v>55</v>
      </c>
      <c r="C29">
        <v>21.7</v>
      </c>
      <c r="D29">
        <v>20.3</v>
      </c>
      <c r="E29">
        <v>19.420445000000001</v>
      </c>
      <c r="F29">
        <v>19.815798025436301</v>
      </c>
      <c r="G29">
        <v>20.86278065786383</v>
      </c>
      <c r="H29">
        <v>21.161310997559649</v>
      </c>
      <c r="I29">
        <v>19.508218390825661</v>
      </c>
      <c r="J29">
        <v>19.779646623739492</v>
      </c>
      <c r="K29">
        <v>20.867442393133349</v>
      </c>
      <c r="L29">
        <v>21.152836703587539</v>
      </c>
      <c r="M29">
        <v>19.338607920731501</v>
      </c>
      <c r="N29">
        <v>19.272784745218019</v>
      </c>
      <c r="O29" s="2">
        <v>-6.4516129032258007E-2</v>
      </c>
      <c r="P29" s="2">
        <v>-0.1050486175115206</v>
      </c>
      <c r="Q29" s="2">
        <v>-8.6829584081276279E-2</v>
      </c>
      <c r="R29" s="2">
        <v>-3.8581536503970781E-2</v>
      </c>
      <c r="S29" s="2">
        <v>-2.4824377992642699E-2</v>
      </c>
      <c r="T29" s="2">
        <v>-0.1010037607914441</v>
      </c>
      <c r="U29" s="2">
        <v>-8.8495547293111154E-2</v>
      </c>
      <c r="V29" s="2">
        <v>-3.8366709993855053E-2</v>
      </c>
      <c r="W29" s="2">
        <v>-2.521489845218694E-2</v>
      </c>
      <c r="X29" s="2">
        <v>-0.1088199114870274</v>
      </c>
      <c r="Y29" s="2">
        <v>-0.1118532375475567</v>
      </c>
    </row>
    <row r="30" spans="2:25" x14ac:dyDescent="0.2">
      <c r="B30" t="s">
        <v>71</v>
      </c>
      <c r="C30">
        <v>21.7</v>
      </c>
      <c r="D30">
        <v>21.7</v>
      </c>
      <c r="E30">
        <v>20.158825</v>
      </c>
      <c r="F30">
        <v>21.130425724801039</v>
      </c>
      <c r="G30">
        <v>22.535880642215069</v>
      </c>
      <c r="H30">
        <v>22.52672756623247</v>
      </c>
      <c r="I30">
        <v>20.957376530059928</v>
      </c>
      <c r="J30">
        <v>21.124222591703621</v>
      </c>
      <c r="K30">
        <v>22.311554309276069</v>
      </c>
      <c r="L30">
        <v>22.519871915393981</v>
      </c>
      <c r="M30">
        <v>20.841535135589378</v>
      </c>
      <c r="N30">
        <v>20.47954080532217</v>
      </c>
      <c r="O30" s="2">
        <v>0</v>
      </c>
      <c r="P30" s="2">
        <v>-7.1021889400921578E-2</v>
      </c>
      <c r="Q30" s="2">
        <v>-2.6247662451564849E-2</v>
      </c>
      <c r="R30" s="2">
        <v>3.8519845263367047E-2</v>
      </c>
      <c r="S30" s="2">
        <v>3.8098044526842179E-2</v>
      </c>
      <c r="T30" s="2">
        <v>-3.4222279720740538E-2</v>
      </c>
      <c r="U30" s="2">
        <v>-2.6533521119648799E-2</v>
      </c>
      <c r="V30" s="2">
        <v>2.8182226233920419E-2</v>
      </c>
      <c r="W30" s="2">
        <v>3.7782115916773273E-2</v>
      </c>
      <c r="X30" s="2">
        <v>-3.9560592829982373E-2</v>
      </c>
      <c r="Y30" s="2">
        <v>-5.6242359201743468E-2</v>
      </c>
    </row>
    <row r="31" spans="2:25" x14ac:dyDescent="0.2">
      <c r="H31" s="93" t="s">
        <v>148</v>
      </c>
      <c r="I31" s="93"/>
      <c r="J31" s="93"/>
      <c r="K31">
        <f t="shared" ref="K31:K36" si="0">$K$30/(1+V31)</f>
        <v>22.321542466221789</v>
      </c>
      <c r="R31" s="93" t="s">
        <v>141</v>
      </c>
      <c r="S31" s="93"/>
      <c r="T31" s="93"/>
      <c r="U31" s="93"/>
      <c r="V31" s="1">
        <f>AVERAGE(V20:V29)</f>
        <v>-4.4746714797301026E-4</v>
      </c>
    </row>
    <row r="32" spans="2:25" x14ac:dyDescent="0.2">
      <c r="H32" s="94" t="s">
        <v>149</v>
      </c>
      <c r="I32" s="94"/>
      <c r="J32" s="94"/>
      <c r="K32">
        <f t="shared" si="0"/>
        <v>22.033723212973143</v>
      </c>
      <c r="R32" s="94" t="s">
        <v>143</v>
      </c>
      <c r="S32" s="94"/>
      <c r="T32" s="94"/>
      <c r="U32" s="94"/>
      <c r="V32" s="1">
        <f>MEDIAN(V20:V29)</f>
        <v>1.260935764770532E-2</v>
      </c>
    </row>
    <row r="33" spans="1:22" x14ac:dyDescent="0.2">
      <c r="H33" s="95" t="s">
        <v>150</v>
      </c>
      <c r="I33" s="95"/>
      <c r="J33" s="95"/>
      <c r="K33">
        <f t="shared" si="0"/>
        <v>24.371911753102939</v>
      </c>
      <c r="R33" s="95" t="s">
        <v>142</v>
      </c>
      <c r="S33" s="95"/>
      <c r="T33" s="95"/>
      <c r="U33" s="95"/>
      <c r="V33" s="1">
        <f>AVERAGE(V22,V24:V25,V29)</f>
        <v>-8.4538195636809366E-2</v>
      </c>
    </row>
    <row r="34" spans="1:22" x14ac:dyDescent="0.2">
      <c r="H34" s="96" t="s">
        <v>151</v>
      </c>
      <c r="I34" s="96"/>
      <c r="J34" s="96"/>
      <c r="K34">
        <f t="shared" si="0"/>
        <v>23.891376253961081</v>
      </c>
      <c r="R34" s="96" t="s">
        <v>144</v>
      </c>
      <c r="S34" s="96"/>
      <c r="T34" s="96"/>
      <c r="U34" s="96"/>
      <c r="V34" s="1">
        <f>MEDIAN(V22,V24:V25,V29)</f>
        <v>-6.6125196300614308E-2</v>
      </c>
    </row>
    <row r="35" spans="1:22" x14ac:dyDescent="0.2">
      <c r="H35" s="97" t="s">
        <v>152</v>
      </c>
      <c r="I35" s="97"/>
      <c r="J35" s="97"/>
      <c r="K35">
        <f t="shared" si="0"/>
        <v>21.13611135711686</v>
      </c>
      <c r="R35" s="97" t="s">
        <v>145</v>
      </c>
      <c r="S35" s="97"/>
      <c r="T35" s="97"/>
      <c r="U35" s="97"/>
      <c r="V35" s="1">
        <f>AVERAGE(V26:V28,V23,V20:V21)</f>
        <v>5.5613018511251222E-2</v>
      </c>
    </row>
    <row r="36" spans="1:22" x14ac:dyDescent="0.2">
      <c r="H36" s="98" t="s">
        <v>153</v>
      </c>
      <c r="I36" s="98"/>
      <c r="J36" s="98"/>
      <c r="K36">
        <f t="shared" si="0"/>
        <v>21.287632031236225</v>
      </c>
      <c r="M36" s="101"/>
      <c r="R36" s="98" t="s">
        <v>146</v>
      </c>
      <c r="S36" s="98"/>
      <c r="T36" s="98"/>
      <c r="U36" s="98"/>
      <c r="V36" s="1">
        <f>MEDIAN(V26:V28,V23,V20:V21)</f>
        <v>4.8099397647300535E-2</v>
      </c>
    </row>
    <row r="39" spans="1:22" x14ac:dyDescent="0.2">
      <c r="A39" s="67" t="s">
        <v>102</v>
      </c>
      <c r="B39" t="s">
        <v>154</v>
      </c>
    </row>
    <row r="40" spans="1:22" x14ac:dyDescent="0.2">
      <c r="B40" t="s">
        <v>155</v>
      </c>
    </row>
    <row r="46" spans="1:22" x14ac:dyDescent="0.2">
      <c r="A46" s="67" t="s">
        <v>104</v>
      </c>
      <c r="B46" s="79" t="s">
        <v>156</v>
      </c>
      <c r="C46" s="80">
        <f>K36</f>
        <v>21.287632031236225</v>
      </c>
      <c r="D46" t="s">
        <v>168</v>
      </c>
    </row>
    <row r="48" spans="1:22" x14ac:dyDescent="0.2">
      <c r="B48" s="175" t="s">
        <v>164</v>
      </c>
      <c r="C48" s="175"/>
      <c r="D48" s="2">
        <f>C46/D30-1</f>
        <v>-1.9003132201095618E-2</v>
      </c>
    </row>
    <row r="49" spans="2:4" x14ac:dyDescent="0.2">
      <c r="B49" s="163" t="s">
        <v>163</v>
      </c>
      <c r="C49" s="163"/>
      <c r="D49" s="2">
        <f>'1. Data &amp; Confidence Interval'!W25</f>
        <v>-1.4285714285714235E-2</v>
      </c>
    </row>
  </sheetData>
  <mergeCells count="2">
    <mergeCell ref="B49:C49"/>
    <mergeCell ref="B48:C48"/>
  </mergeCells>
  <conditionalFormatting sqref="V31:V3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1:W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2021-10-29T18:02:23Z</dcterms:modified>
</cp:coreProperties>
</file>