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LIVN\"/>
    </mc:Choice>
  </mc:AlternateContent>
  <xr:revisionPtr revIDLastSave="0" documentId="13_ncr:1_{E27A56AC-9996-461E-AB7D-338E5D555FCA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4" l="1"/>
  <c r="O31" i="4"/>
  <c r="D31" i="4" s="1"/>
  <c r="O30" i="4"/>
  <c r="D30" i="4" s="1"/>
  <c r="O29" i="4"/>
  <c r="D29" i="4" s="1"/>
  <c r="O28" i="4"/>
  <c r="D28" i="4" s="1"/>
  <c r="O27" i="4"/>
  <c r="D27" i="4" s="1"/>
  <c r="O26" i="4"/>
  <c r="D26" i="4" s="1"/>
  <c r="O15" i="4"/>
  <c r="O16" i="4"/>
  <c r="O17" i="4"/>
  <c r="O18" i="4"/>
  <c r="O14" i="4"/>
  <c r="J17" i="2"/>
  <c r="P17" i="2" s="1"/>
  <c r="G33" i="2"/>
  <c r="G32" i="2"/>
  <c r="G30" i="2"/>
  <c r="G29" i="2"/>
  <c r="G28" i="2"/>
  <c r="G27" i="2"/>
  <c r="G26" i="2"/>
  <c r="G25" i="2"/>
  <c r="G24" i="2"/>
  <c r="K7" i="2"/>
  <c r="R17" i="2"/>
  <c r="J7" i="2"/>
  <c r="J8" i="2"/>
  <c r="J9" i="2"/>
  <c r="J10" i="2"/>
  <c r="J11" i="2"/>
  <c r="J12" i="2"/>
  <c r="J13" i="2"/>
  <c r="J14" i="2"/>
  <c r="J15" i="2"/>
  <c r="J16" i="2"/>
  <c r="J6" i="2"/>
  <c r="K17" i="2"/>
  <c r="L17" i="2"/>
  <c r="M17" i="2"/>
  <c r="N17" i="2"/>
  <c r="O17" i="2"/>
  <c r="L25" i="1"/>
  <c r="I25" i="1"/>
  <c r="L24" i="1"/>
  <c r="I24" i="1"/>
  <c r="Q17" i="2" l="1"/>
  <c r="Q18" i="1"/>
  <c r="P18" i="1"/>
  <c r="O18" i="1"/>
  <c r="N18" i="1"/>
  <c r="E32" i="2"/>
  <c r="E31" i="2"/>
  <c r="E30" i="2"/>
  <c r="E29" i="2"/>
  <c r="E28" i="2"/>
  <c r="E27" i="2"/>
  <c r="E26" i="2"/>
  <c r="E25" i="2"/>
  <c r="E24" i="2"/>
  <c r="E23" i="2"/>
  <c r="E22" i="2"/>
  <c r="A22" i="2"/>
  <c r="B22" i="2"/>
  <c r="C22" i="2"/>
  <c r="D22" i="2"/>
  <c r="H22" i="2"/>
  <c r="J22" i="2"/>
  <c r="R22" i="2"/>
  <c r="A23" i="2"/>
  <c r="B23" i="2"/>
  <c r="C23" i="2"/>
  <c r="D23" i="2"/>
  <c r="H23" i="2"/>
  <c r="J23" i="2"/>
  <c r="R23" i="2"/>
  <c r="A24" i="2"/>
  <c r="B24" i="2"/>
  <c r="C24" i="2"/>
  <c r="D24" i="2"/>
  <c r="H24" i="2"/>
  <c r="J24" i="2"/>
  <c r="R24" i="2"/>
  <c r="R18" i="2"/>
  <c r="J18" i="2"/>
  <c r="I18" i="2"/>
  <c r="H18" i="2"/>
  <c r="G18" i="2"/>
  <c r="F18" i="2"/>
  <c r="E18" i="2"/>
  <c r="K8" i="2"/>
  <c r="K24" i="2" s="1"/>
  <c r="N8" i="2"/>
  <c r="N24" i="2" s="1"/>
  <c r="P8" i="2"/>
  <c r="P24" i="2" s="1"/>
  <c r="K9" i="2"/>
  <c r="M9" i="2"/>
  <c r="N9" i="2"/>
  <c r="P9" i="2"/>
  <c r="K10" i="2"/>
  <c r="M10" i="2"/>
  <c r="N10" i="2"/>
  <c r="P10" i="2"/>
  <c r="K11" i="2"/>
  <c r="L11" i="2"/>
  <c r="M11" i="2"/>
  <c r="N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N7" i="2"/>
  <c r="P7" i="2"/>
  <c r="S20" i="1"/>
  <c r="T17" i="1"/>
  <c r="N17" i="1"/>
  <c r="J33" i="2"/>
  <c r="C2" i="4"/>
  <c r="H33" i="2"/>
  <c r="G31" i="2"/>
  <c r="E33" i="2"/>
  <c r="T18" i="1"/>
  <c r="U18" i="1"/>
  <c r="P18" i="2" l="1"/>
  <c r="K18" i="2"/>
  <c r="Q8" i="2"/>
  <c r="Q24" i="2" s="1"/>
  <c r="G37" i="2"/>
  <c r="E34" i="2" a="1"/>
  <c r="E34" i="2" s="1"/>
  <c r="E35" i="2" a="1"/>
  <c r="E35" i="2" s="1"/>
  <c r="Q10" i="2"/>
  <c r="Q14" i="2"/>
  <c r="Q12" i="2"/>
  <c r="Q16" i="2"/>
  <c r="Q9" i="2"/>
  <c r="Q25" i="2" s="1"/>
  <c r="Q15" i="2"/>
  <c r="Q13" i="2"/>
  <c r="Q11" i="2"/>
  <c r="K23" i="2"/>
  <c r="O18" i="2"/>
  <c r="N18" i="2"/>
  <c r="L18" i="2"/>
  <c r="M18" i="2"/>
  <c r="P23" i="2"/>
  <c r="N23" i="2"/>
  <c r="Q7" i="2"/>
  <c r="T13" i="1"/>
  <c r="K13" i="1"/>
  <c r="L13" i="1"/>
  <c r="M13" i="1"/>
  <c r="N13" i="1"/>
  <c r="O13" i="1"/>
  <c r="P13" i="1"/>
  <c r="Q13" i="1"/>
  <c r="R13" i="1"/>
  <c r="S13" i="1"/>
  <c r="P25" i="2"/>
  <c r="N25" i="2"/>
  <c r="M25" i="2"/>
  <c r="K25" i="2"/>
  <c r="R25" i="2"/>
  <c r="S17" i="1"/>
  <c r="R17" i="1"/>
  <c r="Q17" i="1"/>
  <c r="P17" i="1"/>
  <c r="R20" i="1"/>
  <c r="Q20" i="1"/>
  <c r="P20" i="1"/>
  <c r="O20" i="1"/>
  <c r="N20" i="1"/>
  <c r="M20" i="1"/>
  <c r="L20" i="1"/>
  <c r="K20" i="1"/>
  <c r="J20" i="1"/>
  <c r="I20" i="1"/>
  <c r="S18" i="1"/>
  <c r="R18" i="1"/>
  <c r="J25" i="2"/>
  <c r="H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B25" i="2"/>
  <c r="C25" i="2"/>
  <c r="D25" i="2"/>
  <c r="A25" i="2"/>
  <c r="I26" i="3"/>
  <c r="E26" i="3"/>
  <c r="O17" i="1"/>
  <c r="M17" i="1"/>
  <c r="L17" i="1"/>
  <c r="U20" i="1" l="1"/>
  <c r="H10" i="1"/>
  <c r="T10" i="1"/>
  <c r="U24" i="1"/>
  <c r="C7" i="1" s="1"/>
  <c r="Q18" i="2"/>
  <c r="Q23" i="2"/>
  <c r="S22" i="1"/>
  <c r="R22" i="1"/>
  <c r="Q22" i="1"/>
  <c r="P22" i="1"/>
  <c r="O22" i="1"/>
  <c r="N22" i="1"/>
  <c r="M22" i="1"/>
  <c r="L22" i="1"/>
  <c r="K22" i="1"/>
  <c r="J22" i="1"/>
  <c r="I22" i="1"/>
  <c r="M18" i="1"/>
  <c r="L18" i="1"/>
  <c r="K18" i="1"/>
  <c r="J18" i="1"/>
  <c r="G17" i="1"/>
  <c r="H17" i="1"/>
  <c r="I17" i="1"/>
  <c r="J17" i="1"/>
  <c r="K17" i="1"/>
  <c r="F22" i="3"/>
  <c r="U25" i="1" l="1"/>
  <c r="U26" i="1"/>
  <c r="L23" i="1"/>
  <c r="U22" i="1"/>
  <c r="D44" i="4"/>
  <c r="B7" i="1"/>
  <c r="R33" i="2"/>
  <c r="R32" i="2"/>
  <c r="R31" i="2"/>
  <c r="R30" i="2"/>
  <c r="R29" i="2"/>
  <c r="R28" i="2"/>
  <c r="R27" i="2"/>
  <c r="R26" i="2"/>
  <c r="H2" i="1" l="1"/>
  <c r="I2" i="1"/>
  <c r="I3" i="1"/>
  <c r="H3" i="1"/>
  <c r="H22" i="3"/>
  <c r="J2" i="1" l="1"/>
  <c r="K2" i="1" s="1"/>
  <c r="J3" i="1"/>
  <c r="K3" i="1" s="1"/>
  <c r="K26" i="2"/>
  <c r="M26" i="2"/>
  <c r="N26" i="2"/>
  <c r="P26" i="2"/>
  <c r="Q26" i="2"/>
  <c r="K27" i="2"/>
  <c r="L27" i="2"/>
  <c r="M27" i="2"/>
  <c r="N27" i="2"/>
  <c r="O27" i="2"/>
  <c r="P27" i="2"/>
  <c r="Q27" i="2"/>
  <c r="K28" i="2"/>
  <c r="L28" i="2"/>
  <c r="M28" i="2"/>
  <c r="N28" i="2"/>
  <c r="O28" i="2"/>
  <c r="P28" i="2"/>
  <c r="Q28" i="2"/>
  <c r="K29" i="2"/>
  <c r="L29" i="2"/>
  <c r="M29" i="2"/>
  <c r="N29" i="2"/>
  <c r="O29" i="2"/>
  <c r="P29" i="2"/>
  <c r="Q29" i="2"/>
  <c r="K30" i="2"/>
  <c r="L30" i="2"/>
  <c r="M30" i="2"/>
  <c r="N30" i="2"/>
  <c r="O30" i="2"/>
  <c r="P30" i="2"/>
  <c r="Q30" i="2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F26" i="2"/>
  <c r="H26" i="2"/>
  <c r="I26" i="2"/>
  <c r="J26" i="2"/>
  <c r="F27" i="2"/>
  <c r="H27" i="2"/>
  <c r="I27" i="2"/>
  <c r="J27" i="2"/>
  <c r="F28" i="2"/>
  <c r="H28" i="2"/>
  <c r="I28" i="2"/>
  <c r="J28" i="2"/>
  <c r="F29" i="2"/>
  <c r="H29" i="2"/>
  <c r="I29" i="2"/>
  <c r="J29" i="2"/>
  <c r="F30" i="2"/>
  <c r="H30" i="2"/>
  <c r="I30" i="2"/>
  <c r="J30" i="2"/>
  <c r="F31" i="2"/>
  <c r="H31" i="2"/>
  <c r="I31" i="2"/>
  <c r="J31" i="2"/>
  <c r="F32" i="2"/>
  <c r="H32" i="2"/>
  <c r="I32" i="2"/>
  <c r="J32" i="2"/>
  <c r="F33" i="2"/>
  <c r="I33" i="2"/>
  <c r="G36" i="2" l="1"/>
  <c r="J34" i="2" a="1"/>
  <c r="J34" i="2" s="1"/>
  <c r="J35" i="2" a="1"/>
  <c r="J35" i="2" s="1"/>
  <c r="R34" i="2" a="1"/>
  <c r="R34" i="2" s="1"/>
  <c r="R35" i="2" a="1"/>
  <c r="R35" i="2" s="1"/>
  <c r="P35" i="2" a="1"/>
  <c r="P35" i="2" s="1"/>
  <c r="P34" i="2" a="1"/>
  <c r="P34" i="2" s="1"/>
  <c r="Q35" i="2" a="1"/>
  <c r="Q35" i="2" s="1"/>
  <c r="Q34" i="2" a="1"/>
  <c r="Q34" i="2" s="1"/>
  <c r="G34" i="2" a="1"/>
  <c r="G34" i="2" s="1"/>
  <c r="G35" i="2" a="1"/>
  <c r="G35" i="2" s="1"/>
  <c r="F35" i="2" a="1"/>
  <c r="F35" i="2" s="1"/>
  <c r="F34" i="2" a="1"/>
  <c r="F34" i="2" s="1"/>
  <c r="O35" i="2" a="1"/>
  <c r="O35" i="2" s="1"/>
  <c r="O34" i="2" a="1"/>
  <c r="O34" i="2" s="1"/>
  <c r="N34" i="2" a="1"/>
  <c r="N34" i="2" s="1"/>
  <c r="N35" i="2" a="1"/>
  <c r="N35" i="2" s="1"/>
  <c r="M35" i="2" a="1"/>
  <c r="M35" i="2" s="1"/>
  <c r="M34" i="2" a="1"/>
  <c r="M34" i="2" s="1"/>
  <c r="L35" i="2" a="1"/>
  <c r="L35" i="2" s="1"/>
  <c r="L34" i="2" a="1"/>
  <c r="L34" i="2" s="1"/>
  <c r="K35" i="2" a="1"/>
  <c r="K35" i="2" s="1"/>
  <c r="K34" i="2" a="1"/>
  <c r="K34" i="2" s="1"/>
  <c r="I34" i="2" a="1"/>
  <c r="I34" i="2" s="1"/>
  <c r="I35" i="2" a="1"/>
  <c r="I35" i="2" s="1"/>
  <c r="H35" i="2" a="1"/>
  <c r="H35" i="2" s="1"/>
  <c r="H34" i="2" a="1"/>
  <c r="H34" i="2" s="1"/>
  <c r="D43" i="4"/>
  <c r="R21" i="1"/>
  <c r="S21" i="1"/>
  <c r="O21" i="1"/>
  <c r="S23" i="1"/>
  <c r="N23" i="1"/>
  <c r="O23" i="1"/>
  <c r="M23" i="1"/>
  <c r="R23" i="1"/>
  <c r="Q23" i="1"/>
  <c r="P23" i="1"/>
  <c r="Q21" i="1"/>
  <c r="L21" i="1"/>
  <c r="M21" i="1"/>
  <c r="N21" i="1"/>
  <c r="P21" i="1"/>
  <c r="U21" i="1" l="1"/>
  <c r="U23" i="1"/>
  <c r="J4" i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<sst xmlns="http://schemas.openxmlformats.org/spreadsheetml/2006/main" count="274" uniqueCount="168">
  <si>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</si>
  <si>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</si>
  <si>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</si>
  <si>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</si>
  <si>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</si>
  <si>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</si>
  <si>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</si>
  <si>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</si>
  <si>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</si>
  <si>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</si>
  <si>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</si>
  <si>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</si>
  <si>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</si>
  <si>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</si>
  <si>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</si>
  <si>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</si>
  <si>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</si>
  <si>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</si>
  <si>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</si>
  <si>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</si>
  <si>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</si>
  <si>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</si>
  <si>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</si>
  <si>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</si>
  <si>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</si>
  <si>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</si>
  <si>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</si>
  <si>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</si>
  <si>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</si>
  <si>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</si>
  <si>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</si>
  <si>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</si>
  <si>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</si>
  <si>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</si>
  <si>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</si>
  <si>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</si>
  <si>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</si>
  <si>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</si>
  <si>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</si>
  <si>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</si>
  <si>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</si>
  <si>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</si>
  <si>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</si>
  <si>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</si>
  <si>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</si>
  <si>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</si>
  <si>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</si>
  <si>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</si>
  <si>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</si>
  <si>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</si>
  <si>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</si>
  <si>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</si>
  <si>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</si>
  <si>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</si>
  <si>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</si>
  <si>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</si>
  <si>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</si>
  <si>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</si>
  <si>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</si>
  <si>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</si>
  <si>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</si>
  <si>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</si>
  <si>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</si>
  <si>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</si>
  <si>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</si>
  <si>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</si>
  <si>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</si>
  <si>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</si>
  <si>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</si>
  <si>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</si>
  <si>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</si>
  <si>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</si>
  <si>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</si>
  <si>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</si>
  <si>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</si>
  <si>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</si>
  <si>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</si>
  <si>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</si>
  <si>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</si>
  <si>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</si>
  <si>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</si>
  <si>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</si>
  <si>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</si>
  <si>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</si>
  <si>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</si>
  <si>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</si>
  <si>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</si>
  <si>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</si>
  <si>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</si>
  <si>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</si>
  <si>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</si>
  <si>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</si>
  <si>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</si>
  <si>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</si>
  <si>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</si>
  <si>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</si>
  <si>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</si>
  <si>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</si>
  <si>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</si>
  <si>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</si>
  <si>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</si>
  <si>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</si>
  <si>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</si>
  <si>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</si>
  <si>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</si>
  <si>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</si>
  <si>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</si>
  <si>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</si>
  <si>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</si>
  <si>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</si>
  <si>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</si>
  <si>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</si>
  <si>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</si>
  <si>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</si>
  <si>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</si>
  <si>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</si>
  <si>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</si>
  <si>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</si>
  <si>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</si>
  <si>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</si>
  <si>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</si>
  <si>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</si>
  <si>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</si>
  <si>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</si>
  <si>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</si>
  <si>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</si>
  <si>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</si>
  <si>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</si>
  <si>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</si>
  <si>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</si>
  <si>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</si>
  <si>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</si>
  <si>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</si>
  <si>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</si>
  <si>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</si>
  <si>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</si>
  <si>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</si>
  <si>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</si>
  <si>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</si>
  <si>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</si>
  <si>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</si>
  <si>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</si>
  <si>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</si>
  <si>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</si>
  <si>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</si>
  <si>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</si>
  <si>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</si>
  <si>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</si>
  <si>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</si>
  <si>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</si>
  <si>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</si>
  <si>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</si>
  <si>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</si>
  <si>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</si>
  <si>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</si>
  <si>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</si>
  <si>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</si>
  <si>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</si>
  <si>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</si>
  <si>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</si>
  <si>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</si>
  <si>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</si>
  <si>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</si>
  <si>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</si>
  <si>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which is not inline with the confidence interval in step1. If this value is unsatisfactory, use confidence interval.</t>
  </si>
  <si>
    <t>CORRELATION</t>
  </si>
  <si>
    <t>LIVN_ACS</t>
  </si>
  <si>
    <t>ADVANCED CIRCULATORY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</si>
</sst>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5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1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V29"/>
  <sheetViews>
    <sheetView zoomScale="70" zoomScaleNormal="70" workbookViewId="0">
      <selection activeCell="P23" sqref="P23"/>
    </sheetView>
  </sheetViews>
  <sheetFormatPr defaultRowHeight="12.75" x14ac:dyDescent="0.2"/>
  <cols>
    <col min="1" max="1" width="17.85546875" bestFit="1" customWidth="1"/>
    <col min="2" max="4" width="17.85546875" customWidth="1"/>
    <col min="5" max="19" width="10.7109375" customWidth="1"/>
    <col min="20" max="20" width="17.85546875" customWidth="1"/>
    <col min="21" max="22" width="10.7109375" customWidth="1"/>
  </cols>
  <sheetData>
    <row r="1" spans="1:21" x14ac:dyDescent="0.2">
      <c r="A1" s="127" t="s">
        <v>166</v>
      </c>
      <c r="B1" s="128"/>
      <c r="C1" s="129"/>
      <c r="F1" s="136" t="s">
        <v>35</v>
      </c>
      <c r="G1" s="137"/>
      <c r="H1" s="57" t="s">
        <v>31</v>
      </c>
      <c r="I1" s="57" t="s">
        <v>32</v>
      </c>
      <c r="J1" s="4" t="s">
        <v>39</v>
      </c>
      <c r="K1" s="138" t="s">
        <v>41</v>
      </c>
      <c r="L1" s="139"/>
    </row>
    <row r="2" spans="1:21" x14ac:dyDescent="0.2">
      <c r="A2" s="130"/>
      <c r="B2" s="131"/>
      <c r="C2" s="132"/>
      <c r="F2" s="55" t="s">
        <v>37</v>
      </c>
      <c r="G2" s="56"/>
      <c r="H2" s="58">
        <f>$B$7*($U$25-2*$U$26)</f>
        <v>8.07049936508513</v>
      </c>
      <c r="I2" s="58">
        <f>$B$7*($U$25+2*$U$26)</f>
        <v>17.675704866703729</v>
      </c>
      <c r="J2" s="60">
        <f>AVERAGE(H2:I2)</f>
        <v>12.873102115894429</v>
      </c>
      <c r="K2" s="140">
        <f>$J$2/P14-1</f>
        <v>4.6593667958896745E-2</v>
      </c>
      <c r="L2" s="141"/>
    </row>
    <row r="3" spans="1:21" x14ac:dyDescent="0.2">
      <c r="A3" s="133"/>
      <c r="B3" s="134"/>
      <c r="C3" s="135"/>
      <c r="F3" s="41" t="s">
        <v>38</v>
      </c>
      <c r="G3" s="18"/>
      <c r="H3" s="59">
        <f>$C$7*($U$25-2*$U$26)</f>
        <v>8.4548088586606127</v>
      </c>
      <c r="I3" s="59">
        <f>$C$7*($U$25+2*$U$26)</f>
        <v>18.517405098451526</v>
      </c>
      <c r="J3" s="61">
        <f>AVERAGE(H3:I3)</f>
        <v>13.486106978556069</v>
      </c>
      <c r="K3" s="142">
        <f>$J$3/P15-1</f>
        <v>9.6431461671225183E-2</v>
      </c>
      <c r="L3" s="143"/>
    </row>
    <row r="4" spans="1:21" x14ac:dyDescent="0.2">
      <c r="A4" s="46"/>
      <c r="B4" s="46"/>
      <c r="C4" s="46"/>
      <c r="I4" s="4" t="s">
        <v>40</v>
      </c>
      <c r="J4" s="61">
        <f>AVERAGE(J2:J3)</f>
        <v>13.179604547225249</v>
      </c>
      <c r="K4" s="142">
        <f>$J$4/P15-1</f>
        <v>7.1512564815060964E-2</v>
      </c>
      <c r="L4" s="143"/>
    </row>
    <row r="5" spans="1:21" x14ac:dyDescent="0.2">
      <c r="A5" s="54" t="s">
        <v>34</v>
      </c>
      <c r="B5" s="44" t="s">
        <v>31</v>
      </c>
      <c r="C5" s="45" t="s">
        <v>32</v>
      </c>
    </row>
    <row r="6" spans="1:21" ht="15.75" x14ac:dyDescent="0.25">
      <c r="A6" s="48" t="s">
        <v>33</v>
      </c>
      <c r="B6" s="52">
        <v>981.0150000000001</v>
      </c>
      <c r="C6" s="53">
        <v>1027.7300000000002</v>
      </c>
    </row>
    <row r="7" spans="1:21" ht="14.25" x14ac:dyDescent="0.2">
      <c r="A7" s="49" t="s">
        <v>36</v>
      </c>
      <c r="B7" s="50">
        <f>B6*$U$24</f>
        <v>51.059323376296085</v>
      </c>
      <c r="C7" s="51">
        <f>C6*$U$24</f>
        <v>53.490719727548282</v>
      </c>
    </row>
    <row r="10" spans="1:21" x14ac:dyDescent="0.2">
      <c r="F10" s="111" t="s">
        <v>15</v>
      </c>
      <c r="G10" s="111"/>
      <c r="H10" s="31">
        <f>AVERAGE(E13:T13)</f>
        <v>1.3768184907687444</v>
      </c>
      <c r="Q10" s="111" t="s">
        <v>16</v>
      </c>
      <c r="R10" s="111"/>
      <c r="S10" s="111"/>
      <c r="T10" s="75">
        <f>AVERAGE(Q13:T13)</f>
        <v>1.5367672914690096</v>
      </c>
    </row>
    <row r="11" spans="1:21" x14ac:dyDescent="0.2">
      <c r="A11" s="47" t="s">
        <v>6</v>
      </c>
      <c r="B11" s="144">
        <v>2012</v>
      </c>
      <c r="C11" s="145"/>
      <c r="D11" s="145"/>
      <c r="E11" s="102"/>
      <c r="F11" s="148">
        <v>2018</v>
      </c>
      <c r="G11" s="149"/>
      <c r="H11" s="149"/>
      <c r="I11" s="150"/>
      <c r="J11" s="113">
        <v>2019</v>
      </c>
      <c r="K11" s="114"/>
      <c r="L11" s="114"/>
      <c r="M11" s="115"/>
      <c r="N11" s="116">
        <v>2020</v>
      </c>
      <c r="O11" s="117"/>
      <c r="P11" s="117"/>
      <c r="Q11" s="118"/>
      <c r="R11" s="119">
        <v>2021</v>
      </c>
      <c r="S11" s="120"/>
      <c r="T11" s="120"/>
      <c r="U11" s="121"/>
    </row>
    <row r="12" spans="1:21" x14ac:dyDescent="0.2">
      <c r="A12" s="13" t="s">
        <v>19</v>
      </c>
      <c r="B12" s="99" t="s">
        <v>20</v>
      </c>
      <c r="C12" s="99" t="s">
        <v>3</v>
      </c>
      <c r="D12" s="99" t="s">
        <v>4</v>
      </c>
      <c r="E12" s="20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3" t="s">
        <v>20</v>
      </c>
      <c r="K12" s="24" t="s">
        <v>3</v>
      </c>
      <c r="L12" s="24" t="s">
        <v>4</v>
      </c>
      <c r="M12" s="24" t="s">
        <v>5</v>
      </c>
      <c r="N12" s="25" t="s">
        <v>20</v>
      </c>
      <c r="O12" s="19" t="s">
        <v>3</v>
      </c>
      <c r="P12" s="19" t="s">
        <v>4</v>
      </c>
      <c r="Q12" s="19" t="s">
        <v>5</v>
      </c>
      <c r="R12" s="33" t="s">
        <v>20</v>
      </c>
      <c r="S12" s="34" t="s">
        <v>3</v>
      </c>
      <c r="T12" s="35" t="s">
        <v>21</v>
      </c>
      <c r="U12" s="26" t="s">
        <v>22</v>
      </c>
    </row>
    <row r="13" spans="1:21" x14ac:dyDescent="0.2">
      <c r="A13" s="30" t="s">
        <v>2</v>
      </c>
      <c r="B13" s="100"/>
      <c r="C13" s="100"/>
      <c r="D13" s="100"/>
      <c r="E13" s="79"/>
      <c r="F13" s="79"/>
      <c r="G13" s="79"/>
      <c r="H13" s="79"/>
      <c r="I13" s="79"/>
      <c r="J13" s="79"/>
      <c r="K13" s="79">
        <f t="shared" ref="K13:S13" si="0">K15/G15</f>
        <v>1.4363636363636365</v>
      </c>
      <c r="L13" s="79">
        <f t="shared" si="0"/>
        <v>1.0677966101694913</v>
      </c>
      <c r="M13" s="79">
        <f t="shared" si="0"/>
        <v>1.1805555555555556</v>
      </c>
      <c r="N13" s="79">
        <f t="shared" si="0"/>
        <v>1.2625</v>
      </c>
      <c r="O13" s="79">
        <f t="shared" si="0"/>
        <v>0.72151898734177211</v>
      </c>
      <c r="P13" s="79">
        <f t="shared" si="0"/>
        <v>1.9523809523809526</v>
      </c>
      <c r="Q13" s="79">
        <f t="shared" si="0"/>
        <v>1.5294117647058822</v>
      </c>
      <c r="R13" s="79">
        <f t="shared" si="0"/>
        <v>1.2475247524752475</v>
      </c>
      <c r="S13" s="79">
        <f t="shared" si="0"/>
        <v>2.2807017543859649</v>
      </c>
      <c r="T13" s="79">
        <f>T14/P14</f>
        <v>1.089430894308943</v>
      </c>
      <c r="U13" s="27"/>
    </row>
    <row r="14" spans="1:21" x14ac:dyDescent="0.2">
      <c r="A14" s="14" t="s">
        <v>0</v>
      </c>
      <c r="B14" s="6"/>
      <c r="C14" s="6"/>
      <c r="D14" s="6"/>
      <c r="E14" s="6"/>
      <c r="F14" s="9"/>
      <c r="G14" s="6">
        <v>5.5</v>
      </c>
      <c r="H14" s="6">
        <v>5.9</v>
      </c>
      <c r="I14" s="6">
        <v>7.2</v>
      </c>
      <c r="J14" s="9">
        <v>8</v>
      </c>
      <c r="K14" s="6">
        <v>7.9</v>
      </c>
      <c r="L14" s="6">
        <v>6.3</v>
      </c>
      <c r="M14" s="6">
        <v>8.5</v>
      </c>
      <c r="N14" s="9">
        <v>10.1</v>
      </c>
      <c r="O14" s="6">
        <v>5.7</v>
      </c>
      <c r="P14" s="6">
        <v>12.3</v>
      </c>
      <c r="Q14" s="6">
        <v>13</v>
      </c>
      <c r="R14" s="6">
        <v>12.6</v>
      </c>
      <c r="S14" s="6">
        <v>13</v>
      </c>
      <c r="T14" s="6">
        <v>13.4</v>
      </c>
      <c r="U14" s="6">
        <v>14.2</v>
      </c>
    </row>
    <row r="15" spans="1:21" x14ac:dyDescent="0.2">
      <c r="A15" s="14" t="s">
        <v>1</v>
      </c>
      <c r="B15" s="6"/>
      <c r="C15" s="6"/>
      <c r="D15" s="6"/>
      <c r="E15" s="6"/>
      <c r="F15" s="9"/>
      <c r="G15" s="6">
        <v>5.5</v>
      </c>
      <c r="H15" s="6">
        <v>5.9</v>
      </c>
      <c r="I15" s="6">
        <v>7.2</v>
      </c>
      <c r="J15" s="9">
        <v>8</v>
      </c>
      <c r="K15" s="6">
        <v>7.9</v>
      </c>
      <c r="L15" s="6">
        <v>6.3</v>
      </c>
      <c r="M15" s="6">
        <v>8.5</v>
      </c>
      <c r="N15" s="9">
        <v>10.1</v>
      </c>
      <c r="O15" s="6">
        <v>5.7</v>
      </c>
      <c r="P15" s="6">
        <v>12.3</v>
      </c>
      <c r="Q15" s="6">
        <v>13</v>
      </c>
      <c r="R15" s="9">
        <v>12.6</v>
      </c>
      <c r="S15" s="6">
        <v>13</v>
      </c>
      <c r="T15" s="9"/>
      <c r="U15" s="10"/>
    </row>
    <row r="16" spans="1:21" x14ac:dyDescent="0.2">
      <c r="A16" s="14" t="s">
        <v>154</v>
      </c>
      <c r="B16" s="9"/>
      <c r="C16" s="9"/>
      <c r="D16" s="9"/>
      <c r="E16" s="10"/>
      <c r="F16" s="9"/>
      <c r="G16" s="6">
        <v>287.5</v>
      </c>
      <c r="H16" s="6">
        <v>272.10000000000002</v>
      </c>
      <c r="I16" s="10">
        <v>297</v>
      </c>
      <c r="J16" s="9">
        <v>250.8</v>
      </c>
      <c r="K16" s="6">
        <v>277.2</v>
      </c>
      <c r="L16" s="6">
        <v>268.60000000000002</v>
      </c>
      <c r="M16" s="10">
        <v>287.60000000000002</v>
      </c>
      <c r="N16" s="6">
        <v>242.4</v>
      </c>
      <c r="O16" s="6">
        <v>182.2</v>
      </c>
      <c r="P16" s="10">
        <v>240.1</v>
      </c>
      <c r="Q16" s="9">
        <v>269.60000000000002</v>
      </c>
      <c r="R16">
        <v>247.6</v>
      </c>
      <c r="S16" s="76">
        <v>264.5</v>
      </c>
      <c r="T16">
        <v>244.5</v>
      </c>
      <c r="U16" s="10"/>
    </row>
    <row r="17" spans="1:22" x14ac:dyDescent="0.2">
      <c r="A17" s="80" t="s">
        <v>18</v>
      </c>
      <c r="B17" s="81"/>
      <c r="C17" s="81"/>
      <c r="D17" s="81"/>
      <c r="E17" s="81"/>
      <c r="F17" s="81"/>
      <c r="G17" s="81">
        <f t="shared" ref="G17:K17" si="1">G15/G16</f>
        <v>1.9130434782608695E-2</v>
      </c>
      <c r="H17" s="81">
        <f t="shared" si="1"/>
        <v>2.1683204704152883E-2</v>
      </c>
      <c r="I17" s="81">
        <f t="shared" si="1"/>
        <v>2.4242424242424242E-2</v>
      </c>
      <c r="J17" s="81">
        <f t="shared" si="1"/>
        <v>3.1897926634768738E-2</v>
      </c>
      <c r="K17" s="81">
        <f t="shared" si="1"/>
        <v>2.8499278499278503E-2</v>
      </c>
      <c r="L17" s="81">
        <f t="shared" ref="L17:M17" si="2">L15/L16</f>
        <v>2.3454951600893521E-2</v>
      </c>
      <c r="M17" s="81">
        <f t="shared" si="2"/>
        <v>2.9554937413073711E-2</v>
      </c>
      <c r="N17" s="81">
        <f>N15/N16</f>
        <v>4.1666666666666664E-2</v>
      </c>
      <c r="O17" s="81">
        <f>O15/N16</f>
        <v>2.3514851485148515E-2</v>
      </c>
      <c r="P17" s="81">
        <f>P15/O16</f>
        <v>6.7508232711306265E-2</v>
      </c>
      <c r="Q17" s="81">
        <f>Q15/P16</f>
        <v>5.4144106622240736E-2</v>
      </c>
      <c r="R17" s="81">
        <f>R15/Q16</f>
        <v>4.6735905044510383E-2</v>
      </c>
      <c r="S17" s="81">
        <f>S15/R16</f>
        <v>5.2504038772213248E-2</v>
      </c>
      <c r="T17" s="82">
        <f>T14/T16</f>
        <v>5.4805725971370144E-2</v>
      </c>
      <c r="U17" s="83"/>
    </row>
    <row r="18" spans="1:22" x14ac:dyDescent="0.2">
      <c r="A18" s="80" t="s">
        <v>24</v>
      </c>
      <c r="B18" s="81"/>
      <c r="C18" s="81"/>
      <c r="D18" s="81"/>
      <c r="E18" s="84"/>
      <c r="F18" s="81"/>
      <c r="G18" s="81"/>
      <c r="H18" s="81"/>
      <c r="I18" s="84"/>
      <c r="J18" s="81">
        <f>J15/SUM(J15:M15)</f>
        <v>0.26058631921824105</v>
      </c>
      <c r="K18" s="81">
        <f>K15/SUM(J15:M15)</f>
        <v>0.25732899022801303</v>
      </c>
      <c r="L18" s="81">
        <f>L15/SUM(J15:M15)</f>
        <v>0.20521172638436483</v>
      </c>
      <c r="M18" s="84">
        <f>M15/SUM(J15:M15)</f>
        <v>0.27687296416938112</v>
      </c>
      <c r="N18" s="81">
        <f>N15/SUM(N15:Q15)</f>
        <v>0.2457420924574209</v>
      </c>
      <c r="O18" s="81">
        <f>O15/SUM(N15:Q15)</f>
        <v>0.13868613138686131</v>
      </c>
      <c r="P18" s="81">
        <f>P15/SUM(N15:Q15)</f>
        <v>0.29927007299270075</v>
      </c>
      <c r="Q18" s="84">
        <f>Q15/SUM(N15:Q15)</f>
        <v>0.31630170316301703</v>
      </c>
      <c r="R18" s="81">
        <f>R15/SUM(R15:S15,T14:U14)</f>
        <v>0.23684210526315788</v>
      </c>
      <c r="S18" s="81">
        <f>S15/SUM(R15:S15,T14:U14)</f>
        <v>0.24436090225563908</v>
      </c>
      <c r="T18" s="81">
        <f>T14/SUM(R15:S15,T14:U14)</f>
        <v>0.25187969924812031</v>
      </c>
      <c r="U18" s="84">
        <f>U14/SUM(R15:S15,T14:U14)</f>
        <v>0.26691729323308266</v>
      </c>
      <c r="V18" s="3"/>
    </row>
    <row r="19" spans="1:22" x14ac:dyDescent="0.2">
      <c r="A19" s="15" t="s">
        <v>17</v>
      </c>
      <c r="B19" s="11"/>
      <c r="C19" s="11"/>
      <c r="D19" s="11"/>
      <c r="E19" s="77"/>
      <c r="F19" s="77"/>
      <c r="G19" s="59"/>
      <c r="H19" s="59"/>
      <c r="I19" s="59">
        <v>6.4</v>
      </c>
      <c r="J19" s="77">
        <v>7.6</v>
      </c>
      <c r="K19" s="59">
        <v>7.9</v>
      </c>
      <c r="L19" s="59">
        <v>8.1999999999999993</v>
      </c>
      <c r="M19" s="59">
        <v>8.6</v>
      </c>
      <c r="N19" s="77">
        <v>9.3000000000000007</v>
      </c>
      <c r="O19" s="59">
        <v>9.4</v>
      </c>
      <c r="P19" s="59">
        <v>9.4</v>
      </c>
      <c r="Q19" s="59">
        <v>13.4</v>
      </c>
      <c r="R19" s="77">
        <v>12.1</v>
      </c>
      <c r="S19" s="59">
        <v>12.9</v>
      </c>
      <c r="T19" s="78"/>
      <c r="U19" s="12"/>
    </row>
    <row r="20" spans="1:22" x14ac:dyDescent="0.2">
      <c r="G20" s="122" t="s">
        <v>7</v>
      </c>
      <c r="H20" s="123"/>
      <c r="I20" s="7">
        <f t="shared" ref="I20:R20" si="3">IF(I15&gt;I19,1,0)</f>
        <v>1</v>
      </c>
      <c r="J20" s="7">
        <f t="shared" si="3"/>
        <v>1</v>
      </c>
      <c r="K20" s="7">
        <f t="shared" si="3"/>
        <v>0</v>
      </c>
      <c r="L20" s="7">
        <f t="shared" si="3"/>
        <v>0</v>
      </c>
      <c r="M20" s="7">
        <f t="shared" si="3"/>
        <v>0</v>
      </c>
      <c r="N20" s="7">
        <f t="shared" si="3"/>
        <v>1</v>
      </c>
      <c r="O20" s="7">
        <f t="shared" si="3"/>
        <v>0</v>
      </c>
      <c r="P20" s="7">
        <f t="shared" si="3"/>
        <v>1</v>
      </c>
      <c r="Q20" s="7">
        <f t="shared" si="3"/>
        <v>0</v>
      </c>
      <c r="R20" s="7">
        <f t="shared" si="3"/>
        <v>1</v>
      </c>
      <c r="S20" s="8">
        <f>IF(S15&gt;S19,1,0)</f>
        <v>1</v>
      </c>
      <c r="T20" s="41" t="s">
        <v>8</v>
      </c>
      <c r="U20" s="38">
        <f>AVERAGE(G20:S20)</f>
        <v>0.54545454545454541</v>
      </c>
    </row>
    <row r="21" spans="1:22" x14ac:dyDescent="0.2">
      <c r="G21" s="146" t="s">
        <v>9</v>
      </c>
      <c r="H21" s="147"/>
      <c r="I21" s="6"/>
      <c r="J21" s="6"/>
      <c r="K21" s="6"/>
      <c r="L21" s="6">
        <f t="shared" ref="J21:S21" si="4">AVERAGE(I20:L20)</f>
        <v>0.5</v>
      </c>
      <c r="M21" s="6">
        <f t="shared" si="4"/>
        <v>0.25</v>
      </c>
      <c r="N21" s="6">
        <f t="shared" si="4"/>
        <v>0.25</v>
      </c>
      <c r="O21" s="6">
        <f t="shared" si="4"/>
        <v>0.25</v>
      </c>
      <c r="P21" s="6">
        <f t="shared" si="4"/>
        <v>0.5</v>
      </c>
      <c r="Q21" s="6">
        <f t="shared" si="4"/>
        <v>0.5</v>
      </c>
      <c r="R21" s="6">
        <f>AVERAGE(O20:R20)</f>
        <v>0.5</v>
      </c>
      <c r="S21" s="10">
        <f t="shared" si="4"/>
        <v>0.75</v>
      </c>
      <c r="T21" s="37" t="s">
        <v>10</v>
      </c>
      <c r="U21" s="38">
        <f>AVERAGE(J21:S21)</f>
        <v>0.4375</v>
      </c>
    </row>
    <row r="22" spans="1:22" x14ac:dyDescent="0.2">
      <c r="G22" s="107" t="s">
        <v>11</v>
      </c>
      <c r="H22" s="151"/>
      <c r="I22" s="17">
        <f t="shared" ref="I22:S22" si="5">I15/I19-1</f>
        <v>0.125</v>
      </c>
      <c r="J22" s="17">
        <f t="shared" si="5"/>
        <v>5.2631578947368363E-2</v>
      </c>
      <c r="K22" s="17">
        <f t="shared" si="5"/>
        <v>0</v>
      </c>
      <c r="L22" s="17">
        <f t="shared" si="5"/>
        <v>-0.23170731707317072</v>
      </c>
      <c r="M22" s="17">
        <f t="shared" si="5"/>
        <v>-1.1627906976744096E-2</v>
      </c>
      <c r="N22" s="17">
        <f t="shared" si="5"/>
        <v>8.602150537634401E-2</v>
      </c>
      <c r="O22" s="17">
        <f t="shared" si="5"/>
        <v>-0.3936170212765957</v>
      </c>
      <c r="P22" s="17">
        <f t="shared" si="5"/>
        <v>0.3085106382978724</v>
      </c>
      <c r="Q22" s="17">
        <f t="shared" si="5"/>
        <v>-2.9850746268656692E-2</v>
      </c>
      <c r="R22" s="17">
        <f t="shared" si="5"/>
        <v>4.1322314049586861E-2</v>
      </c>
      <c r="S22" s="36">
        <f t="shared" si="5"/>
        <v>7.7519379844961378E-3</v>
      </c>
      <c r="T22" s="37" t="s">
        <v>13</v>
      </c>
      <c r="U22" s="39">
        <f>MEDIAN(G22:S22)</f>
        <v>7.7519379844961378E-3</v>
      </c>
    </row>
    <row r="23" spans="1:22" x14ac:dyDescent="0.2">
      <c r="G23" s="146" t="s">
        <v>12</v>
      </c>
      <c r="H23" s="147"/>
      <c r="I23" s="28"/>
      <c r="J23" s="28"/>
      <c r="K23" s="28"/>
      <c r="L23" s="28">
        <f>AVERAGE(I22:L22)</f>
        <v>-1.3518934531450588E-2</v>
      </c>
      <c r="M23" s="28">
        <f t="shared" ref="M23:S23" si="6">AVERAGE(J22:M22)</f>
        <v>-4.7675911275636612E-2</v>
      </c>
      <c r="N23" s="28">
        <f t="shared" si="6"/>
        <v>-3.93284296683927E-2</v>
      </c>
      <c r="O23" s="28">
        <f t="shared" si="6"/>
        <v>-0.13773268498754163</v>
      </c>
      <c r="P23" s="28">
        <f t="shared" si="6"/>
        <v>-2.6781961447808478E-3</v>
      </c>
      <c r="Q23" s="28">
        <f t="shared" si="6"/>
        <v>-7.2339059677589967E-3</v>
      </c>
      <c r="R23" s="28">
        <f t="shared" si="6"/>
        <v>-1.8408703799448284E-2</v>
      </c>
      <c r="S23" s="29">
        <f t="shared" si="6"/>
        <v>8.1933536015824676E-2</v>
      </c>
      <c r="T23" s="18" t="s">
        <v>14</v>
      </c>
      <c r="U23" s="29">
        <f>MEDIAN(J23:S23)</f>
        <v>-1.5963819165449436E-2</v>
      </c>
    </row>
    <row r="24" spans="1:22" x14ac:dyDescent="0.2">
      <c r="G24" s="122" t="s">
        <v>25</v>
      </c>
      <c r="H24" s="123"/>
      <c r="I24" s="95">
        <f>AVERAGE(I22:J22,N22,P22,R22:S22)</f>
        <v>0.1035396624426113</v>
      </c>
      <c r="J24" s="107" t="s">
        <v>29</v>
      </c>
      <c r="K24" s="108"/>
      <c r="L24" s="42">
        <f>MEDIAN(I22:J22,N22,P22,R22:S22)</f>
        <v>6.9326542161856186E-2</v>
      </c>
      <c r="P24" s="3"/>
      <c r="Q24" s="124" t="s">
        <v>23</v>
      </c>
      <c r="R24" s="125"/>
      <c r="S24" s="125"/>
      <c r="T24" s="126"/>
      <c r="U24" s="40">
        <f>AVERAGE(Q17:T17)</f>
        <v>5.2047444102583627E-2</v>
      </c>
    </row>
    <row r="25" spans="1:22" x14ac:dyDescent="0.2">
      <c r="G25" s="109" t="s">
        <v>26</v>
      </c>
      <c r="H25" s="112"/>
      <c r="I25" s="94">
        <f>AVERAGE(L22:M22,O22,Q22)</f>
        <v>-0.1667007478987918</v>
      </c>
      <c r="J25" s="109" t="s">
        <v>30</v>
      </c>
      <c r="K25" s="110"/>
      <c r="L25" s="29">
        <f>MEDIAN(L22:M22,O22,Q22)</f>
        <v>-0.1307790316709137</v>
      </c>
      <c r="Q25" s="103" t="s">
        <v>27</v>
      </c>
      <c r="R25" s="104"/>
      <c r="S25" s="104"/>
      <c r="T25" s="104"/>
      <c r="U25" s="42">
        <f>AVERAGE(T18,L18,P18)</f>
        <v>0.2521204995417286</v>
      </c>
    </row>
    <row r="26" spans="1:22" x14ac:dyDescent="0.2">
      <c r="Q26" s="105" t="s">
        <v>28</v>
      </c>
      <c r="R26" s="106"/>
      <c r="S26" s="106"/>
      <c r="T26" s="106"/>
      <c r="U26" s="43">
        <f>_xlfn.STDEV.S(T18,L18,P18)</f>
        <v>4.7029635659438386E-2</v>
      </c>
    </row>
    <row r="29" spans="1:22" ht="18" customHeight="1" x14ac:dyDescent="0.2"/>
  </sheetData>
  <mergeCells count="24">
    <mergeCell ref="K4:L4"/>
    <mergeCell ref="B11:D11"/>
    <mergeCell ref="G21:H21"/>
    <mergeCell ref="F11:I11"/>
    <mergeCell ref="G24:H24"/>
    <mergeCell ref="G23:H23"/>
    <mergeCell ref="G22:H22"/>
    <mergeCell ref="A1:C3"/>
    <mergeCell ref="F1:G1"/>
    <mergeCell ref="K1:L1"/>
    <mergeCell ref="K2:L2"/>
    <mergeCell ref="K3:L3"/>
    <mergeCell ref="Q25:T25"/>
    <mergeCell ref="Q26:T26"/>
    <mergeCell ref="J24:K24"/>
    <mergeCell ref="J25:K25"/>
    <mergeCell ref="F10:G10"/>
    <mergeCell ref="Q10:S10"/>
    <mergeCell ref="G25:H25"/>
    <mergeCell ref="J11:M11"/>
    <mergeCell ref="N11:Q11"/>
    <mergeCell ref="R11:U11"/>
    <mergeCell ref="G20:H20"/>
    <mergeCell ref="Q24:T24"/>
  </mergeCells>
  <conditionalFormatting sqref="I20:S20 U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S21 U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S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I23:S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U22:U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U20:U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U20:U21 U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I22:S22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I23:S23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U22:U23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U20:U21 U24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37"/>
  <sheetViews>
    <sheetView topLeftCell="A4" zoomScale="85" zoomScaleNormal="85" workbookViewId="0">
      <selection activeCell="J17" sqref="J17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76</v>
      </c>
      <c r="B1" t="s">
        <v>77</v>
      </c>
    </row>
    <row r="4" spans="1:21" x14ac:dyDescent="0.2">
      <c r="A4" s="154" t="s">
        <v>72</v>
      </c>
      <c r="B4" s="154"/>
      <c r="T4" s="66" t="s">
        <v>162</v>
      </c>
    </row>
    <row r="5" spans="1:21" x14ac:dyDescent="0.2">
      <c r="A5" s="16" t="s">
        <v>53</v>
      </c>
      <c r="B5" s="16" t="s">
        <v>54</v>
      </c>
      <c r="C5" s="16" t="s">
        <v>65</v>
      </c>
      <c r="D5" s="16" t="s">
        <v>55</v>
      </c>
      <c r="E5" s="16" t="s">
        <v>56</v>
      </c>
      <c r="F5" s="16" t="s">
        <v>66</v>
      </c>
      <c r="G5" s="16" t="s">
        <v>57</v>
      </c>
      <c r="H5" s="16" t="s">
        <v>58</v>
      </c>
      <c r="I5" s="16" t="s">
        <v>67</v>
      </c>
      <c r="J5" s="16" t="s">
        <v>59</v>
      </c>
      <c r="K5" s="16" t="s">
        <v>60</v>
      </c>
      <c r="L5" s="16" t="s">
        <v>70</v>
      </c>
      <c r="M5" s="16" t="s">
        <v>61</v>
      </c>
      <c r="N5" s="16" t="s">
        <v>62</v>
      </c>
      <c r="O5" s="16" t="s">
        <v>71</v>
      </c>
      <c r="P5" s="16" t="s">
        <v>63</v>
      </c>
      <c r="Q5" s="16" t="s">
        <v>64</v>
      </c>
      <c r="R5" s="167" t="s">
        <v>0</v>
      </c>
      <c r="S5" s="16" t="s">
        <v>69</v>
      </c>
      <c r="T5" s="32" t="s">
        <v>0</v>
      </c>
      <c r="U5" s="32" t="s">
        <v>69</v>
      </c>
    </row>
    <row r="6" spans="1:21" x14ac:dyDescent="0.2">
      <c r="A6" t="s">
        <v>166</v>
      </c>
      <c r="B6" t="s">
        <v>167</v>
      </c>
      <c r="C6" s="101" t="s">
        <v>42</v>
      </c>
      <c r="D6">
        <v>20190221</v>
      </c>
      <c r="E6">
        <v>9.2513690000000004</v>
      </c>
      <c r="H6">
        <v>7.9653359999999997</v>
      </c>
      <c r="J6">
        <f>AVERAGE(E6:H6)</f>
        <v>8.6083525000000005</v>
      </c>
      <c r="R6" s="58">
        <v>6.4</v>
      </c>
      <c r="S6" s="6">
        <v>7.2</v>
      </c>
    </row>
    <row r="7" spans="1:21" x14ac:dyDescent="0.2">
      <c r="A7" t="s">
        <v>166</v>
      </c>
      <c r="B7" t="s">
        <v>167</v>
      </c>
      <c r="C7" s="101" t="s">
        <v>43</v>
      </c>
      <c r="D7">
        <v>20190425</v>
      </c>
      <c r="E7">
        <v>12.14438</v>
      </c>
      <c r="H7">
        <v>11.567310000000001</v>
      </c>
      <c r="I7">
        <v>0</v>
      </c>
      <c r="J7">
        <f t="shared" ref="J7:J17" si="0">AVERAGE(E7:H7)</f>
        <v>11.855845</v>
      </c>
      <c r="K7">
        <f>(E7/E6)*$S6</f>
        <v>9.4515239852609927</v>
      </c>
      <c r="N7">
        <f t="shared" ref="L7:P7" si="1">(H7/H6)*$S6</f>
        <v>10.45588434687501</v>
      </c>
      <c r="P7">
        <f t="shared" si="1"/>
        <v>9.9161929068308936</v>
      </c>
      <c r="Q7">
        <f>AVERAGE(K7:P7)</f>
        <v>9.9412004129889642</v>
      </c>
      <c r="R7" s="58">
        <v>7.6</v>
      </c>
      <c r="S7" s="6">
        <v>8</v>
      </c>
      <c r="T7" s="86"/>
      <c r="U7" s="85"/>
    </row>
    <row r="8" spans="1:21" x14ac:dyDescent="0.2">
      <c r="A8" t="s">
        <v>166</v>
      </c>
      <c r="B8" t="s">
        <v>167</v>
      </c>
      <c r="C8" s="101" t="s">
        <v>44</v>
      </c>
      <c r="D8">
        <v>20190725</v>
      </c>
      <c r="E8">
        <v>8.2855509999999999</v>
      </c>
      <c r="G8">
        <v>6.0729490000000004</v>
      </c>
      <c r="H8">
        <v>8.3828169999999993</v>
      </c>
      <c r="J8">
        <f t="shared" si="0"/>
        <v>7.5804389999999993</v>
      </c>
      <c r="K8">
        <f t="shared" ref="K8:K17" si="2">(E8/E7)*$S7</f>
        <v>5.458031451585013</v>
      </c>
      <c r="N8">
        <f t="shared" ref="N8:N17" si="3">(H8/H7)*$S7</f>
        <v>5.7975913155262537</v>
      </c>
      <c r="P8">
        <f t="shared" ref="P8:P17" si="4">(J8/J7)*$S7</f>
        <v>5.1150729450325976</v>
      </c>
      <c r="Q8">
        <f t="shared" ref="Q8:Q17" si="5">AVERAGE(K8:P8)</f>
        <v>5.4568985707146211</v>
      </c>
      <c r="R8" s="58">
        <v>7.9</v>
      </c>
      <c r="S8" s="6">
        <v>7.9</v>
      </c>
      <c r="T8" s="86"/>
      <c r="U8" s="85"/>
    </row>
    <row r="9" spans="1:21" x14ac:dyDescent="0.2">
      <c r="A9" t="s">
        <v>166</v>
      </c>
      <c r="B9" t="s">
        <v>167</v>
      </c>
      <c r="C9" s="101" t="s">
        <v>45</v>
      </c>
      <c r="D9">
        <v>20191024</v>
      </c>
      <c r="E9">
        <v>7.4824039999999998</v>
      </c>
      <c r="G9">
        <v>7.2987549999999999</v>
      </c>
      <c r="H9">
        <v>6.924328</v>
      </c>
      <c r="J9">
        <f t="shared" si="0"/>
        <v>7.2351623333333324</v>
      </c>
      <c r="K9">
        <f t="shared" si="2"/>
        <v>7.1342257865530003</v>
      </c>
      <c r="M9">
        <f t="shared" ref="M8:M17" si="6">(G9/G8)*$S8</f>
        <v>9.4945906016994375</v>
      </c>
      <c r="N9">
        <f t="shared" si="3"/>
        <v>6.5255141797799006</v>
      </c>
      <c r="P9">
        <f t="shared" si="4"/>
        <v>7.5401678495577018</v>
      </c>
      <c r="Q9">
        <f t="shared" si="5"/>
        <v>7.67362460439751</v>
      </c>
      <c r="R9" s="58">
        <v>8.1999999999999993</v>
      </c>
      <c r="S9" s="6">
        <v>6.3</v>
      </c>
      <c r="T9" s="9"/>
      <c r="U9" s="58"/>
    </row>
    <row r="10" spans="1:21" x14ac:dyDescent="0.2">
      <c r="A10" t="s">
        <v>166</v>
      </c>
      <c r="B10" t="s">
        <v>167</v>
      </c>
      <c r="C10" s="101" t="s">
        <v>46</v>
      </c>
      <c r="D10">
        <v>20200220</v>
      </c>
      <c r="E10">
        <v>6.5542759999999998</v>
      </c>
      <c r="F10">
        <v>6.5780399999999997</v>
      </c>
      <c r="G10">
        <v>6.2686719999999996</v>
      </c>
      <c r="H10">
        <v>7.5903749999999999</v>
      </c>
      <c r="I10">
        <v>7.9425489999999996</v>
      </c>
      <c r="J10">
        <f t="shared" si="0"/>
        <v>6.7478407499999999</v>
      </c>
      <c r="K10">
        <f t="shared" si="2"/>
        <v>5.5185390684598152</v>
      </c>
      <c r="M10">
        <f t="shared" si="6"/>
        <v>5.4108726214265301</v>
      </c>
      <c r="N10">
        <f t="shared" si="3"/>
        <v>6.9059932602846077</v>
      </c>
      <c r="P10">
        <f t="shared" si="4"/>
        <v>5.8756659168716192</v>
      </c>
      <c r="Q10">
        <f t="shared" si="5"/>
        <v>5.9277677167606431</v>
      </c>
      <c r="R10" s="58">
        <v>8.6</v>
      </c>
      <c r="S10" s="6">
        <v>8.5</v>
      </c>
      <c r="T10" s="9"/>
      <c r="U10" s="58"/>
    </row>
    <row r="11" spans="1:21" x14ac:dyDescent="0.2">
      <c r="A11" t="s">
        <v>166</v>
      </c>
      <c r="B11" t="s">
        <v>167</v>
      </c>
      <c r="C11" s="101" t="s">
        <v>47</v>
      </c>
      <c r="D11">
        <v>20200423</v>
      </c>
      <c r="E11">
        <v>9.4496110000000009</v>
      </c>
      <c r="F11">
        <v>9.9846330000000005</v>
      </c>
      <c r="G11">
        <v>9.9146820000000009</v>
      </c>
      <c r="H11">
        <v>9.569267</v>
      </c>
      <c r="I11">
        <v>9.8418080000000003</v>
      </c>
      <c r="J11">
        <f t="shared" si="0"/>
        <v>9.7295482500000006</v>
      </c>
      <c r="K11">
        <f t="shared" si="2"/>
        <v>12.254853701614033</v>
      </c>
      <c r="L11">
        <f t="shared" ref="L8:L17" si="7">(F11/F10)*$S10</f>
        <v>12.901925269533177</v>
      </c>
      <c r="M11">
        <f t="shared" si="6"/>
        <v>13.443803887011477</v>
      </c>
      <c r="N11">
        <f t="shared" si="3"/>
        <v>10.716040972942707</v>
      </c>
      <c r="O11">
        <f t="shared" ref="O8:O17" si="8">(I11/I10)*$S10</f>
        <v>10.53255925773955</v>
      </c>
      <c r="P11">
        <f t="shared" si="4"/>
        <v>12.255944262614676</v>
      </c>
      <c r="Q11">
        <f t="shared" si="5"/>
        <v>12.017521225242604</v>
      </c>
      <c r="R11" s="58">
        <v>9.3000000000000007</v>
      </c>
      <c r="S11" s="6">
        <v>10.1</v>
      </c>
      <c r="T11" s="9"/>
      <c r="U11" s="58"/>
    </row>
    <row r="12" spans="1:21" x14ac:dyDescent="0.2">
      <c r="A12" t="s">
        <v>166</v>
      </c>
      <c r="B12" t="s">
        <v>167</v>
      </c>
      <c r="C12" s="101" t="s">
        <v>48</v>
      </c>
      <c r="D12">
        <v>20200723</v>
      </c>
      <c r="E12">
        <v>15.287545</v>
      </c>
      <c r="F12">
        <v>15.852441000000001</v>
      </c>
      <c r="G12">
        <v>12.268724000000001</v>
      </c>
      <c r="H12">
        <v>13.796195000000001</v>
      </c>
      <c r="I12">
        <v>13.307403000000001</v>
      </c>
      <c r="J12">
        <f t="shared" si="0"/>
        <v>14.301226249999999</v>
      </c>
      <c r="K12">
        <f t="shared" si="2"/>
        <v>16.339741868739356</v>
      </c>
      <c r="L12">
        <f t="shared" si="7"/>
        <v>16.0356073277806</v>
      </c>
      <c r="M12">
        <f t="shared" si="6"/>
        <v>12.498042035034507</v>
      </c>
      <c r="N12">
        <f t="shared" si="3"/>
        <v>14.561362902717628</v>
      </c>
      <c r="O12">
        <f t="shared" si="8"/>
        <v>13.656512126633643</v>
      </c>
      <c r="P12">
        <f t="shared" si="4"/>
        <v>14.845744264128601</v>
      </c>
      <c r="Q12">
        <f t="shared" si="5"/>
        <v>14.656168420839057</v>
      </c>
      <c r="R12" s="58">
        <v>9.4</v>
      </c>
      <c r="S12" s="6">
        <v>5.7</v>
      </c>
      <c r="T12" s="9"/>
      <c r="U12" s="58"/>
    </row>
    <row r="13" spans="1:21" x14ac:dyDescent="0.2">
      <c r="A13" t="s">
        <v>166</v>
      </c>
      <c r="B13" t="s">
        <v>167</v>
      </c>
      <c r="C13" s="101" t="s">
        <v>49</v>
      </c>
      <c r="D13">
        <v>20201022</v>
      </c>
      <c r="E13">
        <v>7.1277549999999996</v>
      </c>
      <c r="F13">
        <v>7.2779489999999996</v>
      </c>
      <c r="G13">
        <v>8.2993410000000001</v>
      </c>
      <c r="H13">
        <v>7.1478109999999999</v>
      </c>
      <c r="I13">
        <v>8.7830949999999994</v>
      </c>
      <c r="J13">
        <f t="shared" si="0"/>
        <v>7.4632139999999998</v>
      </c>
      <c r="K13">
        <f t="shared" si="2"/>
        <v>2.6576015638874653</v>
      </c>
      <c r="L13">
        <f t="shared" si="7"/>
        <v>2.616903560782847</v>
      </c>
      <c r="M13">
        <f t="shared" si="6"/>
        <v>3.8558405666310529</v>
      </c>
      <c r="N13">
        <f t="shared" si="3"/>
        <v>2.9531709793896068</v>
      </c>
      <c r="O13">
        <f t="shared" si="8"/>
        <v>3.762089530166028</v>
      </c>
      <c r="P13">
        <f t="shared" si="4"/>
        <v>2.974592461957589</v>
      </c>
      <c r="Q13">
        <f t="shared" si="5"/>
        <v>3.1366997771357652</v>
      </c>
      <c r="R13" s="58">
        <v>9.4</v>
      </c>
      <c r="S13" s="6">
        <v>12.3</v>
      </c>
      <c r="T13" s="9"/>
      <c r="U13" s="58"/>
    </row>
    <row r="14" spans="1:21" x14ac:dyDescent="0.2">
      <c r="A14" t="s">
        <v>166</v>
      </c>
      <c r="B14" t="s">
        <v>167</v>
      </c>
      <c r="C14" s="101" t="s">
        <v>50</v>
      </c>
      <c r="D14">
        <v>20210218</v>
      </c>
      <c r="E14">
        <v>8.6499609999999993</v>
      </c>
      <c r="F14">
        <v>8.1663309999999996</v>
      </c>
      <c r="G14">
        <v>8.2797099999999997</v>
      </c>
      <c r="H14">
        <v>9.9245169999999998</v>
      </c>
      <c r="I14">
        <v>9.8889379999999996</v>
      </c>
      <c r="J14">
        <f t="shared" si="0"/>
        <v>8.75512975</v>
      </c>
      <c r="K14">
        <f t="shared" si="2"/>
        <v>14.926792559508568</v>
      </c>
      <c r="L14">
        <f t="shared" si="7"/>
        <v>13.801398072451457</v>
      </c>
      <c r="M14">
        <f t="shared" si="6"/>
        <v>12.270905967112329</v>
      </c>
      <c r="N14">
        <f t="shared" si="3"/>
        <v>17.078173877289146</v>
      </c>
      <c r="O14">
        <f t="shared" si="8"/>
        <v>13.848641896734581</v>
      </c>
      <c r="P14">
        <f t="shared" si="4"/>
        <v>14.429185056866924</v>
      </c>
      <c r="Q14">
        <f t="shared" si="5"/>
        <v>14.392516238327168</v>
      </c>
      <c r="R14" s="58">
        <v>13.4</v>
      </c>
      <c r="S14" s="6">
        <v>13</v>
      </c>
      <c r="T14" s="9"/>
      <c r="U14" s="58"/>
    </row>
    <row r="15" spans="1:21" x14ac:dyDescent="0.2">
      <c r="A15" t="s">
        <v>166</v>
      </c>
      <c r="B15" t="s">
        <v>167</v>
      </c>
      <c r="C15" s="101" t="s">
        <v>51</v>
      </c>
      <c r="D15">
        <v>20210422</v>
      </c>
      <c r="E15">
        <v>12.320010999999999</v>
      </c>
      <c r="F15">
        <v>12.309388</v>
      </c>
      <c r="G15">
        <v>13.995773</v>
      </c>
      <c r="H15">
        <v>11.733713</v>
      </c>
      <c r="I15">
        <v>11.353020000000001</v>
      </c>
      <c r="J15">
        <f t="shared" si="0"/>
        <v>12.58972125</v>
      </c>
      <c r="K15">
        <f t="shared" si="2"/>
        <v>18.515706949430179</v>
      </c>
      <c r="L15">
        <f t="shared" si="7"/>
        <v>19.595341408522383</v>
      </c>
      <c r="M15">
        <f t="shared" si="6"/>
        <v>21.974809383420435</v>
      </c>
      <c r="N15">
        <f t="shared" si="3"/>
        <v>15.369843086570359</v>
      </c>
      <c r="O15">
        <f t="shared" si="8"/>
        <v>14.924682508880126</v>
      </c>
      <c r="P15">
        <f t="shared" si="4"/>
        <v>18.693769358472384</v>
      </c>
      <c r="Q15">
        <f t="shared" si="5"/>
        <v>18.179025449215978</v>
      </c>
      <c r="R15" s="58">
        <v>12.1</v>
      </c>
      <c r="S15" s="6">
        <v>12.6</v>
      </c>
      <c r="T15" s="9"/>
      <c r="U15" s="58"/>
    </row>
    <row r="16" spans="1:21" x14ac:dyDescent="0.2">
      <c r="A16" t="s">
        <v>166</v>
      </c>
      <c r="B16" t="s">
        <v>167</v>
      </c>
      <c r="C16" s="101" t="s">
        <v>52</v>
      </c>
      <c r="D16">
        <v>20210722</v>
      </c>
      <c r="E16">
        <v>14.696854</v>
      </c>
      <c r="F16">
        <v>14.565313</v>
      </c>
      <c r="G16">
        <v>17.250305000000001</v>
      </c>
      <c r="H16">
        <v>12.522093999999999</v>
      </c>
      <c r="I16">
        <v>11.087814</v>
      </c>
      <c r="J16">
        <f t="shared" si="0"/>
        <v>14.7586415</v>
      </c>
      <c r="K16">
        <f t="shared" si="2"/>
        <v>15.030859988680206</v>
      </c>
      <c r="L16">
        <f t="shared" si="7"/>
        <v>14.909185070776873</v>
      </c>
      <c r="M16">
        <f t="shared" si="6"/>
        <v>15.529963439675679</v>
      </c>
      <c r="N16">
        <f t="shared" si="3"/>
        <v>13.446586293699189</v>
      </c>
      <c r="O16">
        <f t="shared" si="8"/>
        <v>12.305664607302726</v>
      </c>
      <c r="P16">
        <f t="shared" si="4"/>
        <v>14.770691042901365</v>
      </c>
      <c r="Q16">
        <f t="shared" si="5"/>
        <v>14.332158407172672</v>
      </c>
      <c r="R16" s="58">
        <v>12.9</v>
      </c>
      <c r="S16" s="6">
        <v>13</v>
      </c>
      <c r="T16" s="9"/>
      <c r="U16" s="58"/>
    </row>
    <row r="17" spans="1:21" x14ac:dyDescent="0.2">
      <c r="A17" t="s">
        <v>166</v>
      </c>
      <c r="B17" t="s">
        <v>167</v>
      </c>
      <c r="C17" s="101" t="s">
        <v>68</v>
      </c>
      <c r="D17">
        <v>20211028</v>
      </c>
      <c r="E17">
        <v>14.420197</v>
      </c>
      <c r="F17">
        <v>13.529166</v>
      </c>
      <c r="G17">
        <v>12.157684</v>
      </c>
      <c r="H17">
        <v>14.679061000000001</v>
      </c>
      <c r="I17">
        <v>11.008224999999999</v>
      </c>
      <c r="J17">
        <f t="shared" si="0"/>
        <v>13.696527</v>
      </c>
      <c r="K17">
        <f t="shared" si="2"/>
        <v>12.755284974593883</v>
      </c>
      <c r="L17">
        <f t="shared" si="7"/>
        <v>12.075206210810574</v>
      </c>
      <c r="M17">
        <f t="shared" si="6"/>
        <v>9.1621505822650668</v>
      </c>
      <c r="N17">
        <f t="shared" si="3"/>
        <v>15.239287694214724</v>
      </c>
      <c r="O17">
        <f t="shared" si="8"/>
        <v>12.906685213153828</v>
      </c>
      <c r="P17">
        <f t="shared" si="4"/>
        <v>12.064447191836727</v>
      </c>
      <c r="Q17">
        <f t="shared" si="5"/>
        <v>12.367176977812468</v>
      </c>
      <c r="R17">
        <f>'1. Data &amp; Confidence Interval'!T14</f>
        <v>13.4</v>
      </c>
      <c r="T17" s="9"/>
      <c r="U17" s="58"/>
    </row>
    <row r="18" spans="1:21" x14ac:dyDescent="0.2">
      <c r="A18" s="152" t="s">
        <v>165</v>
      </c>
      <c r="B18" s="153"/>
      <c r="C18" s="153"/>
      <c r="D18" s="153"/>
      <c r="E18" s="97">
        <f>CORREL(E6:E17,$S6:$S17)</f>
        <v>3.7526556791987069E-2</v>
      </c>
      <c r="F18" s="97">
        <f>CORREL(F6:F17,$S6:$S17)</f>
        <v>-0.25524607162947688</v>
      </c>
      <c r="G18" s="97">
        <f>CORREL(G6:G17,$S6:$S17)</f>
        <v>0.41501708544910354</v>
      </c>
      <c r="H18" s="97">
        <f>CORREL(H6:H17,$S6:$S17)</f>
        <v>0.12815365900291142</v>
      </c>
      <c r="I18" s="97">
        <f>CORREL(I6:I17,$S6:$S17)</f>
        <v>0.20159983196472114</v>
      </c>
      <c r="J18" s="98">
        <f>CORREL(J6:J17,$S6:$S17)</f>
        <v>0.16055495779767162</v>
      </c>
      <c r="K18" s="97">
        <f>CORREL(K6:K17,$S6:$S17)</f>
        <v>0.27418291753436946</v>
      </c>
      <c r="L18" s="97">
        <f>CORREL(L6:L17,$S6:$S17)</f>
        <v>-0.1673200456516061</v>
      </c>
      <c r="M18" s="97">
        <f>CORREL(M6:M17,$S6:$S17)</f>
        <v>0.29656607804108104</v>
      </c>
      <c r="N18" s="97">
        <f>CORREL(N6:N17,$S6:$S17)</f>
        <v>0.30119681095511813</v>
      </c>
      <c r="O18" s="97">
        <f>CORREL(O6:O17,$S6:$S17)</f>
        <v>-0.15097792351686479</v>
      </c>
      <c r="P18" s="97">
        <f>CORREL(P6:P17,$S6:$S17)</f>
        <v>0.31086129215273994</v>
      </c>
      <c r="Q18" s="97">
        <f>CORREL(Q6:Q17,$S6:$S17)</f>
        <v>0.30096148177750598</v>
      </c>
      <c r="R18" s="97">
        <f>CORREL(R6:R17,$S6:$S17)</f>
        <v>0.80457103541380193</v>
      </c>
      <c r="S18" s="5"/>
    </row>
    <row r="20" spans="1:21" x14ac:dyDescent="0.2">
      <c r="A20" s="155" t="s">
        <v>73</v>
      </c>
      <c r="B20" s="156"/>
    </row>
    <row r="21" spans="1:21" x14ac:dyDescent="0.2">
      <c r="A21" s="16" t="s">
        <v>53</v>
      </c>
      <c r="B21" s="16" t="s">
        <v>54</v>
      </c>
      <c r="C21" s="16" t="s">
        <v>65</v>
      </c>
      <c r="D21" s="16" t="s">
        <v>55</v>
      </c>
      <c r="E21" s="16" t="s">
        <v>56</v>
      </c>
      <c r="F21" s="16" t="s">
        <v>66</v>
      </c>
      <c r="G21" s="16" t="s">
        <v>57</v>
      </c>
      <c r="H21" s="16" t="s">
        <v>58</v>
      </c>
      <c r="I21" s="16" t="s">
        <v>67</v>
      </c>
      <c r="J21" s="16" t="s">
        <v>59</v>
      </c>
      <c r="K21" s="16" t="s">
        <v>60</v>
      </c>
      <c r="L21" s="16" t="s">
        <v>70</v>
      </c>
      <c r="M21" s="16" t="s">
        <v>61</v>
      </c>
      <c r="N21" s="16" t="s">
        <v>62</v>
      </c>
      <c r="O21" s="16" t="s">
        <v>71</v>
      </c>
      <c r="P21" s="16" t="s">
        <v>63</v>
      </c>
      <c r="Q21" s="16" t="s">
        <v>64</v>
      </c>
      <c r="R21" s="16" t="s">
        <v>0</v>
      </c>
    </row>
    <row r="22" spans="1:21" x14ac:dyDescent="0.2">
      <c r="A22" s="9" t="str">
        <f>A6</f>
        <v>LIVN_ACS</v>
      </c>
      <c r="B22" s="9" t="str">
        <f>B6</f>
        <v>ADVANCED CIRCULATORY SUPPORT</v>
      </c>
      <c r="C22" s="9" t="str">
        <f>C6</f>
        <v>2018Q4</v>
      </c>
      <c r="D22" s="9">
        <f>D6</f>
        <v>20190221</v>
      </c>
      <c r="E22" s="17">
        <f>$S6/E6-1</f>
        <v>-0.22173680457454459</v>
      </c>
      <c r="F22" s="17"/>
      <c r="G22" s="17"/>
      <c r="H22" s="17">
        <f>$S6/H6-1</f>
        <v>-9.6083329064837852E-2</v>
      </c>
      <c r="I22" s="17"/>
      <c r="J22" s="17">
        <f>$S6/J6-1</f>
        <v>-0.16360302392356729</v>
      </c>
      <c r="K22" s="17"/>
      <c r="L22" s="17"/>
      <c r="M22" s="17"/>
      <c r="N22" s="17"/>
      <c r="O22" s="17"/>
      <c r="P22" s="17"/>
      <c r="Q22" s="17"/>
      <c r="R22" s="36">
        <f>$S6/R6-1</f>
        <v>0.125</v>
      </c>
    </row>
    <row r="23" spans="1:21" x14ac:dyDescent="0.2">
      <c r="A23" s="9" t="str">
        <f>A7</f>
        <v>LIVN_ACS</v>
      </c>
      <c r="B23" s="9" t="str">
        <f>B7</f>
        <v>ADVANCED CIRCULATORY SUPPORT</v>
      </c>
      <c r="C23" s="9" t="str">
        <f>C7</f>
        <v>2019Q1</v>
      </c>
      <c r="D23" s="9">
        <f>D7</f>
        <v>20190425</v>
      </c>
      <c r="E23" s="17">
        <f>$S7/E7-1</f>
        <v>-0.34125908444893849</v>
      </c>
      <c r="F23" s="17"/>
      <c r="G23" s="17"/>
      <c r="H23" s="17">
        <f>$S7/H7-1</f>
        <v>-0.30839581544888139</v>
      </c>
      <c r="I23" s="17"/>
      <c r="J23" s="17">
        <f>$S7/J7-1</f>
        <v>-0.32522734566789635</v>
      </c>
      <c r="K23" s="17">
        <f>$S7/K7-1</f>
        <v>-0.15357565483879054</v>
      </c>
      <c r="L23" s="17"/>
      <c r="M23" s="17"/>
      <c r="N23" s="17">
        <f>$S7/N7-1</f>
        <v>-0.23488059597837929</v>
      </c>
      <c r="O23" s="17"/>
      <c r="P23" s="17">
        <f>$S7/P7-1</f>
        <v>-0.19323876863174982</v>
      </c>
      <c r="Q23" s="17">
        <f>$S7/Q7-1</f>
        <v>-0.19526821031116448</v>
      </c>
      <c r="R23" s="36">
        <f>$S7/R7-1</f>
        <v>5.2631578947368363E-2</v>
      </c>
    </row>
    <row r="24" spans="1:21" x14ac:dyDescent="0.2">
      <c r="A24" s="9" t="str">
        <f>A8</f>
        <v>LIVN_ACS</v>
      </c>
      <c r="B24" s="9" t="str">
        <f>B8</f>
        <v>ADVANCED CIRCULATORY SUPPORT</v>
      </c>
      <c r="C24" s="9" t="str">
        <f>C8</f>
        <v>2019Q2</v>
      </c>
      <c r="D24" s="9">
        <f>D8</f>
        <v>20190725</v>
      </c>
      <c r="E24" s="17">
        <f>$S8/E8-1</f>
        <v>-4.6532934261100944E-2</v>
      </c>
      <c r="F24" s="17"/>
      <c r="G24" s="17">
        <f>$S8/G8-1</f>
        <v>0.30085070696295979</v>
      </c>
      <c r="H24" s="17">
        <f>$S8/H8-1</f>
        <v>-5.7596032455438206E-2</v>
      </c>
      <c r="I24" s="17"/>
      <c r="J24" s="17">
        <f>$S8/J8-1</f>
        <v>4.2156001783010266E-2</v>
      </c>
      <c r="K24" s="17">
        <f>$S8/K8-1</f>
        <v>0.44740829547727134</v>
      </c>
      <c r="L24" s="17"/>
      <c r="M24" s="17"/>
      <c r="N24" s="17">
        <f>$S8/N8-1</f>
        <v>0.36263485472723578</v>
      </c>
      <c r="O24" s="17"/>
      <c r="P24" s="17">
        <f>$S8/P8-1</f>
        <v>0.54445500286988668</v>
      </c>
      <c r="Q24" s="17">
        <f>$S8/Q8-1</f>
        <v>0.4477087850590995</v>
      </c>
      <c r="R24" s="36">
        <f>$S8/R8-1</f>
        <v>0</v>
      </c>
    </row>
    <row r="25" spans="1:21" x14ac:dyDescent="0.2">
      <c r="A25" s="9" t="str">
        <f>A9</f>
        <v>LIVN_ACS</v>
      </c>
      <c r="B25" s="9" t="str">
        <f>B9</f>
        <v>ADVANCED CIRCULATORY SUPPORT</v>
      </c>
      <c r="C25" s="9" t="str">
        <f>C9</f>
        <v>2019Q3</v>
      </c>
      <c r="D25" s="9">
        <f>D9</f>
        <v>20191024</v>
      </c>
      <c r="E25" s="17">
        <f>$S9/E9-1</f>
        <v>-0.15802461347983887</v>
      </c>
      <c r="F25" s="17"/>
      <c r="G25" s="17">
        <f>$S9/G9-1</f>
        <v>-0.13683909105045999</v>
      </c>
      <c r="H25" s="17">
        <f>$S9/H9-1</f>
        <v>-9.0164417399060226E-2</v>
      </c>
      <c r="I25" s="17"/>
      <c r="J25" s="17">
        <f>$S9/J9-1</f>
        <v>-0.12925243280650645</v>
      </c>
      <c r="K25" s="17">
        <f>$S9/K9-1</f>
        <v>-0.11693291066360656</v>
      </c>
      <c r="L25" s="17"/>
      <c r="M25" s="17">
        <f>$S9/M9-1</f>
        <v>-0.33646428115896199</v>
      </c>
      <c r="N25" s="17">
        <f>$S9/N9-1</f>
        <v>-3.4558836831384721E-2</v>
      </c>
      <c r="O25" s="17"/>
      <c r="P25" s="17">
        <f>$S9/P9-1</f>
        <v>-0.16447483322674961</v>
      </c>
      <c r="Q25" s="17">
        <f>$S9/Q9-1</f>
        <v>-0.17900596852370521</v>
      </c>
      <c r="R25" s="36">
        <f>$S9/R9-1</f>
        <v>-0.23170731707317072</v>
      </c>
    </row>
    <row r="26" spans="1:21" x14ac:dyDescent="0.2">
      <c r="A26" s="9" t="str">
        <f>A10</f>
        <v>LIVN_ACS</v>
      </c>
      <c r="B26" s="9" t="str">
        <f>B10</f>
        <v>ADVANCED CIRCULATORY SUPPORT</v>
      </c>
      <c r="C26" s="9" t="str">
        <f>C10</f>
        <v>2019Q4</v>
      </c>
      <c r="D26" s="9">
        <f>D10</f>
        <v>20200220</v>
      </c>
      <c r="E26" s="17">
        <f>$S10/E10-1</f>
        <v>0.29686329962302471</v>
      </c>
      <c r="F26" s="17">
        <f>$S10/F10-1</f>
        <v>0.29217821721971893</v>
      </c>
      <c r="G26" s="17">
        <f>$S10/G10-1</f>
        <v>0.3559490750193981</v>
      </c>
      <c r="H26" s="17">
        <f>$S10/H10-1</f>
        <v>0.11983927012828754</v>
      </c>
      <c r="I26" s="17">
        <f>$S10/I10-1</f>
        <v>7.0185402696288035E-2</v>
      </c>
      <c r="J26" s="17">
        <f>$S10/J10-1</f>
        <v>0.25966221120437671</v>
      </c>
      <c r="K26" s="17">
        <f>$S10/K10-1</f>
        <v>0.54026272072262227</v>
      </c>
      <c r="L26" s="17"/>
      <c r="M26" s="17">
        <f>$S10/M10-1</f>
        <v>0.57091112556241397</v>
      </c>
      <c r="N26" s="17">
        <f>$S10/N10-1</f>
        <v>0.23081498629347053</v>
      </c>
      <c r="O26" s="17"/>
      <c r="P26" s="17">
        <f>$S10/P10-1</f>
        <v>0.4466445370205212</v>
      </c>
      <c r="Q26" s="17">
        <f>$S10/Q10-1</f>
        <v>0.43392933160427694</v>
      </c>
      <c r="R26" s="36">
        <f>$S10/R10-1</f>
        <v>-1.1627906976744096E-2</v>
      </c>
    </row>
    <row r="27" spans="1:21" x14ac:dyDescent="0.2">
      <c r="A27" s="9" t="str">
        <f>A11</f>
        <v>LIVN_ACS</v>
      </c>
      <c r="B27" s="9" t="str">
        <f>B11</f>
        <v>ADVANCED CIRCULATORY SUPPORT</v>
      </c>
      <c r="C27" s="9" t="str">
        <f>C11</f>
        <v>2020Q1</v>
      </c>
      <c r="D27" s="9">
        <f>D11</f>
        <v>20200423</v>
      </c>
      <c r="E27" s="17">
        <f>$S11/E11-1</f>
        <v>6.8827066003034343E-2</v>
      </c>
      <c r="F27" s="17">
        <f>$S11/F11-1</f>
        <v>1.1554455732123436E-2</v>
      </c>
      <c r="G27" s="17">
        <f>$S11/G11-1</f>
        <v>1.8691270178912367E-2</v>
      </c>
      <c r="H27" s="17">
        <f>$S11/H11-1</f>
        <v>5.5462241778811316E-2</v>
      </c>
      <c r="I27" s="17">
        <f>$S11/I11-1</f>
        <v>2.6234204121844185E-2</v>
      </c>
      <c r="J27" s="17">
        <f>$S11/J11-1</f>
        <v>3.807491781542871E-2</v>
      </c>
      <c r="K27" s="17">
        <f>$S11/K11-1</f>
        <v>-0.17583675448775271</v>
      </c>
      <c r="L27" s="17">
        <f>$S11/L11-1</f>
        <v>-0.21717109741363105</v>
      </c>
      <c r="M27" s="17">
        <f>$S11/M11-1</f>
        <v>-0.24872453623353141</v>
      </c>
      <c r="N27" s="17">
        <f>$S11/N11-1</f>
        <v>-5.7487739595077136E-2</v>
      </c>
      <c r="O27" s="17">
        <f>$S11/O11-1</f>
        <v>-4.1068770386617715E-2</v>
      </c>
      <c r="P27" s="17">
        <f>$S11/P11-1</f>
        <v>-0.17591009035437055</v>
      </c>
      <c r="Q27" s="17">
        <f>$S11/Q11-1</f>
        <v>-0.15956046087232056</v>
      </c>
      <c r="R27" s="36">
        <f>$S11/R11-1</f>
        <v>8.602150537634401E-2</v>
      </c>
    </row>
    <row r="28" spans="1:21" x14ac:dyDescent="0.2">
      <c r="A28" s="9" t="str">
        <f>A12</f>
        <v>LIVN_ACS</v>
      </c>
      <c r="B28" s="9" t="str">
        <f>B12</f>
        <v>ADVANCED CIRCULATORY SUPPORT</v>
      </c>
      <c r="C28" s="9" t="str">
        <f>C12</f>
        <v>2020Q2</v>
      </c>
      <c r="D28" s="9">
        <f>D12</f>
        <v>20200723</v>
      </c>
      <c r="E28" s="17">
        <f>$S12/E12-1</f>
        <v>-0.6271474589281667</v>
      </c>
      <c r="F28" s="17">
        <f>$S12/F12-1</f>
        <v>-0.64043392434010638</v>
      </c>
      <c r="G28" s="17">
        <f>$S12/G12-1</f>
        <v>-0.5354040077843466</v>
      </c>
      <c r="H28" s="17">
        <f>$S12/H12-1</f>
        <v>-0.58684260406583122</v>
      </c>
      <c r="I28" s="17">
        <f>$S12/I12-1</f>
        <v>-0.57166698866788668</v>
      </c>
      <c r="J28" s="17">
        <f>$S12/J12-1</f>
        <v>-0.60143277923457783</v>
      </c>
      <c r="K28" s="17">
        <f>$S12/K12-1</f>
        <v>-0.65115727985244076</v>
      </c>
      <c r="L28" s="17">
        <f>$S12/L12-1</f>
        <v>-0.64454105893918112</v>
      </c>
      <c r="M28" s="17">
        <f>$S12/M12-1</f>
        <v>-0.54392856224824959</v>
      </c>
      <c r="N28" s="17">
        <f>$S12/N12-1</f>
        <v>-0.60855312527536876</v>
      </c>
      <c r="O28" s="17">
        <f>$S12/O12-1</f>
        <v>-0.58261670716906089</v>
      </c>
      <c r="P28" s="17">
        <f>$S12/P12-1</f>
        <v>-0.61605158363311108</v>
      </c>
      <c r="Q28" s="17">
        <f>$S12/Q12-1</f>
        <v>-0.6110852552775401</v>
      </c>
      <c r="R28" s="36">
        <f>$S12/R12-1</f>
        <v>-0.3936170212765957</v>
      </c>
    </row>
    <row r="29" spans="1:21" x14ac:dyDescent="0.2">
      <c r="A29" s="9" t="str">
        <f>A13</f>
        <v>LIVN_ACS</v>
      </c>
      <c r="B29" s="9" t="str">
        <f>B13</f>
        <v>ADVANCED CIRCULATORY SUPPORT</v>
      </c>
      <c r="C29" s="9" t="str">
        <f>C13</f>
        <v>2020Q3</v>
      </c>
      <c r="D29" s="9">
        <f>D13</f>
        <v>20201022</v>
      </c>
      <c r="E29" s="17">
        <f>$S13/E13-1</f>
        <v>0.72564853870538504</v>
      </c>
      <c r="F29" s="17">
        <f>$S13/F13-1</f>
        <v>0.6900365748647046</v>
      </c>
      <c r="G29" s="17">
        <f>$S13/G13-1</f>
        <v>0.48204538167548483</v>
      </c>
      <c r="H29" s="17">
        <f>$S13/H13-1</f>
        <v>0.72080655182404807</v>
      </c>
      <c r="I29" s="17">
        <f>$S13/I13-1</f>
        <v>0.40041750658509345</v>
      </c>
      <c r="J29" s="17">
        <f>$S13/J13-1</f>
        <v>0.64808352004913705</v>
      </c>
      <c r="K29" s="17">
        <f>$S13/K13-1</f>
        <v>3.6282332788847045</v>
      </c>
      <c r="L29" s="17">
        <f>$S13/L13-1</f>
        <v>3.7002114194534759</v>
      </c>
      <c r="M29" s="17">
        <f>$S13/M13-1</f>
        <v>2.1899659198686288</v>
      </c>
      <c r="N29" s="17">
        <f>$S13/N13-1</f>
        <v>3.1650145168845922</v>
      </c>
      <c r="O29" s="17">
        <f>$S13/O13-1</f>
        <v>2.2694596716461395</v>
      </c>
      <c r="P29" s="17">
        <f>$S13/P13-1</f>
        <v>3.1350202279156356</v>
      </c>
      <c r="Q29" s="17">
        <f>$S13/Q13-1</f>
        <v>2.9213188618362382</v>
      </c>
      <c r="R29" s="36">
        <f>$S13/R13-1</f>
        <v>0.3085106382978724</v>
      </c>
    </row>
    <row r="30" spans="1:21" x14ac:dyDescent="0.2">
      <c r="A30" s="9" t="str">
        <f>A14</f>
        <v>LIVN_ACS</v>
      </c>
      <c r="B30" s="9" t="str">
        <f>B14</f>
        <v>ADVANCED CIRCULATORY SUPPORT</v>
      </c>
      <c r="C30" s="9" t="str">
        <f>C14</f>
        <v>2020Q4</v>
      </c>
      <c r="D30" s="9">
        <f>D14</f>
        <v>20210218</v>
      </c>
      <c r="E30" s="17">
        <f>$S14/E14-1</f>
        <v>0.50289694947757568</v>
      </c>
      <c r="F30" s="17">
        <f>$S14/F14-1</f>
        <v>0.59190216512164406</v>
      </c>
      <c r="G30" s="17">
        <f>$S14/G14-1</f>
        <v>0.5701033007194698</v>
      </c>
      <c r="H30" s="17">
        <f>$S14/H14-1</f>
        <v>0.3098874232368185</v>
      </c>
      <c r="I30" s="17">
        <f>$S14/I14-1</f>
        <v>0.31460021288433615</v>
      </c>
      <c r="J30" s="17">
        <f>$S14/J14-1</f>
        <v>0.48484378543904505</v>
      </c>
      <c r="K30" s="17">
        <f>$S14/K14-1</f>
        <v>-0.12908282551841155</v>
      </c>
      <c r="L30" s="17">
        <f>$S14/L14-1</f>
        <v>-5.8066441402853441E-2</v>
      </c>
      <c r="M30" s="17">
        <f>$S14/M14-1</f>
        <v>5.9416479503774378E-2</v>
      </c>
      <c r="N30" s="17">
        <f>$S14/N14-1</f>
        <v>-0.23879449328668401</v>
      </c>
      <c r="O30" s="17">
        <f>$S14/O14-1</f>
        <v>-6.1279792131435307E-2</v>
      </c>
      <c r="P30" s="17">
        <f>$S14/P14-1</f>
        <v>-9.9048217292546759E-2</v>
      </c>
      <c r="Q30" s="17">
        <f>$S14/Q14-1</f>
        <v>-9.6752799529168376E-2</v>
      </c>
      <c r="R30" s="36">
        <f>$S14/R14-1</f>
        <v>-2.9850746268656692E-2</v>
      </c>
    </row>
    <row r="31" spans="1:21" x14ac:dyDescent="0.2">
      <c r="A31" s="9" t="str">
        <f>A15</f>
        <v>LIVN_ACS</v>
      </c>
      <c r="B31" s="9" t="str">
        <f>B15</f>
        <v>ADVANCED CIRCULATORY SUPPORT</v>
      </c>
      <c r="C31" s="9" t="str">
        <f>C15</f>
        <v>2021Q1</v>
      </c>
      <c r="D31" s="9">
        <f>D15</f>
        <v>20210422</v>
      </c>
      <c r="E31" s="17">
        <f>$S15/E15-1</f>
        <v>2.2726359578737476E-2</v>
      </c>
      <c r="F31" s="17">
        <f>$S15/F15-1</f>
        <v>2.3608972273844842E-2</v>
      </c>
      <c r="G31" s="17">
        <f>$S15/G15-1</f>
        <v>-9.9728182216159089E-2</v>
      </c>
      <c r="H31" s="17">
        <f>$S15/H15-1</f>
        <v>7.3828889457241642E-2</v>
      </c>
      <c r="I31" s="17">
        <f>$S15/I15-1</f>
        <v>0.10983685398246457</v>
      </c>
      <c r="J31" s="17">
        <f>$S15/J15-1</f>
        <v>8.1643983976209533E-4</v>
      </c>
      <c r="K31" s="17">
        <f>$S15/K15-1</f>
        <v>-0.31949668276707277</v>
      </c>
      <c r="L31" s="17">
        <f>$S15/L15-1</f>
        <v>-0.35699002444938155</v>
      </c>
      <c r="M31" s="17">
        <f>$S15/M15-1</f>
        <v>-0.42661618673668888</v>
      </c>
      <c r="N31" s="17">
        <f>$S15/N15-1</f>
        <v>-0.18021284088388345</v>
      </c>
      <c r="O31" s="17">
        <f>$S15/O15-1</f>
        <v>-0.15576093545018121</v>
      </c>
      <c r="P31" s="17">
        <f>$S15/P15-1</f>
        <v>-0.32597863178998554</v>
      </c>
      <c r="Q31" s="17">
        <f>$S15/Q15-1</f>
        <v>-0.30689353864437152</v>
      </c>
      <c r="R31" s="36">
        <f>$S15/R15-1</f>
        <v>4.1322314049586861E-2</v>
      </c>
    </row>
    <row r="32" spans="1:21" x14ac:dyDescent="0.2">
      <c r="A32" s="9" t="str">
        <f>A16</f>
        <v>LIVN_ACS</v>
      </c>
      <c r="B32" s="9" t="str">
        <f>B16</f>
        <v>ADVANCED CIRCULATORY SUPPORT</v>
      </c>
      <c r="C32" s="9" t="str">
        <f>C16</f>
        <v>2021Q2</v>
      </c>
      <c r="D32" s="9">
        <f>D16</f>
        <v>20210722</v>
      </c>
      <c r="E32" s="17">
        <f>$S16/E16-1</f>
        <v>-0.11545695425701308</v>
      </c>
      <c r="F32" s="17">
        <f>$S16/F16-1</f>
        <v>-0.10746854530348915</v>
      </c>
      <c r="G32" s="17">
        <f>$S16/G16-1</f>
        <v>-0.2463901362903439</v>
      </c>
      <c r="H32" s="17">
        <f>$S16/H16-1</f>
        <v>3.8165022559325967E-2</v>
      </c>
      <c r="I32" s="17">
        <f>$S16/I16-1</f>
        <v>0.1724583403004416</v>
      </c>
      <c r="J32" s="17">
        <f>$S16/J16-1</f>
        <v>-0.11916012053006364</v>
      </c>
      <c r="K32" s="17">
        <f>$S16/K16-1</f>
        <v>-0.13511269416451577</v>
      </c>
      <c r="L32" s="17">
        <f>$S16/L16-1</f>
        <v>-0.12805428745525604</v>
      </c>
      <c r="M32" s="17">
        <f>$S16/M16-1</f>
        <v>-0.16290852515545351</v>
      </c>
      <c r="N32" s="17">
        <f>$S16/N16-1</f>
        <v>-3.3211871321455866E-2</v>
      </c>
      <c r="O32" s="17">
        <f>$S16/O16-1</f>
        <v>5.6424046555374696E-2</v>
      </c>
      <c r="P32" s="17">
        <f>$S16/P16-1</f>
        <v>-0.11987868663411927</v>
      </c>
      <c r="Q32" s="17">
        <f>$S16/Q16-1</f>
        <v>-9.2948903390991044E-2</v>
      </c>
      <c r="R32" s="36">
        <f>$S16/R16-1</f>
        <v>7.7519379844961378E-3</v>
      </c>
    </row>
    <row r="33" spans="1:18" x14ac:dyDescent="0.2">
      <c r="A33" s="9" t="str">
        <f>A17</f>
        <v>LIVN_ACS</v>
      </c>
      <c r="B33" s="9" t="str">
        <f>B17</f>
        <v>ADVANCED CIRCULATORY SUPPORT</v>
      </c>
      <c r="C33" s="9" t="str">
        <f>C17</f>
        <v>2021Q3</v>
      </c>
      <c r="D33" s="9">
        <f>D17</f>
        <v>20211028</v>
      </c>
      <c r="E33" s="17">
        <f>$S17/E17-1</f>
        <v>-1</v>
      </c>
      <c r="F33" s="17">
        <f>$S17/F17-1</f>
        <v>-1</v>
      </c>
      <c r="G33" s="17">
        <f>$S17/G17-1</f>
        <v>-1</v>
      </c>
      <c r="H33" s="17">
        <f>$S17/H17-1</f>
        <v>-1</v>
      </c>
      <c r="I33" s="17">
        <f>$S17/I17-1</f>
        <v>-1</v>
      </c>
      <c r="J33" s="17">
        <f>$S17/J17-1</f>
        <v>-1</v>
      </c>
      <c r="K33" s="17">
        <f>$S17/K17-1</f>
        <v>-1</v>
      </c>
      <c r="L33" s="17">
        <f>$S17/L17-1</f>
        <v>-1</v>
      </c>
      <c r="M33" s="17">
        <f>$S17/M17-1</f>
        <v>-1</v>
      </c>
      <c r="N33" s="17">
        <f>$S17/N17-1</f>
        <v>-1</v>
      </c>
      <c r="O33" s="17">
        <f>$S17/O17-1</f>
        <v>-1</v>
      </c>
      <c r="P33" s="17">
        <f>$S17/P17-1</f>
        <v>-1</v>
      </c>
      <c r="Q33" s="17">
        <f>$S17/Q17-1</f>
        <v>-1</v>
      </c>
      <c r="R33" s="36">
        <f>$S17/R17-1</f>
        <v>-1</v>
      </c>
    </row>
    <row r="34" spans="1:18" x14ac:dyDescent="0.2">
      <c r="A34" s="161" t="s">
        <v>74</v>
      </c>
      <c r="B34" s="161"/>
      <c r="C34" s="157"/>
      <c r="D34" s="158"/>
      <c r="E34" s="69" cm="1">
        <f t="array" ref="E34">SUM(ABS(E22:E33))/COUNT(E22:E33)</f>
        <v>0.34392667194477999</v>
      </c>
      <c r="F34" s="69" cm="1">
        <f t="array" ref="F34">SUM(ABS(F22:F33))/COUNT(F22:F33)</f>
        <v>0.41964785685695394</v>
      </c>
      <c r="G34" s="69" cm="1">
        <f t="array" ref="G34">SUM(ABS(G22:G33))/COUNT(G22:G33)</f>
        <v>0.37460011518975345</v>
      </c>
      <c r="H34" s="69" cm="1">
        <f t="array" ref="H34">SUM(ABS(H22:H33))/COUNT(H22:H33)</f>
        <v>0.28808929978488185</v>
      </c>
      <c r="I34" s="69" cm="1">
        <f t="array" ref="I34">SUM(ABS(I22:I33))/COUNT(I22:I33)</f>
        <v>0.33317493865479431</v>
      </c>
      <c r="J34" s="69" cm="1">
        <f t="array" ref="J34">SUM(ABS(J22:J33))/COUNT(J22:J33)</f>
        <v>0.31769271485778094</v>
      </c>
      <c r="K34" s="69" cm="1">
        <f t="array" ref="K34">SUM(ABS(K22:K33))/COUNT(K22:K33)</f>
        <v>0.66337264521610806</v>
      </c>
      <c r="L34" s="69" cm="1">
        <f t="array" ref="L34">SUM(ABS(L22:L33))/COUNT(L22:L33)</f>
        <v>0.87214776130196836</v>
      </c>
      <c r="M34" s="69" cm="1">
        <f t="array" ref="M34">SUM(ABS(M22:M33))/COUNT(M22:M33)</f>
        <v>0.61543729071863362</v>
      </c>
      <c r="N34" s="69" cm="1">
        <f t="array" ref="N34">SUM(ABS(N22:N33))/COUNT(N22:N33)</f>
        <v>0.55874216918886654</v>
      </c>
      <c r="O34" s="69" cm="1">
        <f t="array" ref="O34">SUM(ABS(O22:O33))/COUNT(O22:O33)</f>
        <v>0.5952299890484013</v>
      </c>
      <c r="P34" s="69" cm="1">
        <f t="array" ref="P34">SUM(ABS(P22:P33))/COUNT(P22:P33)</f>
        <v>0.62006368903351605</v>
      </c>
      <c r="Q34" s="69" cm="1">
        <f t="array" ref="Q34">SUM(ABS(Q22:Q33))/COUNT(Q22:Q33)</f>
        <v>0.58586110136807967</v>
      </c>
      <c r="R34" s="69" cm="1">
        <f t="array" ref="R34">SUM(ABS(R22:R33))/COUNT(R22:R33)</f>
        <v>0.19067008052090292</v>
      </c>
    </row>
    <row r="35" spans="1:18" x14ac:dyDescent="0.2">
      <c r="A35" s="162" t="s">
        <v>75</v>
      </c>
      <c r="B35" s="162"/>
      <c r="C35" s="159"/>
      <c r="D35" s="160"/>
      <c r="E35" s="70" cm="1">
        <f t="array" ref="E35">SQRT(SUM(POWER(E22:E33,2))/COUNT(E22:E33))</f>
        <v>0.45389599798128233</v>
      </c>
      <c r="F35" s="70" cm="1">
        <f t="array" ref="F35">SQRT(SUM(POWER(F22:F33,2))/COUNT(F22:F33))</f>
        <v>0.54016927289494243</v>
      </c>
      <c r="G35" s="70" cm="1">
        <f t="array" ref="G35">SQRT(SUM(POWER(G22:G33,2))/COUNT(G22:G33))</f>
        <v>0.46378680198281275</v>
      </c>
      <c r="H35" s="70" cm="1">
        <f t="array" ref="H35">SQRT(SUM(POWER(H22:H33,2))/COUNT(H22:H33))</f>
        <v>0.41834079381160971</v>
      </c>
      <c r="I35" s="70" cm="1">
        <f t="array" ref="I35">SQRT(SUM(POWER(I22:I33,2))/COUNT(I22:I33))</f>
        <v>0.45187537791253873</v>
      </c>
      <c r="J35" s="70" cm="1">
        <f t="array" ref="J35">SQRT(SUM(POWER(J22:J33,2))/COUNT(J22:J33))</f>
        <v>0.43309960296379585</v>
      </c>
      <c r="K35" s="70" cm="1">
        <f t="array" ref="K35">SQRT(SUM(POWER(K22:K33,2))/COUNT(K22:K33))</f>
        <v>1.1788019271210517</v>
      </c>
      <c r="L35" s="70" cm="1">
        <f t="array" ref="L35">SQRT(SUM(POWER(L22:L33,2))/COUNT(L22:L33))</f>
        <v>1.4784824507665875</v>
      </c>
      <c r="M35" s="70" cm="1">
        <f t="array" ref="M35">SQRT(SUM(POWER(M22:M33,2))/COUNT(M22:M33))</f>
        <v>0.8695395657803644</v>
      </c>
      <c r="N35" s="70" cm="1">
        <f t="array" ref="N35">SQRT(SUM(POWER(N22:N33,2))/COUNT(N22:N33))</f>
        <v>1.0323276412751354</v>
      </c>
      <c r="O35" s="70" cm="1">
        <f t="array" ref="O35">SQRT(SUM(POWER(O22:O33,2))/COUNT(O22:O33))</f>
        <v>0.96531093640246757</v>
      </c>
      <c r="P35" s="70" cm="1">
        <f t="array" ref="P35">SQRT(SUM(POWER(P22:P33,2))/COUNT(P22:P33))</f>
        <v>1.0413965730225743</v>
      </c>
      <c r="Q35" s="70" cm="1">
        <f t="array" ref="Q35">SQRT(SUM(POWER(Q22:Q33,2))/COUNT(Q22:Q33))</f>
        <v>0.97719838411573434</v>
      </c>
      <c r="R35" s="70" cm="1">
        <f t="array" ref="R35">SQRT(SUM(POWER(R22:R33,2))/COUNT(R22:R33))</f>
        <v>0.33321541307275443</v>
      </c>
    </row>
    <row r="36" spans="1:18" x14ac:dyDescent="0.2">
      <c r="G36" s="3" t="e">
        <f>AVERAGE(#REF!,#REF!,#REF!,G28:G31,G23:G24)</f>
        <v>#REF!</v>
      </c>
      <c r="J36" s="3"/>
    </row>
    <row r="37" spans="1:18" x14ac:dyDescent="0.2">
      <c r="B37" t="s">
        <v>155</v>
      </c>
      <c r="G37" s="3">
        <f>AVERAGE(G24,G30)</f>
        <v>0.43547700384121479</v>
      </c>
      <c r="J37" s="3"/>
    </row>
  </sheetData>
  <mergeCells count="7">
    <mergeCell ref="A18:D18"/>
    <mergeCell ref="A4:B4"/>
    <mergeCell ref="A20:B20"/>
    <mergeCell ref="C34:D34"/>
    <mergeCell ref="C35:D35"/>
    <mergeCell ref="A34:B34"/>
    <mergeCell ref="A35:B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2"/>
  <sheetViews>
    <sheetView zoomScale="85" zoomScaleNormal="85" workbookViewId="0">
      <selection activeCell="D12" sqref="D12"/>
    </sheetView>
  </sheetViews>
  <sheetFormatPr defaultRowHeight="12.75" x14ac:dyDescent="0.2"/>
  <cols>
    <col min="1" max="1" width="9.140625" style="63"/>
    <col min="3" max="3" width="13" bestFit="1" customWidth="1"/>
    <col min="4" max="4" width="8.85546875" customWidth="1"/>
    <col min="5" max="5" width="7.285156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3" t="s">
        <v>100</v>
      </c>
      <c r="B1" t="s">
        <v>80</v>
      </c>
    </row>
    <row r="2" spans="1:17" x14ac:dyDescent="0.2">
      <c r="A2" s="63" t="s">
        <v>95</v>
      </c>
      <c r="B2" t="s">
        <v>78</v>
      </c>
    </row>
    <row r="3" spans="1:17" x14ac:dyDescent="0.2">
      <c r="A3" s="63" t="s">
        <v>96</v>
      </c>
      <c r="B3" t="s">
        <v>144</v>
      </c>
    </row>
    <row r="4" spans="1:17" x14ac:dyDescent="0.2">
      <c r="A4" s="63" t="s">
        <v>97</v>
      </c>
      <c r="B4" t="s">
        <v>163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3" t="s">
        <v>98</v>
      </c>
      <c r="B7" s="163" t="s">
        <v>79</v>
      </c>
      <c r="C7" s="163"/>
      <c r="D7" s="163" t="s">
        <v>109</v>
      </c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6"/>
      <c r="P7" s="6"/>
      <c r="Q7" s="6"/>
    </row>
    <row r="8" spans="1:17" ht="15" x14ac:dyDescent="0.2">
      <c r="B8" s="8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s="6"/>
      <c r="P8" s="6"/>
      <c r="Q8" s="6"/>
    </row>
    <row r="9" spans="1:17" ht="15" x14ac:dyDescent="0.2">
      <c r="A9" s="63" t="s">
        <v>92</v>
      </c>
      <c r="C9" s="67" t="s">
        <v>81</v>
      </c>
      <c r="D9" s="67" t="s">
        <v>82</v>
      </c>
      <c r="E9" s="67" t="s">
        <v>83</v>
      </c>
      <c r="F9" s="67" t="s">
        <v>84</v>
      </c>
      <c r="G9" s="67" t="s">
        <v>85</v>
      </c>
      <c r="H9" s="67" t="s">
        <v>86</v>
      </c>
      <c r="I9" s="67" t="s">
        <v>87</v>
      </c>
      <c r="J9" s="67" t="s">
        <v>88</v>
      </c>
      <c r="K9" s="67" t="s">
        <v>89</v>
      </c>
      <c r="L9" s="67" t="s">
        <v>90</v>
      </c>
      <c r="M9" s="67" t="s">
        <v>91</v>
      </c>
      <c r="O9" s="6"/>
      <c r="P9" s="6"/>
      <c r="Q9" s="6"/>
    </row>
    <row r="10" spans="1:17" ht="15" x14ac:dyDescent="0.2">
      <c r="B10" s="67" t="s">
        <v>92</v>
      </c>
      <c r="C10" s="2">
        <v>0.17370786061287979</v>
      </c>
      <c r="D10" s="2">
        <v>0.4002540761003881</v>
      </c>
      <c r="E10" s="2">
        <v>0.38181406285530811</v>
      </c>
      <c r="F10" s="2">
        <v>0.22217238435531131</v>
      </c>
      <c r="G10" s="2">
        <v>0.2797272050296557</v>
      </c>
      <c r="H10" s="2">
        <v>0.36741415270203359</v>
      </c>
      <c r="I10" s="2">
        <v>0.33224009057013337</v>
      </c>
      <c r="J10" s="2">
        <v>0.28675128840174752</v>
      </c>
      <c r="K10" s="2">
        <v>0.30228534903050042</v>
      </c>
      <c r="L10" s="2">
        <v>0.35049996724465537</v>
      </c>
      <c r="M10" s="2">
        <v>1.206125576968883</v>
      </c>
      <c r="O10" s="6"/>
      <c r="P10" s="6"/>
      <c r="Q10" s="6"/>
    </row>
    <row r="11" spans="1:17" ht="15" x14ac:dyDescent="0.2">
      <c r="B11" s="67" t="s">
        <v>93</v>
      </c>
      <c r="C11" s="2">
        <v>0.28454745916059238</v>
      </c>
      <c r="D11" s="2">
        <v>0.65293477943910205</v>
      </c>
      <c r="E11" s="2">
        <v>0.39859666760921042</v>
      </c>
      <c r="F11" s="2">
        <v>0.30276605477191071</v>
      </c>
      <c r="G11" s="2">
        <v>0.39929018254818999</v>
      </c>
      <c r="H11" s="2">
        <v>0.37795028110907741</v>
      </c>
      <c r="I11" s="2">
        <v>0.33651610187709668</v>
      </c>
      <c r="J11" s="2">
        <v>0.33024129928057139</v>
      </c>
      <c r="K11" s="2">
        <v>0.31769555623195878</v>
      </c>
      <c r="L11" s="2">
        <v>0.36722793833506701</v>
      </c>
      <c r="M11" s="2">
        <v>2.206080216005545</v>
      </c>
      <c r="O11" s="6"/>
      <c r="P11" s="6"/>
      <c r="Q11" s="6"/>
    </row>
    <row r="12" spans="1:17" ht="15" x14ac:dyDescent="0.2">
      <c r="B12" s="67" t="s">
        <v>94</v>
      </c>
      <c r="C12" s="2">
        <v>-2.3687423687423659E-2</v>
      </c>
      <c r="D12" s="2">
        <v>-1.8747082449316329E-2</v>
      </c>
      <c r="E12" s="2">
        <v>-0.34088718912561888</v>
      </c>
      <c r="F12" s="2">
        <v>-6.8230632326724161E-2</v>
      </c>
      <c r="G12" s="2">
        <v>-0.14433150906021139</v>
      </c>
      <c r="H12" s="2">
        <v>-0.34063645595441722</v>
      </c>
      <c r="I12" s="2">
        <v>-0.29936779270112601</v>
      </c>
      <c r="J12" s="2">
        <v>-0.19285981129596311</v>
      </c>
      <c r="K12" s="2">
        <v>-0.27642796025634297</v>
      </c>
      <c r="L12" s="2">
        <v>-0.33182383656237407</v>
      </c>
      <c r="M12" s="2">
        <v>-0.39764297560602452</v>
      </c>
      <c r="O12" s="6"/>
      <c r="P12" s="6"/>
      <c r="Q12" s="6"/>
    </row>
    <row r="13" spans="1:17" ht="15" x14ac:dyDescent="0.2">
      <c r="B13" s="8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O13" s="6"/>
      <c r="P13" s="6"/>
      <c r="Q13" s="6"/>
    </row>
    <row r="14" spans="1:17" ht="15" x14ac:dyDescent="0.2">
      <c r="B14" s="8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A17" s="63" t="s">
        <v>99</v>
      </c>
      <c r="B17" t="s">
        <v>102</v>
      </c>
      <c r="O17" s="6"/>
      <c r="P17" s="6"/>
      <c r="Q17" s="6"/>
    </row>
    <row r="18" spans="1:17" x14ac:dyDescent="0.2">
      <c r="B18" t="s">
        <v>136</v>
      </c>
      <c r="H18" s="64" t="s">
        <v>103</v>
      </c>
      <c r="O18" s="6"/>
      <c r="P18" s="6"/>
      <c r="Q18" s="6"/>
    </row>
    <row r="19" spans="1:17" x14ac:dyDescent="0.2">
      <c r="B19" t="s">
        <v>137</v>
      </c>
      <c r="H19" s="64"/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A22" s="63" t="s">
        <v>101</v>
      </c>
      <c r="B22" s="164" t="s">
        <v>105</v>
      </c>
      <c r="C22" s="164"/>
      <c r="D22" s="164"/>
      <c r="E22" s="164"/>
      <c r="F22" s="62" t="e">
        <f>#REF!+#REF!*'2. Past Proj &amp; Candidate Model'!#REF!</f>
        <v>#REF!</v>
      </c>
      <c r="G22" s="65" t="s">
        <v>106</v>
      </c>
      <c r="H22" s="2" t="e">
        <f>'2. Past Proj &amp; Candidate Model'!#REF!/'3. Improved Alpha Model'!F22-1</f>
        <v>#REF!</v>
      </c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B26" s="165" t="s">
        <v>156</v>
      </c>
      <c r="C26" s="165"/>
      <c r="D26" s="165"/>
      <c r="E26" s="3" t="e">
        <f>#REF!</f>
        <v>#REF!</v>
      </c>
      <c r="F26" t="s">
        <v>107</v>
      </c>
      <c r="G26" s="165" t="s">
        <v>108</v>
      </c>
      <c r="H26" s="165"/>
      <c r="I26" s="3" t="e">
        <f>#REF!</f>
        <v>#REF!</v>
      </c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A29" s="63" t="s">
        <v>104</v>
      </c>
      <c r="B29" t="s">
        <v>110</v>
      </c>
      <c r="O29" s="6"/>
      <c r="P29" s="6"/>
      <c r="Q29" s="6"/>
    </row>
    <row r="30" spans="1:17" x14ac:dyDescent="0.2">
      <c r="B30" t="s">
        <v>111</v>
      </c>
      <c r="O30" s="6"/>
      <c r="P30" s="6"/>
      <c r="Q30" s="6"/>
    </row>
    <row r="31" spans="1:17" x14ac:dyDescent="0.2">
      <c r="B31" t="s">
        <v>112</v>
      </c>
      <c r="O31" s="6"/>
      <c r="P31" s="6"/>
      <c r="Q31" s="6"/>
    </row>
    <row r="32" spans="1:17" x14ac:dyDescent="0.2">
      <c r="B32" t="s">
        <v>113</v>
      </c>
      <c r="O32" s="6"/>
      <c r="P32" s="6"/>
      <c r="Q32" s="6"/>
    </row>
    <row r="33" spans="2:17" x14ac:dyDescent="0.2">
      <c r="B33" t="s">
        <v>114</v>
      </c>
      <c r="O33" s="6"/>
      <c r="P33" s="6"/>
      <c r="Q33" s="6"/>
    </row>
    <row r="34" spans="2:17" x14ac:dyDescent="0.2">
      <c r="B34" t="s">
        <v>115</v>
      </c>
      <c r="O34" s="6"/>
      <c r="P34" s="6"/>
      <c r="Q34" s="6"/>
    </row>
    <row r="35" spans="2:17" x14ac:dyDescent="0.2">
      <c r="B35" t="s">
        <v>116</v>
      </c>
      <c r="O35" s="6"/>
      <c r="P35" s="6"/>
      <c r="Q35" s="6"/>
    </row>
    <row r="36" spans="2:17" x14ac:dyDescent="0.2">
      <c r="B36" t="s">
        <v>117</v>
      </c>
      <c r="O36" s="6"/>
      <c r="P36" s="6"/>
      <c r="Q36" s="6"/>
    </row>
    <row r="37" spans="2:17" x14ac:dyDescent="0.2">
      <c r="B37" t="s">
        <v>118</v>
      </c>
      <c r="O37" s="6"/>
      <c r="P37" s="6"/>
      <c r="Q37" s="6"/>
    </row>
    <row r="38" spans="2:17" x14ac:dyDescent="0.2">
      <c r="B38" t="s">
        <v>119</v>
      </c>
      <c r="O38" s="6"/>
      <c r="P38" s="6"/>
      <c r="Q38" s="6"/>
    </row>
    <row r="39" spans="2:17" x14ac:dyDescent="0.2">
      <c r="O39" s="6"/>
      <c r="P39" s="6"/>
      <c r="Q39" s="6"/>
    </row>
    <row r="40" spans="2:17" x14ac:dyDescent="0.2">
      <c r="O40" s="6"/>
      <c r="P40" s="6"/>
      <c r="Q40" s="6"/>
    </row>
    <row r="41" spans="2:17" x14ac:dyDescent="0.2">
      <c r="O41" s="6"/>
      <c r="P41" s="6"/>
    </row>
    <row r="42" spans="2:17" x14ac:dyDescent="0.2">
      <c r="O42" s="6"/>
      <c r="P42" s="6"/>
    </row>
  </sheetData>
  <mergeCells count="5">
    <mergeCell ref="D7:N7"/>
    <mergeCell ref="B7:C7"/>
    <mergeCell ref="B22:E22"/>
    <mergeCell ref="B26:D26"/>
    <mergeCell ref="G26:H26"/>
  </mergeCells>
  <conditionalFormatting sqref="C10:K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63BE7B"/>
        <color rgb="FFFFEF9C"/>
      </colorScale>
    </cfRule>
  </conditionalFormatting>
  <conditionalFormatting sqref="C11:K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4"/>
  <sheetViews>
    <sheetView tabSelected="1" zoomScale="85" zoomScaleNormal="85" workbookViewId="0">
      <selection activeCell="C41" sqref="C41"/>
    </sheetView>
  </sheetViews>
  <sheetFormatPr defaultRowHeight="12.75" x14ac:dyDescent="0.2"/>
  <cols>
    <col min="1" max="1" width="9.140625" style="63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3" t="s">
        <v>121</v>
      </c>
      <c r="B1" t="s">
        <v>80</v>
      </c>
    </row>
    <row r="2" spans="1:25" x14ac:dyDescent="0.2">
      <c r="A2" s="63" t="s">
        <v>95</v>
      </c>
      <c r="B2" s="71" t="s">
        <v>157</v>
      </c>
      <c r="C2" s="72" t="str">
        <f>D5</f>
        <v>PROJ</v>
      </c>
      <c r="D2" t="s">
        <v>158</v>
      </c>
    </row>
    <row r="4" spans="1:25" x14ac:dyDescent="0.2">
      <c r="A4" s="63" t="s">
        <v>96</v>
      </c>
      <c r="B4" t="s">
        <v>120</v>
      </c>
    </row>
    <row r="5" spans="1:25" ht="15" x14ac:dyDescent="0.2">
      <c r="A5" s="63" t="s">
        <v>92</v>
      </c>
      <c r="C5" s="67" t="s">
        <v>81</v>
      </c>
      <c r="D5" s="67" t="s">
        <v>82</v>
      </c>
      <c r="E5" s="67" t="s">
        <v>83</v>
      </c>
      <c r="F5" s="67" t="s">
        <v>84</v>
      </c>
      <c r="G5" s="67" t="s">
        <v>85</v>
      </c>
      <c r="H5" s="67" t="s">
        <v>86</v>
      </c>
      <c r="I5" s="67" t="s">
        <v>87</v>
      </c>
      <c r="J5" s="67" t="s">
        <v>88</v>
      </c>
      <c r="K5" s="67" t="s">
        <v>89</v>
      </c>
      <c r="L5" s="67" t="s">
        <v>90</v>
      </c>
      <c r="M5" s="67" t="s">
        <v>91</v>
      </c>
    </row>
    <row r="6" spans="1:25" ht="15" x14ac:dyDescent="0.2">
      <c r="B6" s="67" t="s">
        <v>92</v>
      </c>
      <c r="C6" s="2">
        <v>0.14889245195389689</v>
      </c>
      <c r="D6" s="2">
        <v>0.34623619102847758</v>
      </c>
      <c r="E6" s="2">
        <v>0.36264229236760331</v>
      </c>
      <c r="F6" s="2">
        <v>0.19152148778227401</v>
      </c>
      <c r="G6" s="2">
        <v>0.24466592187645109</v>
      </c>
      <c r="H6" s="2">
        <v>0.35093948477288123</v>
      </c>
      <c r="I6" s="2">
        <v>0.32625812764123469</v>
      </c>
      <c r="J6" s="2">
        <v>0.25387148877502269</v>
      </c>
      <c r="K6" s="2">
        <v>0.26449629683173642</v>
      </c>
      <c r="L6" s="2">
        <v>0.3361485813645792</v>
      </c>
      <c r="M6" s="2">
        <v>1.0749232110677489</v>
      </c>
    </row>
    <row r="7" spans="1:25" ht="15" x14ac:dyDescent="0.2">
      <c r="B7" s="67" t="s">
        <v>93</v>
      </c>
      <c r="C7" s="2">
        <v>0.26343975703008571</v>
      </c>
      <c r="D7" s="2">
        <v>0.60455800201039556</v>
      </c>
      <c r="E7" s="2">
        <v>0.38071124404922302</v>
      </c>
      <c r="F7" s="2">
        <v>0.28032167966697369</v>
      </c>
      <c r="G7" s="2">
        <v>0.36989810708476101</v>
      </c>
      <c r="H7" s="2">
        <v>0.36265461782694181</v>
      </c>
      <c r="I7" s="2">
        <v>0.3303182746960141</v>
      </c>
      <c r="J7" s="2">
        <v>0.30649134855638999</v>
      </c>
      <c r="K7" s="2">
        <v>0.29447502103757589</v>
      </c>
      <c r="L7" s="2">
        <v>0.35287761675085871</v>
      </c>
      <c r="M7" s="2">
        <v>2.045326239936136</v>
      </c>
    </row>
    <row r="8" spans="1:25" ht="15" x14ac:dyDescent="0.2">
      <c r="B8" s="67" t="s">
        <v>94</v>
      </c>
      <c r="C8" s="2">
        <v>-7.692307692307665E-3</v>
      </c>
      <c r="D8" s="2">
        <v>-8.1577380952380096E-4</v>
      </c>
      <c r="E8" s="2">
        <v>-0.33113074469139547</v>
      </c>
      <c r="F8" s="2">
        <v>-6.1022997620935882E-2</v>
      </c>
      <c r="G8" s="2">
        <v>-0.1156796300116765</v>
      </c>
      <c r="H8" s="2">
        <v>-0.32603479521580969</v>
      </c>
      <c r="I8" s="2">
        <v>-0.29538461538461541</v>
      </c>
      <c r="J8" s="2">
        <v>-0.18522845118269299</v>
      </c>
      <c r="K8" s="2">
        <v>-0.24950495049504939</v>
      </c>
      <c r="L8" s="2">
        <v>-0.30692569063187369</v>
      </c>
      <c r="M8" s="2">
        <v>-0.3785925202774888</v>
      </c>
    </row>
    <row r="10" spans="1:25" ht="15" x14ac:dyDescent="0.2">
      <c r="A10" s="63" t="s">
        <v>97</v>
      </c>
      <c r="B10" s="68" t="s">
        <v>159</v>
      </c>
    </row>
    <row r="12" spans="1:25" x14ac:dyDescent="0.2">
      <c r="A12" s="63" t="s">
        <v>98</v>
      </c>
      <c r="B12" t="s">
        <v>135</v>
      </c>
    </row>
    <row r="13" spans="1:25" ht="15" x14ac:dyDescent="0.2">
      <c r="B13" s="67" t="s">
        <v>122</v>
      </c>
      <c r="C13" s="67" t="s">
        <v>123</v>
      </c>
      <c r="D13" s="67" t="s">
        <v>81</v>
      </c>
      <c r="E13" s="67" t="s">
        <v>82</v>
      </c>
      <c r="F13" s="67" t="s">
        <v>83</v>
      </c>
      <c r="G13" s="67" t="s">
        <v>84</v>
      </c>
      <c r="H13" s="67" t="s">
        <v>85</v>
      </c>
      <c r="I13" s="67" t="s">
        <v>86</v>
      </c>
      <c r="J13" s="67" t="s">
        <v>87</v>
      </c>
      <c r="K13" s="67" t="s">
        <v>88</v>
      </c>
      <c r="L13" s="67" t="s">
        <v>89</v>
      </c>
      <c r="M13" s="67" t="s">
        <v>90</v>
      </c>
      <c r="N13" s="67" t="s">
        <v>91</v>
      </c>
      <c r="O13" s="67" t="s">
        <v>124</v>
      </c>
      <c r="P13" s="67" t="s">
        <v>125</v>
      </c>
      <c r="Q13" s="67" t="s">
        <v>126</v>
      </c>
      <c r="R13" s="67" t="s">
        <v>127</v>
      </c>
      <c r="S13" s="67" t="s">
        <v>128</v>
      </c>
      <c r="T13" s="67" t="s">
        <v>129</v>
      </c>
      <c r="U13" s="67" t="s">
        <v>130</v>
      </c>
      <c r="V13" s="67" t="s">
        <v>131</v>
      </c>
      <c r="W13" s="67" t="s">
        <v>132</v>
      </c>
      <c r="X13" s="67" t="s">
        <v>133</v>
      </c>
      <c r="Y13" s="67" t="s">
        <v>134</v>
      </c>
    </row>
    <row r="14" spans="1:25" x14ac:dyDescent="0.2">
      <c r="B14" t="s">
        <v>42</v>
      </c>
      <c r="C14">
        <v>7.2</v>
      </c>
      <c r="D14">
        <v>6.4</v>
      </c>
      <c r="E14">
        <v>8.6083525000000005</v>
      </c>
      <c r="O14" s="2">
        <f>D14/C14-1</f>
        <v>-0.11111111111111105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43</v>
      </c>
      <c r="C15">
        <v>8</v>
      </c>
      <c r="D15">
        <v>7.6</v>
      </c>
      <c r="E15">
        <v>11.855845</v>
      </c>
      <c r="O15" s="2">
        <f t="shared" ref="O15:O18" si="0">D15/C15-1</f>
        <v>-5.0000000000000044E-2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44</v>
      </c>
      <c r="C16">
        <v>7.9</v>
      </c>
      <c r="D16">
        <v>7.9</v>
      </c>
      <c r="E16">
        <v>7.5804390000000001</v>
      </c>
      <c r="O16" s="2">
        <f t="shared" si="0"/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B17" t="s">
        <v>45</v>
      </c>
      <c r="C17">
        <v>6.3</v>
      </c>
      <c r="D17">
        <v>8.1999999999999993</v>
      </c>
      <c r="E17">
        <v>7.2351623329999999</v>
      </c>
      <c r="O17" s="2">
        <f t="shared" si="0"/>
        <v>0.3015873015873014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B18" t="s">
        <v>46</v>
      </c>
      <c r="C18">
        <v>8.5</v>
      </c>
      <c r="D18">
        <v>8.6</v>
      </c>
      <c r="E18">
        <v>6.7478407499999999</v>
      </c>
      <c r="O18" s="2">
        <f t="shared" si="0"/>
        <v>1.1764705882352899E-2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B19" t="s">
        <v>47</v>
      </c>
      <c r="C19">
        <v>10.1</v>
      </c>
      <c r="D19">
        <v>9.3000000000000007</v>
      </c>
      <c r="E19">
        <v>9.7295482500000006</v>
      </c>
      <c r="F19">
        <v>7.6654800516306967</v>
      </c>
      <c r="G19">
        <v>7.9733524355300904</v>
      </c>
      <c r="H19">
        <v>8.3528677801016613</v>
      </c>
      <c r="I19">
        <v>7.633538075987536</v>
      </c>
      <c r="J19">
        <v>7.580000000000001</v>
      </c>
      <c r="K19">
        <v>7.7452339991074384</v>
      </c>
      <c r="L19">
        <v>7.580000000000001</v>
      </c>
      <c r="M19">
        <v>7.0175369768079996</v>
      </c>
      <c r="N19">
        <v>8.5454085125556958</v>
      </c>
      <c r="O19" s="2">
        <v>-7.9207920792079056E-2</v>
      </c>
      <c r="P19" s="2">
        <v>-3.6678391089108857E-2</v>
      </c>
      <c r="Q19" s="2">
        <v>-0.24104157904646559</v>
      </c>
      <c r="R19" s="2">
        <v>-0.21055916479900089</v>
      </c>
      <c r="S19" s="2">
        <v>-0.17298338810874639</v>
      </c>
      <c r="T19" s="2">
        <v>-0.2442041508923232</v>
      </c>
      <c r="U19" s="2">
        <v>-0.24950495049504939</v>
      </c>
      <c r="V19" s="2">
        <v>-0.23314514860322391</v>
      </c>
      <c r="W19" s="2">
        <v>-0.24950495049504939</v>
      </c>
      <c r="X19" s="2">
        <v>-0.30519435873188122</v>
      </c>
      <c r="Y19" s="2">
        <v>-0.1539199492519113</v>
      </c>
    </row>
    <row r="20" spans="1:25" x14ac:dyDescent="0.2">
      <c r="B20" t="s">
        <v>48</v>
      </c>
      <c r="C20">
        <v>5.7</v>
      </c>
      <c r="D20">
        <v>9.4</v>
      </c>
      <c r="E20">
        <v>14.301226249999999</v>
      </c>
      <c r="F20">
        <v>9.2037233905347797</v>
      </c>
      <c r="G20">
        <v>9.1560165975103835</v>
      </c>
      <c r="H20">
        <v>10.76022920308044</v>
      </c>
      <c r="I20">
        <v>8.7772244441857055</v>
      </c>
      <c r="J20">
        <v>8.0000000000000018</v>
      </c>
      <c r="K20">
        <v>9.263194968747019</v>
      </c>
      <c r="L20">
        <v>8.0000000000000018</v>
      </c>
      <c r="M20">
        <v>6.8541580697883866</v>
      </c>
      <c r="N20">
        <v>-24.643583180922519</v>
      </c>
      <c r="O20" s="2">
        <v>0.64912280701754388</v>
      </c>
      <c r="P20" s="2">
        <v>1.5089870614035079</v>
      </c>
      <c r="Q20" s="2">
        <v>0.61468831412890856</v>
      </c>
      <c r="R20" s="2">
        <v>0.60631870131761101</v>
      </c>
      <c r="S20" s="2">
        <v>0.88775950931235825</v>
      </c>
      <c r="T20" s="2">
        <v>0.53986393757643958</v>
      </c>
      <c r="U20" s="2">
        <v>0.40350877192982493</v>
      </c>
      <c r="V20" s="2">
        <v>0.6251219243415822</v>
      </c>
      <c r="W20" s="2">
        <v>0.40350877192982493</v>
      </c>
      <c r="X20" s="2">
        <v>0.20248387189269931</v>
      </c>
      <c r="Y20" s="2">
        <v>-5.3234356457758807</v>
      </c>
    </row>
    <row r="21" spans="1:25" x14ac:dyDescent="0.2">
      <c r="B21" t="s">
        <v>49</v>
      </c>
      <c r="C21">
        <v>12.3</v>
      </c>
      <c r="D21">
        <v>9.4</v>
      </c>
      <c r="E21">
        <v>7.4632139999999998</v>
      </c>
      <c r="F21">
        <v>7.9870833072139398</v>
      </c>
      <c r="G21">
        <v>7.8966593406593422</v>
      </c>
      <c r="H21">
        <v>8.5176704522330837</v>
      </c>
      <c r="I21">
        <v>7.9305711646757979</v>
      </c>
      <c r="J21">
        <v>7.6714285714285726</v>
      </c>
      <c r="K21">
        <v>8.1036492375531441</v>
      </c>
      <c r="L21">
        <v>7.6714285714285726</v>
      </c>
      <c r="M21">
        <v>7.7857528879923823</v>
      </c>
      <c r="N21">
        <v>7.6433120005868886</v>
      </c>
      <c r="O21" s="2">
        <v>-0.2357723577235773</v>
      </c>
      <c r="P21" s="2">
        <v>-0.39323463414634152</v>
      </c>
      <c r="Q21" s="2">
        <v>-0.35064363355984229</v>
      </c>
      <c r="R21" s="2">
        <v>-0.35799517555615112</v>
      </c>
      <c r="S21" s="2">
        <v>-0.30750646729812342</v>
      </c>
      <c r="T21" s="2">
        <v>-0.35523811669302457</v>
      </c>
      <c r="U21" s="2">
        <v>-0.37630662020905908</v>
      </c>
      <c r="V21" s="2">
        <v>-0.34116672865421588</v>
      </c>
      <c r="W21" s="2">
        <v>-0.37630662020905908</v>
      </c>
      <c r="X21" s="2">
        <v>-0.36701196032582262</v>
      </c>
      <c r="Y21" s="2">
        <v>-0.3785925202774888</v>
      </c>
    </row>
    <row r="22" spans="1:25" x14ac:dyDescent="0.2">
      <c r="B22" t="s">
        <v>50</v>
      </c>
      <c r="C22">
        <v>13</v>
      </c>
      <c r="D22">
        <v>13.4</v>
      </c>
      <c r="E22">
        <v>8.75512975</v>
      </c>
      <c r="F22">
        <v>8.3854218928859598</v>
      </c>
      <c r="G22">
        <v>12.20670103092783</v>
      </c>
      <c r="H22">
        <v>13.26903112867439</v>
      </c>
      <c r="I22">
        <v>8.3625728440728473</v>
      </c>
      <c r="J22">
        <v>8.25</v>
      </c>
      <c r="K22">
        <v>10.393614771679969</v>
      </c>
      <c r="L22">
        <v>8.25</v>
      </c>
      <c r="M22">
        <v>9.0099660217856421</v>
      </c>
      <c r="N22">
        <v>8.9155595630767479</v>
      </c>
      <c r="O22" s="2">
        <v>3.0769230769230878E-2</v>
      </c>
      <c r="P22" s="2">
        <v>-0.3265284807692308</v>
      </c>
      <c r="Q22" s="2">
        <v>-0.35496754670107999</v>
      </c>
      <c r="R22" s="2">
        <v>-6.1022997620935882E-2</v>
      </c>
      <c r="S22" s="2">
        <v>2.069470220572223E-2</v>
      </c>
      <c r="T22" s="2">
        <v>-0.35672516584055031</v>
      </c>
      <c r="U22" s="2">
        <v>-0.36538461538461542</v>
      </c>
      <c r="V22" s="2">
        <v>-0.2004911714092332</v>
      </c>
      <c r="W22" s="2">
        <v>-0.36538461538461542</v>
      </c>
      <c r="X22" s="2">
        <v>-0.30692569063187369</v>
      </c>
      <c r="Y22" s="2">
        <v>-0.31418772591717331</v>
      </c>
    </row>
    <row r="23" spans="1:25" x14ac:dyDescent="0.2">
      <c r="B23" t="s">
        <v>51</v>
      </c>
      <c r="C23">
        <v>12.6</v>
      </c>
      <c r="D23">
        <v>12.1</v>
      </c>
      <c r="E23">
        <v>12.58972125</v>
      </c>
      <c r="F23">
        <v>7.5800017565476274</v>
      </c>
      <c r="G23">
        <v>11.649477835390339</v>
      </c>
      <c r="H23">
        <v>10.410881881159529</v>
      </c>
      <c r="I23">
        <v>7.7815237500749141</v>
      </c>
      <c r="J23">
        <v>8.7777777777777786</v>
      </c>
      <c r="K23">
        <v>10.266121515098069</v>
      </c>
      <c r="L23">
        <v>8.7777777777777786</v>
      </c>
      <c r="M23">
        <v>8.1053030205897798</v>
      </c>
      <c r="N23">
        <v>7.3496627702245414</v>
      </c>
      <c r="O23" s="2">
        <v>-3.9682539682539653E-2</v>
      </c>
      <c r="P23" s="2">
        <v>-8.1577380952380096E-4</v>
      </c>
      <c r="Q23" s="2">
        <v>-0.39841255900415662</v>
      </c>
      <c r="R23" s="2">
        <v>-7.543826703251244E-2</v>
      </c>
      <c r="S23" s="2">
        <v>-0.17373953324130739</v>
      </c>
      <c r="T23" s="2">
        <v>-0.38241874999405451</v>
      </c>
      <c r="U23" s="2">
        <v>-0.30335097001763661</v>
      </c>
      <c r="V23" s="2">
        <v>-0.18522845118269299</v>
      </c>
      <c r="W23" s="2">
        <v>-0.30335097001763661</v>
      </c>
      <c r="X23" s="2">
        <v>-0.35672198249287462</v>
      </c>
      <c r="Y23" s="2">
        <v>-0.41669343093456018</v>
      </c>
    </row>
    <row r="24" spans="1:25" x14ac:dyDescent="0.2">
      <c r="B24" t="s">
        <v>52</v>
      </c>
      <c r="C24">
        <v>13</v>
      </c>
      <c r="D24">
        <v>12.9</v>
      </c>
      <c r="E24">
        <v>14.7586415</v>
      </c>
      <c r="F24">
        <v>8.6953003190118583</v>
      </c>
      <c r="G24">
        <v>12.717900002526459</v>
      </c>
      <c r="H24">
        <v>11.49616480984821</v>
      </c>
      <c r="I24">
        <v>8.7615476621944737</v>
      </c>
      <c r="J24">
        <v>9.16</v>
      </c>
      <c r="K24">
        <v>11.24039401914602</v>
      </c>
      <c r="L24">
        <v>11.496469840091381</v>
      </c>
      <c r="M24">
        <v>5.6593947878938451</v>
      </c>
      <c r="N24">
        <v>4.5509855344682677</v>
      </c>
      <c r="O24" s="2">
        <v>-7.692307692307665E-3</v>
      </c>
      <c r="P24" s="2">
        <v>0.13528011538461529</v>
      </c>
      <c r="Q24" s="2">
        <v>-0.33113074469139547</v>
      </c>
      <c r="R24" s="2">
        <v>-2.169999980565673E-2</v>
      </c>
      <c r="S24" s="2">
        <v>-0.1156796300116765</v>
      </c>
      <c r="T24" s="2">
        <v>-0.32603479521580969</v>
      </c>
      <c r="U24" s="2">
        <v>-0.29538461538461541</v>
      </c>
      <c r="V24" s="2">
        <v>-0.13535430621953701</v>
      </c>
      <c r="W24" s="2">
        <v>-0.11565616614681661</v>
      </c>
      <c r="X24" s="2">
        <v>-0.5646619393927812</v>
      </c>
      <c r="Y24" s="2">
        <v>-0.64992418965628707</v>
      </c>
    </row>
    <row r="25" spans="1:25" x14ac:dyDescent="0.2">
      <c r="B25" t="s">
        <v>68</v>
      </c>
      <c r="C25">
        <v>13.4</v>
      </c>
      <c r="D25">
        <v>13.4</v>
      </c>
      <c r="E25">
        <v>13.696527</v>
      </c>
      <c r="F25">
        <v>10.08200362948558</v>
      </c>
      <c r="G25">
        <v>13.29794414818973</v>
      </c>
      <c r="H25">
        <v>12.94040381237321</v>
      </c>
      <c r="I25">
        <v>10.02197420554725</v>
      </c>
      <c r="J25">
        <v>9.5090909090909079</v>
      </c>
      <c r="K25">
        <v>12.64165794040338</v>
      </c>
      <c r="L25">
        <v>12.893989419235361</v>
      </c>
      <c r="M25">
        <v>10.04946043447277</v>
      </c>
      <c r="N25">
        <v>9.5446991901433336</v>
      </c>
      <c r="O25" s="2">
        <v>0</v>
      </c>
      <c r="P25" s="2">
        <v>2.2128880597014788E-2</v>
      </c>
      <c r="Q25" s="2">
        <v>-0.2476116694413748</v>
      </c>
      <c r="R25" s="2">
        <v>-7.616108344050132E-3</v>
      </c>
      <c r="S25" s="2">
        <v>-3.4298222957223512E-2</v>
      </c>
      <c r="T25" s="2">
        <v>-0.25209147719796648</v>
      </c>
      <c r="U25" s="2">
        <v>-0.29036635006784273</v>
      </c>
      <c r="V25" s="2">
        <v>-5.6592691014673353E-2</v>
      </c>
      <c r="W25" s="2">
        <v>-3.7761983639152508E-2</v>
      </c>
      <c r="X25" s="2">
        <v>-0.25004026608412178</v>
      </c>
      <c r="Y25" s="2">
        <v>-0.28770901566094531</v>
      </c>
    </row>
    <row r="26" spans="1:25" x14ac:dyDescent="0.2">
      <c r="A26" s="88" t="s">
        <v>145</v>
      </c>
      <c r="B26" s="88"/>
      <c r="C26" s="88"/>
      <c r="D26" s="96">
        <f>$D$25/(1+O26)</f>
        <v>12.851164378608628</v>
      </c>
      <c r="K26" s="88" t="s">
        <v>138</v>
      </c>
      <c r="L26" s="88"/>
      <c r="M26" s="88"/>
      <c r="N26" s="88"/>
      <c r="O26" s="1">
        <f>AVERAGE(O14:O24)</f>
        <v>4.270707347771039E-2</v>
      </c>
    </row>
    <row r="27" spans="1:25" x14ac:dyDescent="0.2">
      <c r="A27" s="89" t="s">
        <v>146</v>
      </c>
      <c r="B27" s="89"/>
      <c r="C27" s="89"/>
      <c r="D27" s="96">
        <f>$D$25/(1+O27)</f>
        <v>13.503875968992247</v>
      </c>
      <c r="K27" s="89" t="s">
        <v>140</v>
      </c>
      <c r="L27" s="89"/>
      <c r="M27" s="89"/>
      <c r="N27" s="89"/>
      <c r="O27" s="1">
        <f>MEDIAN(O14:O24)</f>
        <v>-7.692307692307665E-3</v>
      </c>
    </row>
    <row r="28" spans="1:25" x14ac:dyDescent="0.2">
      <c r="A28" s="90" t="s">
        <v>147</v>
      </c>
      <c r="B28" s="90"/>
      <c r="C28" s="90"/>
      <c r="D28" s="96">
        <f>$D$25/(1+O28)</f>
        <v>14.680818831651145</v>
      </c>
      <c r="K28" s="90" t="s">
        <v>139</v>
      </c>
      <c r="L28" s="90"/>
      <c r="M28" s="90"/>
      <c r="N28" s="90"/>
      <c r="O28" s="1">
        <f>AVERAGE(O23:O24,O21,O19,O14:O15)</f>
        <v>-8.7244372833602465E-2</v>
      </c>
    </row>
    <row r="29" spans="1:25" x14ac:dyDescent="0.2">
      <c r="A29" s="91" t="s">
        <v>148</v>
      </c>
      <c r="B29" s="91"/>
      <c r="C29" s="91"/>
      <c r="D29" s="96">
        <f>$D$25/(1+O29)</f>
        <v>14.325482931992591</v>
      </c>
      <c r="K29" s="91" t="s">
        <v>141</v>
      </c>
      <c r="L29" s="91"/>
      <c r="M29" s="91"/>
      <c r="N29" s="91"/>
      <c r="O29" s="1">
        <f>MEDIAN(O23:O24,O21,O19,O14:O15)</f>
        <v>-6.460396039603955E-2</v>
      </c>
    </row>
    <row r="30" spans="1:25" x14ac:dyDescent="0.2">
      <c r="A30" s="92" t="s">
        <v>149</v>
      </c>
      <c r="B30" s="92"/>
      <c r="C30" s="92"/>
      <c r="D30" s="96">
        <f>$D$25/(1+O30)</f>
        <v>12.021095270209322</v>
      </c>
      <c r="K30" s="92" t="s">
        <v>142</v>
      </c>
      <c r="L30" s="92"/>
      <c r="M30" s="92"/>
      <c r="N30" s="92"/>
      <c r="O30" s="1">
        <f>AVERAGE(O22,O17:O18)</f>
        <v>0.11470707941296172</v>
      </c>
    </row>
    <row r="31" spans="1:25" x14ac:dyDescent="0.2">
      <c r="A31" s="93" t="s">
        <v>150</v>
      </c>
      <c r="B31" s="93"/>
      <c r="C31" s="93"/>
      <c r="D31">
        <f>$D$25/(1+O31)</f>
        <v>12.999999999999998</v>
      </c>
      <c r="F31" s="96"/>
      <c r="K31" s="93" t="s">
        <v>143</v>
      </c>
      <c r="L31" s="93"/>
      <c r="M31" s="93"/>
      <c r="N31" s="93"/>
      <c r="O31" s="1">
        <f>MEDIAN(O22,O17:O18)</f>
        <v>3.0769230769230878E-2</v>
      </c>
    </row>
    <row r="34" spans="1:4" x14ac:dyDescent="0.2">
      <c r="A34" s="63" t="s">
        <v>99</v>
      </c>
      <c r="B34" t="s">
        <v>151</v>
      </c>
    </row>
    <row r="35" spans="1:4" x14ac:dyDescent="0.2">
      <c r="B35" t="s">
        <v>152</v>
      </c>
    </row>
    <row r="41" spans="1:4" x14ac:dyDescent="0.2">
      <c r="A41" s="63" t="s">
        <v>101</v>
      </c>
      <c r="B41" s="73" t="s">
        <v>153</v>
      </c>
      <c r="C41" s="74">
        <f>D31</f>
        <v>12.999999999999998</v>
      </c>
      <c r="D41" t="s">
        <v>164</v>
      </c>
    </row>
    <row r="43" spans="1:4" x14ac:dyDescent="0.2">
      <c r="B43" s="166" t="s">
        <v>161</v>
      </c>
      <c r="C43" s="166"/>
      <c r="D43" s="2" t="e">
        <f>C41/#REF!-1</f>
        <v>#REF!</v>
      </c>
    </row>
    <row r="44" spans="1:4" x14ac:dyDescent="0.2">
      <c r="B44" s="154" t="s">
        <v>160</v>
      </c>
      <c r="C44" s="154"/>
      <c r="D44" s="2">
        <f>'1. Data &amp; Confidence Interval'!L25</f>
        <v>-0.1307790316709137</v>
      </c>
    </row>
  </sheetData>
  <mergeCells count="2">
    <mergeCell ref="B44:C44"/>
    <mergeCell ref="B43:C43"/>
  </mergeCells>
  <conditionalFormatting sqref="O26:O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2:W25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2021-10-29T15:57:01Z</dcterms:modified>
</cp:coreProperties>
</file>