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LIVN\"/>
    </mc:Choice>
  </mc:AlternateContent>
  <xr:revisionPtr revIDLastSave="0" documentId="13_ncr:1_{44A41A25-1332-49FC-A8C4-134BAA23A3E6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4" l="1"/>
  <c r="E31" i="4"/>
  <c r="E30" i="4"/>
  <c r="E29" i="4"/>
  <c r="E28" i="4"/>
  <c r="E27" i="4"/>
  <c r="E26" i="4"/>
  <c r="P31" i="4"/>
  <c r="P30" i="4"/>
  <c r="P29" i="4"/>
  <c r="P28" i="4"/>
  <c r="P27" i="4"/>
  <c r="P26" i="4"/>
  <c r="P15" i="4"/>
  <c r="P16" i="4"/>
  <c r="P17" i="4"/>
  <c r="P18" i="4"/>
  <c r="P14" i="4"/>
  <c r="Q13" i="2"/>
  <c r="Q12" i="2"/>
  <c r="Q11" i="2"/>
  <c r="Q10" i="2"/>
  <c r="Q9" i="2"/>
  <c r="Q7" i="2"/>
  <c r="J17" i="2"/>
  <c r="P17" i="2" s="1"/>
  <c r="R17" i="2"/>
  <c r="K17" i="2"/>
  <c r="L17" i="2"/>
  <c r="M17" i="2"/>
  <c r="N17" i="2"/>
  <c r="O17" i="2"/>
  <c r="K7" i="2"/>
  <c r="L7" i="2"/>
  <c r="M7" i="2"/>
  <c r="N7" i="2"/>
  <c r="O7" i="2"/>
  <c r="P7" i="2"/>
  <c r="K8" i="2"/>
  <c r="L8" i="2"/>
  <c r="M8" i="2"/>
  <c r="N8" i="2"/>
  <c r="O8" i="2"/>
  <c r="P8" i="2"/>
  <c r="K9" i="2"/>
  <c r="L9" i="2"/>
  <c r="M9" i="2"/>
  <c r="N9" i="2"/>
  <c r="O9" i="2"/>
  <c r="P9" i="2"/>
  <c r="K10" i="2"/>
  <c r="L10" i="2"/>
  <c r="M10" i="2"/>
  <c r="N10" i="2"/>
  <c r="O10" i="2"/>
  <c r="P10" i="2"/>
  <c r="K11" i="2"/>
  <c r="L11" i="2"/>
  <c r="M11" i="2"/>
  <c r="N11" i="2"/>
  <c r="O11" i="2"/>
  <c r="P11" i="2"/>
  <c r="K12" i="2"/>
  <c r="L12" i="2"/>
  <c r="M12" i="2"/>
  <c r="N12" i="2"/>
  <c r="O12" i="2"/>
  <c r="P12" i="2"/>
  <c r="K13" i="2"/>
  <c r="L13" i="2"/>
  <c r="M13" i="2"/>
  <c r="N13" i="2"/>
  <c r="O13" i="2"/>
  <c r="P13" i="2"/>
  <c r="K14" i="2"/>
  <c r="L14" i="2"/>
  <c r="M14" i="2"/>
  <c r="N14" i="2"/>
  <c r="O14" i="2"/>
  <c r="P14" i="2"/>
  <c r="K15" i="2"/>
  <c r="L15" i="2"/>
  <c r="M15" i="2"/>
  <c r="N15" i="2"/>
  <c r="O15" i="2"/>
  <c r="P15" i="2"/>
  <c r="K16" i="2"/>
  <c r="L16" i="2"/>
  <c r="M16" i="2"/>
  <c r="N16" i="2"/>
  <c r="O16" i="2"/>
  <c r="P16" i="2"/>
  <c r="AG26" i="1"/>
  <c r="AG25" i="1"/>
  <c r="AG24" i="1"/>
  <c r="T24" i="1"/>
  <c r="Q24" i="1"/>
  <c r="V21" i="1"/>
  <c r="AG23" i="1"/>
  <c r="AG22" i="1"/>
  <c r="AG21" i="1"/>
  <c r="AG20" i="1"/>
  <c r="T25" i="1"/>
  <c r="Q25" i="1"/>
  <c r="Q17" i="2" l="1"/>
  <c r="Q16" i="2"/>
  <c r="Q14" i="2"/>
  <c r="Q15" i="2"/>
  <c r="Q8" i="2"/>
  <c r="AF17" i="1"/>
  <c r="W23" i="1"/>
  <c r="V23" i="1"/>
  <c r="AE21" i="1"/>
  <c r="AD21" i="1"/>
  <c r="AC21" i="1"/>
  <c r="AB21" i="1"/>
  <c r="AA21" i="1"/>
  <c r="Z21" i="1"/>
  <c r="Y21" i="1"/>
  <c r="X21" i="1"/>
  <c r="W21" i="1"/>
  <c r="Z20" i="1"/>
  <c r="Y20" i="1"/>
  <c r="X20" i="1"/>
  <c r="AF10" i="1"/>
  <c r="I10" i="1"/>
  <c r="F28" i="4" l="1"/>
  <c r="E32" i="2"/>
  <c r="E31" i="2"/>
  <c r="E30" i="2"/>
  <c r="E29" i="2"/>
  <c r="E28" i="2"/>
  <c r="E27" i="2"/>
  <c r="E26" i="2"/>
  <c r="E25" i="2"/>
  <c r="E24" i="2"/>
  <c r="E23" i="2"/>
  <c r="E22" i="2"/>
  <c r="A22" i="2"/>
  <c r="B22" i="2"/>
  <c r="C22" i="2"/>
  <c r="D22" i="2"/>
  <c r="F22" i="2"/>
  <c r="G22" i="2"/>
  <c r="H22" i="2"/>
  <c r="I22" i="2"/>
  <c r="J22" i="2"/>
  <c r="R22" i="2"/>
  <c r="A23" i="2"/>
  <c r="B23" i="2"/>
  <c r="C23" i="2"/>
  <c r="D23" i="2"/>
  <c r="F23" i="2"/>
  <c r="G23" i="2"/>
  <c r="H23" i="2"/>
  <c r="I23" i="2"/>
  <c r="J23" i="2"/>
  <c r="L23" i="2"/>
  <c r="R23" i="2"/>
  <c r="A24" i="2"/>
  <c r="B24" i="2"/>
  <c r="C24" i="2"/>
  <c r="D24" i="2"/>
  <c r="F24" i="2"/>
  <c r="G24" i="2"/>
  <c r="H24" i="2"/>
  <c r="I24" i="2"/>
  <c r="J24" i="2"/>
  <c r="K24" i="2"/>
  <c r="M24" i="2"/>
  <c r="N24" i="2"/>
  <c r="O24" i="2"/>
  <c r="P24" i="2"/>
  <c r="Q24" i="2"/>
  <c r="R24" i="2"/>
  <c r="R18" i="2"/>
  <c r="J18" i="2"/>
  <c r="I18" i="2"/>
  <c r="H18" i="2"/>
  <c r="G18" i="2"/>
  <c r="F18" i="2"/>
  <c r="E18" i="2"/>
  <c r="L24" i="2"/>
  <c r="K18" i="2"/>
  <c r="P18" i="2"/>
  <c r="AE20" i="1"/>
  <c r="Z17" i="1"/>
  <c r="C2" i="4"/>
  <c r="G31" i="2"/>
  <c r="G30" i="2"/>
  <c r="AF18" i="1"/>
  <c r="AG18" i="1"/>
  <c r="F17" i="1"/>
  <c r="N17" i="1"/>
  <c r="M17" i="1"/>
  <c r="L17" i="1"/>
  <c r="K17" i="1"/>
  <c r="I18" i="1"/>
  <c r="H18" i="1"/>
  <c r="F18" i="1"/>
  <c r="G36" i="2" l="1"/>
  <c r="F30" i="4" s="1"/>
  <c r="E33" i="2" a="1"/>
  <c r="E33" i="2" s="1"/>
  <c r="E34" i="2" a="1"/>
  <c r="E34" i="2" s="1"/>
  <c r="K23" i="2"/>
  <c r="O18" i="2"/>
  <c r="N18" i="2"/>
  <c r="L18" i="2"/>
  <c r="M18" i="2"/>
  <c r="P23" i="2"/>
  <c r="N23" i="2"/>
  <c r="O23" i="2"/>
  <c r="M23" i="2"/>
  <c r="AF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Q25" i="2"/>
  <c r="P25" i="2"/>
  <c r="O25" i="2"/>
  <c r="N25" i="2"/>
  <c r="M25" i="2"/>
  <c r="L25" i="2"/>
  <c r="K25" i="2"/>
  <c r="R25" i="2"/>
  <c r="AE17" i="1"/>
  <c r="AD17" i="1"/>
  <c r="AC17" i="1"/>
  <c r="AB17" i="1"/>
  <c r="AD20" i="1"/>
  <c r="AC20" i="1"/>
  <c r="AB20" i="1"/>
  <c r="AA20" i="1"/>
  <c r="W20" i="1"/>
  <c r="V20" i="1"/>
  <c r="U20" i="1"/>
  <c r="R20" i="1"/>
  <c r="Q20" i="1"/>
  <c r="AE18" i="1"/>
  <c r="AD18" i="1"/>
  <c r="O18" i="1"/>
  <c r="N18" i="1"/>
  <c r="M18" i="1"/>
  <c r="L18" i="1"/>
  <c r="K18" i="1"/>
  <c r="J18" i="1"/>
  <c r="G18" i="1"/>
  <c r="H17" i="1"/>
  <c r="G17" i="1"/>
  <c r="J25" i="2"/>
  <c r="I25" i="2"/>
  <c r="H25" i="2"/>
  <c r="G25" i="2"/>
  <c r="F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B25" i="2"/>
  <c r="C25" i="2"/>
  <c r="D25" i="2"/>
  <c r="A25" i="2"/>
  <c r="I30" i="3"/>
  <c r="E30" i="3"/>
  <c r="AA17" i="1"/>
  <c r="Y17" i="1"/>
  <c r="X17" i="1"/>
  <c r="C7" i="1" l="1"/>
  <c r="Q18" i="2"/>
  <c r="Q23" i="2"/>
  <c r="AE22" i="1"/>
  <c r="AD22" i="1"/>
  <c r="AC22" i="1"/>
  <c r="AB22" i="1"/>
  <c r="AA22" i="1"/>
  <c r="Z22" i="1"/>
  <c r="Y22" i="1"/>
  <c r="X22" i="1"/>
  <c r="W22" i="1"/>
  <c r="V22" i="1"/>
  <c r="U22" i="1"/>
  <c r="R22" i="1"/>
  <c r="Q22" i="1"/>
  <c r="Y18" i="1"/>
  <c r="X18" i="1"/>
  <c r="W18" i="1"/>
  <c r="V18" i="1"/>
  <c r="U18" i="1"/>
  <c r="T18" i="1"/>
  <c r="S18" i="1"/>
  <c r="R18" i="1"/>
  <c r="Q18" i="1"/>
  <c r="P18" i="1"/>
  <c r="I17" i="1"/>
  <c r="J17" i="1"/>
  <c r="O17" i="1"/>
  <c r="P17" i="1"/>
  <c r="Q17" i="1"/>
  <c r="R17" i="1"/>
  <c r="S17" i="1"/>
  <c r="T17" i="1"/>
  <c r="U17" i="1"/>
  <c r="V17" i="1"/>
  <c r="W17" i="1"/>
  <c r="F26" i="3"/>
  <c r="D44" i="4" l="1"/>
  <c r="B7" i="1"/>
  <c r="I2" i="1" s="1"/>
  <c r="R32" i="2"/>
  <c r="R31" i="2"/>
  <c r="R30" i="2"/>
  <c r="R29" i="2"/>
  <c r="R28" i="2"/>
  <c r="R27" i="2"/>
  <c r="R26" i="2"/>
  <c r="J2" i="1" l="1"/>
  <c r="J3" i="1"/>
  <c r="I3" i="1"/>
  <c r="H26" i="3"/>
  <c r="K2" i="1" l="1"/>
  <c r="L2" i="1" s="1"/>
  <c r="K3" i="1"/>
  <c r="L3" i="1" s="1"/>
  <c r="K26" i="2"/>
  <c r="L26" i="2"/>
  <c r="M26" i="2"/>
  <c r="N26" i="2"/>
  <c r="O26" i="2"/>
  <c r="P26" i="2"/>
  <c r="Q26" i="2"/>
  <c r="K27" i="2"/>
  <c r="L27" i="2"/>
  <c r="M27" i="2"/>
  <c r="N27" i="2"/>
  <c r="O27" i="2"/>
  <c r="P27" i="2"/>
  <c r="Q27" i="2"/>
  <c r="K28" i="2"/>
  <c r="L28" i="2"/>
  <c r="M28" i="2"/>
  <c r="N28" i="2"/>
  <c r="O28" i="2"/>
  <c r="P28" i="2"/>
  <c r="Q28" i="2"/>
  <c r="K29" i="2"/>
  <c r="L29" i="2"/>
  <c r="M29" i="2"/>
  <c r="N29" i="2"/>
  <c r="O29" i="2"/>
  <c r="P29" i="2"/>
  <c r="Q29" i="2"/>
  <c r="K30" i="2"/>
  <c r="L30" i="2"/>
  <c r="M30" i="2"/>
  <c r="N30" i="2"/>
  <c r="O30" i="2"/>
  <c r="P30" i="2"/>
  <c r="Q30" i="2"/>
  <c r="K31" i="2"/>
  <c r="L31" i="2"/>
  <c r="M31" i="2"/>
  <c r="N31" i="2"/>
  <c r="O31" i="2"/>
  <c r="P31" i="2"/>
  <c r="Q31" i="2"/>
  <c r="K32" i="2"/>
  <c r="L32" i="2"/>
  <c r="M32" i="2"/>
  <c r="N32" i="2"/>
  <c r="O32" i="2"/>
  <c r="P32" i="2"/>
  <c r="Q32" i="2"/>
  <c r="F26" i="2"/>
  <c r="G26" i="2"/>
  <c r="H26" i="2"/>
  <c r="I26" i="2"/>
  <c r="J26" i="2"/>
  <c r="F27" i="2"/>
  <c r="G27" i="2"/>
  <c r="H27" i="2"/>
  <c r="I27" i="2"/>
  <c r="J27" i="2"/>
  <c r="F28" i="2"/>
  <c r="G28" i="2"/>
  <c r="H28" i="2"/>
  <c r="I28" i="2"/>
  <c r="J28" i="2"/>
  <c r="F29" i="2"/>
  <c r="G29" i="2"/>
  <c r="H29" i="2"/>
  <c r="I29" i="2"/>
  <c r="J29" i="2"/>
  <c r="F30" i="2"/>
  <c r="H30" i="2"/>
  <c r="I30" i="2"/>
  <c r="J30" i="2"/>
  <c r="F31" i="2"/>
  <c r="H31" i="2"/>
  <c r="I31" i="2"/>
  <c r="J31" i="2"/>
  <c r="F32" i="2"/>
  <c r="G32" i="2"/>
  <c r="H32" i="2"/>
  <c r="I32" i="2"/>
  <c r="J32" i="2"/>
  <c r="G35" i="2" l="1"/>
  <c r="F29" i="4" s="1"/>
  <c r="G29" i="4" s="1"/>
  <c r="R34" i="2" a="1"/>
  <c r="R34" i="2" s="1"/>
  <c r="R33" i="2" a="1"/>
  <c r="R33" i="2" s="1"/>
  <c r="G34" i="2" a="1"/>
  <c r="G34" i="2" s="1"/>
  <c r="G33" i="2" a="1"/>
  <c r="G33" i="2" s="1"/>
  <c r="F33" i="2" a="1"/>
  <c r="F33" i="2" s="1"/>
  <c r="F34" i="2" a="1"/>
  <c r="F34" i="2" s="1"/>
  <c r="Q33" i="2" a="1"/>
  <c r="Q33" i="2" s="1"/>
  <c r="Q34" i="2" a="1"/>
  <c r="Q34" i="2" s="1"/>
  <c r="O33" i="2" a="1"/>
  <c r="O33" i="2" s="1"/>
  <c r="O34" i="2" a="1"/>
  <c r="O34" i="2" s="1"/>
  <c r="P33" i="2" a="1"/>
  <c r="P33" i="2" s="1"/>
  <c r="P34" i="2" a="1"/>
  <c r="P34" i="2" s="1"/>
  <c r="N34" i="2" a="1"/>
  <c r="N34" i="2" s="1"/>
  <c r="N33" i="2" a="1"/>
  <c r="N33" i="2" s="1"/>
  <c r="M34" i="2" a="1"/>
  <c r="M34" i="2" s="1"/>
  <c r="M33" i="2" a="1"/>
  <c r="M33" i="2" s="1"/>
  <c r="L34" i="2" a="1"/>
  <c r="L34" i="2" s="1"/>
  <c r="L33" i="2" a="1"/>
  <c r="L33" i="2" s="1"/>
  <c r="K33" i="2" a="1"/>
  <c r="K33" i="2" s="1"/>
  <c r="K34" i="2" a="1"/>
  <c r="K34" i="2" s="1"/>
  <c r="J33" i="2" a="1"/>
  <c r="J33" i="2" s="1"/>
  <c r="J34" i="2" a="1"/>
  <c r="J34" i="2" s="1"/>
  <c r="I34" i="2" a="1"/>
  <c r="I34" i="2" s="1"/>
  <c r="I33" i="2" a="1"/>
  <c r="I33" i="2" s="1"/>
  <c r="H34" i="2" a="1"/>
  <c r="H34" i="2" s="1"/>
  <c r="H33" i="2" a="1"/>
  <c r="H33" i="2" s="1"/>
  <c r="D43" i="4"/>
  <c r="AE23" i="1"/>
  <c r="Z23" i="1"/>
  <c r="AA23" i="1"/>
  <c r="Y23" i="1"/>
  <c r="X23" i="1"/>
  <c r="AD23" i="1"/>
  <c r="AC23" i="1"/>
  <c r="AB23" i="1"/>
  <c r="K4" i="1" l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<sst xmlns="http://schemas.openxmlformats.org/spreadsheetml/2006/main" count="301" uniqueCount="169">
  <si>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</si>
  <si>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</si>
  <si>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</si>
  <si>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</si>
  <si>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</si>
  <si>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</si>
  <si>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</si>
  <si>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</si>
  <si>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</si>
  <si>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</si>
  <si>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</si>
  <si>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</si>
  <si>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</si>
  <si>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</si>
  <si>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</si>
  <si>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</si>
  <si>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</si>
  <si>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</si>
  <si>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</si>
  <si>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</si>
  <si>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</si>
  <si>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</si>
  <si>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</si>
  <si>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</si>
  <si>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</si>
  <si>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</si>
  <si>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</si>
  <si>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</si>
  <si>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</si>
  <si>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</si>
  <si>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</si>
  <si>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</si>
  <si>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</si>
  <si>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</si>
  <si>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</si>
  <si>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</si>
  <si>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</si>
  <si>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</si>
  <si>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</si>
  <si>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</si>
  <si>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</si>
  <si>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</si>
  <si>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</si>
  <si>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</si>
  <si>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</si>
  <si>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</si>
  <si>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</si>
  <si>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</si>
  <si>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</si>
  <si>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</si>
  <si>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</si>
  <si>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</si>
  <si>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</si>
  <si>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</si>
  <si>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</si>
  <si>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</si>
  <si>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</si>
  <si>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</si>
  <si>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</si>
  <si>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</si>
  <si>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</si>
  <si>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</si>
  <si>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</si>
  <si>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</si>
  <si>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</si>
  <si>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</si>
  <si>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</si>
  <si>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</si>
  <si>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</si>
  <si>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</si>
  <si>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</si>
  <si>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</si>
  <si>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</si>
  <si>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</si>
  <si>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</si>
  <si>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</si>
  <si>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</si>
  <si>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</si>
  <si>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</si>
  <si>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</si>
  <si>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</si>
  <si>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</si>
  <si>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</si>
  <si>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</si>
  <si>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</si>
  <si>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</si>
  <si>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</si>
  <si>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</si>
  <si>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</si>
  <si>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</si>
  <si>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</si>
  <si>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</si>
  <si>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</si>
  <si>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</si>
  <si>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</si>
  <si>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</si>
  <si>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</si>
  <si>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</si>
  <si>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</si>
  <si>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</si>
  <si>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</si>
  <si>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</si>
  <si>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Red highlights are the best performing for that dataset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</si>
  <si>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</si>
  <si>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</si>
  <si>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</si>
  <si>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</si>
  <si>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</si>
  <si>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</si>
  <si>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</si>
  <si>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</si>
  <si>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</si>
  <si>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</si>
  <si>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</si>
  <si>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</si>
  <si>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</si>
  <si>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</si>
  <si>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</si>
  <si>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</si>
  <si>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</si>
  <si>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</si>
  <si>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</si>
  <si>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</si>
  <si>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</si>
  <si>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</si>
  <si>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</si>
  <si>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</si>
  <si>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</si>
  <si>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</si>
  <si>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</si>
  <si>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</si>
  <si>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</si>
  <si>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</si>
  <si>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</si>
  <si>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</si>
  <si>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</si>
  <si>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</si>
  <si>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</si>
  <si>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</si>
  <si>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</si>
  <si>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</si>
  <si>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</si>
  <si>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</si>
  <si>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</si>
  <si>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</si>
  <si>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</si>
  <si>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</si>
  <si>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</si>
  <si>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</si>
  <si>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</si>
  <si>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</si>
  <si>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</si>
  <si>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</si>
  <si>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</si>
  <si>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</si>
  <si>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</si>
  <si>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</si>
  <si>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</si>
  <si>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</si>
  <si>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</si>
  <si>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</si>
  <si>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</si>
  <si>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</si>
  <si>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</si>
  <si>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which is not inline with the confidence interval in step1. If this value is unsatisfactory, use confidence interval.</t>
  </si>
  <si>
    <t>CORRELATION</t>
  </si>
  <si>
    <t>SS NO LR</t>
  </si>
  <si>
    <t>LIVN_CARDIO</t>
  </si>
  <si>
    <t>CARDIOVASCULAR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</si>
</sst>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00"/>
  </numFmts>
  <fonts count="1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0" fillId="18" borderId="0" applyNumberFormat="0" applyBorder="0" applyAlignment="0" applyProtection="0"/>
    <xf numFmtId="0" fontId="11" fillId="19" borderId="0" applyNumberFormat="0" applyBorder="0" applyAlignment="0" applyProtection="0"/>
  </cellStyleXfs>
  <cellXfs count="180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5" fontId="6" fillId="0" borderId="11" xfId="0" applyNumberFormat="1" applyFont="1" applyFill="1" applyBorder="1" applyAlignment="1">
      <alignment horizontal="center" vertical="center"/>
    </xf>
    <xf numFmtId="165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5" fontId="0" fillId="0" borderId="0" xfId="0" applyNumberFormat="1" applyBorder="1"/>
    <xf numFmtId="165" fontId="0" fillId="0" borderId="11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5" fontId="0" fillId="2" borderId="0" xfId="0" applyNumberFormat="1" applyFill="1"/>
    <xf numFmtId="164" fontId="0" fillId="0" borderId="1" xfId="0" applyNumberFormat="1" applyBorder="1"/>
    <xf numFmtId="4" fontId="0" fillId="0" borderId="0" xfId="0" applyNumberFormat="1"/>
    <xf numFmtId="165" fontId="0" fillId="0" borderId="10" xfId="0" applyNumberFormat="1" applyBorder="1"/>
    <xf numFmtId="165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0" fontId="0" fillId="3" borderId="14" xfId="0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0" fontId="8" fillId="0" borderId="0" xfId="0" applyFont="1" applyBorder="1" applyAlignment="1">
      <alignment horizontal="center" vertical="top"/>
    </xf>
    <xf numFmtId="0" fontId="0" fillId="10" borderId="6" xfId="0" applyFill="1" applyBorder="1" applyAlignment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5" fontId="0" fillId="0" borderId="0" xfId="0" applyNumberFormat="1"/>
    <xf numFmtId="166" fontId="4" fillId="0" borderId="3" xfId="0" applyNumberFormat="1" applyFont="1" applyBorder="1"/>
    <xf numFmtId="166" fontId="2" fillId="0" borderId="3" xfId="0" applyNumberFormat="1" applyFont="1" applyBorder="1"/>
    <xf numFmtId="0" fontId="0" fillId="6" borderId="5" xfId="0" applyFill="1" applyBorder="1"/>
    <xf numFmtId="164" fontId="0" fillId="0" borderId="1" xfId="1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1" fillId="19" borderId="0" xfId="3"/>
    <xf numFmtId="0" fontId="10" fillId="18" borderId="0" xfId="2"/>
    <xf numFmtId="0" fontId="2" fillId="18" borderId="0" xfId="2" applyFon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13" xfId="0" applyFill="1" applyBorder="1"/>
  </cellXfs>
  <cellStyles count="4">
    <cellStyle name="Bad" xfId="3" builtinId="27"/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H29"/>
  <sheetViews>
    <sheetView zoomScale="70" zoomScaleNormal="70" workbookViewId="0">
      <selection activeCell="Q15" sqref="Q15:R15"/>
    </sheetView>
  </sheetViews>
  <sheetFormatPr defaultRowHeight="12.75" x14ac:dyDescent="0.2"/>
  <cols>
    <col min="1" max="1" width="17.85546875" bestFit="1" customWidth="1"/>
    <col min="2" max="3" width="17.85546875" customWidth="1"/>
    <col min="4" max="4" width="12.5703125" customWidth="1"/>
    <col min="5" max="5" width="7.28515625" customWidth="1"/>
    <col min="6" max="7" width="10.7109375" customWidth="1"/>
    <col min="8" max="8" width="14" customWidth="1"/>
    <col min="9" max="31" width="10.7109375" customWidth="1"/>
    <col min="32" max="32" width="17.85546875" customWidth="1"/>
    <col min="33" max="34" width="10.7109375" customWidth="1"/>
  </cols>
  <sheetData>
    <row r="1" spans="1:33" x14ac:dyDescent="0.2">
      <c r="A1" s="135" t="s">
        <v>167</v>
      </c>
      <c r="B1" s="136"/>
      <c r="C1" s="137"/>
      <c r="G1" s="144" t="s">
        <v>35</v>
      </c>
      <c r="H1" s="145"/>
      <c r="I1" s="61" t="s">
        <v>31</v>
      </c>
      <c r="J1" s="61" t="s">
        <v>32</v>
      </c>
      <c r="K1" s="4" t="s">
        <v>39</v>
      </c>
      <c r="L1" s="146" t="s">
        <v>41</v>
      </c>
      <c r="M1" s="147"/>
    </row>
    <row r="2" spans="1:33" x14ac:dyDescent="0.2">
      <c r="A2" s="138"/>
      <c r="B2" s="139"/>
      <c r="C2" s="140"/>
      <c r="G2" s="59" t="s">
        <v>37</v>
      </c>
      <c r="H2" s="60"/>
      <c r="I2" s="62">
        <f>$B$7*($AG$25-2*$AG$26)</f>
        <v>34.059373914222157</v>
      </c>
      <c r="J2" s="62">
        <f>$B$7*($AG$25+2*$AG$26)</f>
        <v>39.085546605544003</v>
      </c>
      <c r="K2" s="64">
        <f>AVERAGE(I2:J2)</f>
        <v>36.57246025988308</v>
      </c>
      <c r="L2" s="148">
        <f>$K$2/AB14-1</f>
        <v>-7.5245191576267523E-4</v>
      </c>
      <c r="M2" s="149"/>
    </row>
    <row r="3" spans="1:33" x14ac:dyDescent="0.2">
      <c r="A3" s="141"/>
      <c r="B3" s="142"/>
      <c r="C3" s="143"/>
      <c r="G3" s="45" t="s">
        <v>38</v>
      </c>
      <c r="H3" s="19"/>
      <c r="I3" s="63">
        <f>$C$7*($AG$25-2*$AG$26)</f>
        <v>35.681248862518451</v>
      </c>
      <c r="J3" s="63">
        <f>$C$7*($AG$25+2*$AG$26)</f>
        <v>40.946763110569911</v>
      </c>
      <c r="K3" s="65">
        <f>AVERAGE(I3:J3)</f>
        <v>38.314005986544181</v>
      </c>
      <c r="L3" s="150">
        <f>$K$3/AB15-1</f>
        <v>4.3978364755972166E-2</v>
      </c>
      <c r="M3" s="151"/>
    </row>
    <row r="4" spans="1:33" x14ac:dyDescent="0.2">
      <c r="A4" s="50"/>
      <c r="B4" s="50"/>
      <c r="C4" s="50"/>
      <c r="J4" s="4" t="s">
        <v>40</v>
      </c>
      <c r="K4" s="65">
        <f>AVERAGE(K2:K3)</f>
        <v>37.443233123213631</v>
      </c>
      <c r="L4" s="150">
        <f>$K$4/AB15-1</f>
        <v>2.0251583738790879E-2</v>
      </c>
      <c r="M4" s="151"/>
    </row>
    <row r="5" spans="1:33" x14ac:dyDescent="0.2">
      <c r="A5" s="58" t="s">
        <v>34</v>
      </c>
      <c r="B5" s="48" t="s">
        <v>31</v>
      </c>
      <c r="C5" s="49" t="s">
        <v>32</v>
      </c>
    </row>
    <row r="6" spans="1:33" ht="15.75" x14ac:dyDescent="0.25">
      <c r="A6" s="52" t="s">
        <v>33</v>
      </c>
      <c r="B6" s="56">
        <v>981.0150000000001</v>
      </c>
      <c r="C6" s="57">
        <v>1027.7300000000002</v>
      </c>
    </row>
    <row r="7" spans="1:33" ht="14.25" x14ac:dyDescent="0.2">
      <c r="A7" s="53" t="s">
        <v>36</v>
      </c>
      <c r="B7" s="54">
        <f>B6*$AG$24</f>
        <v>151.02263393945327</v>
      </c>
      <c r="C7" s="55">
        <f>C6*$AG$24</f>
        <v>158.21418793657011</v>
      </c>
    </row>
    <row r="10" spans="1:33" x14ac:dyDescent="0.2">
      <c r="G10" s="119" t="s">
        <v>15</v>
      </c>
      <c r="H10" s="119"/>
      <c r="I10" s="35">
        <f>AVERAGE(F13:AF13)</f>
        <v>1.0050766891879324</v>
      </c>
      <c r="AC10" s="119" t="s">
        <v>16</v>
      </c>
      <c r="AD10" s="119"/>
      <c r="AE10" s="119"/>
      <c r="AF10" s="81">
        <f>AVERAGE(AB13:AF13)</f>
        <v>1.0051367027960001</v>
      </c>
    </row>
    <row r="11" spans="1:33" x14ac:dyDescent="0.2">
      <c r="A11" s="51" t="s">
        <v>6</v>
      </c>
      <c r="B11" s="152">
        <v>2012</v>
      </c>
      <c r="C11" s="153"/>
      <c r="D11" s="153"/>
      <c r="E11" s="154"/>
      <c r="F11" s="127">
        <v>2015</v>
      </c>
      <c r="G11" s="128"/>
      <c r="H11" s="128"/>
      <c r="I11" s="129"/>
      <c r="J11" s="127">
        <v>2016</v>
      </c>
      <c r="K11" s="128"/>
      <c r="L11" s="128"/>
      <c r="M11" s="129"/>
      <c r="N11" s="161">
        <v>2017</v>
      </c>
      <c r="O11" s="162"/>
      <c r="P11" s="162"/>
      <c r="Q11" s="163"/>
      <c r="R11" s="157">
        <v>2018</v>
      </c>
      <c r="S11" s="158"/>
      <c r="T11" s="158"/>
      <c r="U11" s="159"/>
      <c r="V11" s="121">
        <v>2019</v>
      </c>
      <c r="W11" s="122"/>
      <c r="X11" s="122"/>
      <c r="Y11" s="123"/>
      <c r="Z11" s="124">
        <v>2020</v>
      </c>
      <c r="AA11" s="125"/>
      <c r="AB11" s="125"/>
      <c r="AC11" s="126"/>
      <c r="AD11" s="127">
        <v>2021</v>
      </c>
      <c r="AE11" s="128"/>
      <c r="AF11" s="128"/>
      <c r="AG11" s="129"/>
    </row>
    <row r="12" spans="1:33" x14ac:dyDescent="0.2">
      <c r="A12" s="14" t="s">
        <v>19</v>
      </c>
      <c r="B12" s="105" t="s">
        <v>20</v>
      </c>
      <c r="C12" s="105" t="s">
        <v>3</v>
      </c>
      <c r="D12" s="105" t="s">
        <v>4</v>
      </c>
      <c r="E12" s="105" t="s">
        <v>5</v>
      </c>
      <c r="F12" s="21" t="s">
        <v>20</v>
      </c>
      <c r="G12" s="22" t="s">
        <v>3</v>
      </c>
      <c r="H12" s="22" t="s">
        <v>4</v>
      </c>
      <c r="I12" s="22" t="s">
        <v>5</v>
      </c>
      <c r="J12" s="21" t="s">
        <v>20</v>
      </c>
      <c r="K12" s="22" t="s">
        <v>3</v>
      </c>
      <c r="L12" s="22" t="s">
        <v>4</v>
      </c>
      <c r="M12" s="22" t="s">
        <v>5</v>
      </c>
      <c r="N12" s="23" t="s">
        <v>20</v>
      </c>
      <c r="O12" s="24" t="s">
        <v>3</v>
      </c>
      <c r="P12" s="24" t="s">
        <v>4</v>
      </c>
      <c r="Q12" s="24" t="s">
        <v>5</v>
      </c>
      <c r="R12" s="25" t="s">
        <v>20</v>
      </c>
      <c r="S12" s="26" t="s">
        <v>3</v>
      </c>
      <c r="T12" s="26" t="s">
        <v>4</v>
      </c>
      <c r="U12" s="26" t="s">
        <v>5</v>
      </c>
      <c r="V12" s="27" t="s">
        <v>20</v>
      </c>
      <c r="W12" s="28" t="s">
        <v>3</v>
      </c>
      <c r="X12" s="28" t="s">
        <v>4</v>
      </c>
      <c r="Y12" s="28" t="s">
        <v>5</v>
      </c>
      <c r="Z12" s="29" t="s">
        <v>20</v>
      </c>
      <c r="AA12" s="20" t="s">
        <v>3</v>
      </c>
      <c r="AB12" s="20" t="s">
        <v>4</v>
      </c>
      <c r="AC12" s="20" t="s">
        <v>5</v>
      </c>
      <c r="AD12" s="37" t="s">
        <v>20</v>
      </c>
      <c r="AE12" s="38" t="s">
        <v>3</v>
      </c>
      <c r="AF12" s="39" t="s">
        <v>21</v>
      </c>
      <c r="AG12" s="30" t="s">
        <v>22</v>
      </c>
    </row>
    <row r="13" spans="1:33" x14ac:dyDescent="0.2">
      <c r="A13" s="34" t="s">
        <v>2</v>
      </c>
      <c r="B13" s="106"/>
      <c r="C13" s="106"/>
      <c r="D13" s="106"/>
      <c r="E13" s="106"/>
      <c r="F13" s="85"/>
      <c r="G13" s="85"/>
      <c r="H13" s="85"/>
      <c r="I13" s="85"/>
      <c r="J13" s="85">
        <f t="shared" ref="J13:AE13" si="0">J15/F15</f>
        <v>1.0486322188449848</v>
      </c>
      <c r="K13" s="85">
        <f t="shared" si="0"/>
        <v>0.91162790697674423</v>
      </c>
      <c r="L13" s="85">
        <f t="shared" si="0"/>
        <v>0.98994974874371866</v>
      </c>
      <c r="M13" s="85">
        <f t="shared" si="0"/>
        <v>0.89978213507625271</v>
      </c>
      <c r="N13" s="85">
        <f t="shared" si="0"/>
        <v>0.93333333333333346</v>
      </c>
      <c r="O13" s="85">
        <f t="shared" si="0"/>
        <v>1.0127551020408163</v>
      </c>
      <c r="P13" s="85">
        <f t="shared" si="0"/>
        <v>0.97461928934010156</v>
      </c>
      <c r="Q13" s="85">
        <f t="shared" si="0"/>
        <v>1.0314769975786926</v>
      </c>
      <c r="R13" s="85">
        <f t="shared" si="0"/>
        <v>1.1925465838509315</v>
      </c>
      <c r="S13" s="85">
        <f t="shared" si="0"/>
        <v>1.2166246851385389</v>
      </c>
      <c r="T13" s="85">
        <f t="shared" si="0"/>
        <v>1.2109375</v>
      </c>
      <c r="U13" s="85">
        <f t="shared" si="0"/>
        <v>1.07981220657277</v>
      </c>
      <c r="V13" s="85">
        <f t="shared" si="0"/>
        <v>1.1328125</v>
      </c>
      <c r="W13" s="85">
        <f t="shared" si="0"/>
        <v>0.95445134575569368</v>
      </c>
      <c r="X13" s="85">
        <f t="shared" si="0"/>
        <v>0.93978494623655917</v>
      </c>
      <c r="Y13" s="85">
        <f t="shared" si="0"/>
        <v>1.0239130434782608</v>
      </c>
      <c r="Z13" s="85">
        <f t="shared" si="0"/>
        <v>0.92413793103448261</v>
      </c>
      <c r="AA13" s="85">
        <f t="shared" si="0"/>
        <v>0.61388286334056397</v>
      </c>
      <c r="AB13" s="85">
        <f t="shared" si="0"/>
        <v>0.8398169336384439</v>
      </c>
      <c r="AC13" s="85">
        <f t="shared" si="0"/>
        <v>0.84501061571125258</v>
      </c>
      <c r="AD13" s="85">
        <f t="shared" si="0"/>
        <v>0.95522388059701502</v>
      </c>
      <c r="AE13" s="85">
        <f t="shared" si="0"/>
        <v>1.3992932862190812</v>
      </c>
      <c r="AF13" s="85">
        <f>AF14/AB14</f>
        <v>0.98633879781420786</v>
      </c>
      <c r="AG13" s="31"/>
    </row>
    <row r="14" spans="1:33" x14ac:dyDescent="0.2">
      <c r="A14" s="15" t="s">
        <v>0</v>
      </c>
      <c r="B14" s="6"/>
      <c r="C14" s="6"/>
      <c r="D14" s="6"/>
      <c r="E14" s="6"/>
      <c r="F14" s="9">
        <v>32.9</v>
      </c>
      <c r="G14" s="6">
        <v>43</v>
      </c>
      <c r="H14" s="6">
        <v>39.799999999999997</v>
      </c>
      <c r="I14" s="6">
        <v>45.9</v>
      </c>
      <c r="J14" s="9">
        <v>34.5</v>
      </c>
      <c r="K14" s="6">
        <v>39.200000000000003</v>
      </c>
      <c r="L14" s="6">
        <v>39.4</v>
      </c>
      <c r="M14" s="6">
        <v>41.3</v>
      </c>
      <c r="N14" s="9">
        <v>32.200000000000003</v>
      </c>
      <c r="O14" s="6">
        <v>39.700000000000003</v>
      </c>
      <c r="P14" s="6">
        <v>38.4</v>
      </c>
      <c r="Q14" s="6">
        <v>42.6</v>
      </c>
      <c r="R14" s="9">
        <v>38.4</v>
      </c>
      <c r="S14" s="6">
        <v>48.2</v>
      </c>
      <c r="T14" s="6">
        <v>46.5</v>
      </c>
      <c r="U14" s="6">
        <v>46.099999999999994</v>
      </c>
      <c r="V14" s="9">
        <v>43.5</v>
      </c>
      <c r="W14" s="6">
        <v>46.1</v>
      </c>
      <c r="X14" s="6">
        <v>43.7</v>
      </c>
      <c r="Y14" s="6">
        <v>47.1</v>
      </c>
      <c r="Z14" s="9">
        <v>40.299999999999997</v>
      </c>
      <c r="AA14" s="6">
        <v>28.3</v>
      </c>
      <c r="AB14" s="6">
        <v>36.599999999999994</v>
      </c>
      <c r="AC14" s="6">
        <v>39.799999999999997</v>
      </c>
      <c r="AD14" s="6">
        <v>38.5</v>
      </c>
      <c r="AE14" s="6">
        <v>39.6</v>
      </c>
      <c r="AF14" s="6">
        <v>36.1</v>
      </c>
      <c r="AG14" s="6">
        <v>37.599999999999994</v>
      </c>
    </row>
    <row r="15" spans="1:33" x14ac:dyDescent="0.2">
      <c r="A15" s="15" t="s">
        <v>1</v>
      </c>
      <c r="B15" s="6"/>
      <c r="C15" s="6"/>
      <c r="D15" s="6"/>
      <c r="E15" s="6"/>
      <c r="F15" s="9">
        <v>32.9</v>
      </c>
      <c r="G15" s="6">
        <v>43</v>
      </c>
      <c r="H15" s="6">
        <v>39.799999999999997</v>
      </c>
      <c r="I15" s="6">
        <v>45.9</v>
      </c>
      <c r="J15" s="9">
        <v>34.5</v>
      </c>
      <c r="K15" s="6">
        <v>39.200000000000003</v>
      </c>
      <c r="L15" s="6">
        <v>39.4</v>
      </c>
      <c r="M15" s="6">
        <v>41.3</v>
      </c>
      <c r="N15" s="9">
        <v>32.200000000000003</v>
      </c>
      <c r="O15" s="6">
        <v>39.700000000000003</v>
      </c>
      <c r="P15" s="6">
        <v>38.4</v>
      </c>
      <c r="Q15" s="6">
        <v>42.6</v>
      </c>
      <c r="R15" s="9">
        <v>38.4</v>
      </c>
      <c r="S15" s="6">
        <v>48.3</v>
      </c>
      <c r="T15" s="6">
        <v>46.5</v>
      </c>
      <c r="U15" s="6">
        <v>46</v>
      </c>
      <c r="V15" s="9">
        <v>43.5</v>
      </c>
      <c r="W15" s="6">
        <v>46.1</v>
      </c>
      <c r="X15" s="6">
        <v>43.7</v>
      </c>
      <c r="Y15" s="6">
        <v>47.1</v>
      </c>
      <c r="Z15" s="9">
        <v>40.199999999999996</v>
      </c>
      <c r="AA15" s="6">
        <v>28.3</v>
      </c>
      <c r="AB15" s="6">
        <v>36.700000000000003</v>
      </c>
      <c r="AC15" s="6">
        <v>39.799999999999997</v>
      </c>
      <c r="AD15" s="9">
        <v>38.4</v>
      </c>
      <c r="AE15" s="6">
        <v>39.6</v>
      </c>
      <c r="AF15" s="9"/>
      <c r="AG15" s="10"/>
    </row>
    <row r="16" spans="1:33" x14ac:dyDescent="0.2">
      <c r="A16" s="15" t="s">
        <v>154</v>
      </c>
      <c r="B16" s="9"/>
      <c r="C16" s="9"/>
      <c r="D16" s="9"/>
      <c r="E16" s="9"/>
      <c r="F16" s="9">
        <v>241.2</v>
      </c>
      <c r="G16" s="6">
        <v>271.8</v>
      </c>
      <c r="H16" s="6">
        <v>253.8</v>
      </c>
      <c r="I16" s="10">
        <v>281.60000000000002</v>
      </c>
      <c r="J16" s="9">
        <v>234.2</v>
      </c>
      <c r="K16" s="6">
        <v>261.5</v>
      </c>
      <c r="L16" s="6">
        <v>238.5</v>
      </c>
      <c r="M16" s="10">
        <v>249.6</v>
      </c>
      <c r="N16" s="9">
        <v>226.8</v>
      </c>
      <c r="O16" s="6">
        <v>255.8</v>
      </c>
      <c r="P16" s="6">
        <v>251.3</v>
      </c>
      <c r="Q16" s="10">
        <v>278.39999999999998</v>
      </c>
      <c r="R16" s="9">
        <v>250.4</v>
      </c>
      <c r="S16" s="6">
        <v>287.5</v>
      </c>
      <c r="T16" s="6">
        <v>272.10000000000002</v>
      </c>
      <c r="U16" s="10">
        <v>297</v>
      </c>
      <c r="V16" s="9">
        <v>250.8</v>
      </c>
      <c r="W16" s="6">
        <v>277.2</v>
      </c>
      <c r="X16" s="6">
        <v>268.60000000000002</v>
      </c>
      <c r="Y16" s="10">
        <v>287.60000000000002</v>
      </c>
      <c r="Z16" s="6">
        <v>242.4</v>
      </c>
      <c r="AA16" s="6">
        <v>182.2</v>
      </c>
      <c r="AB16" s="10">
        <v>240.1</v>
      </c>
      <c r="AC16" s="9">
        <v>269.60000000000002</v>
      </c>
      <c r="AD16">
        <v>247.6</v>
      </c>
      <c r="AE16" s="82">
        <v>264.5</v>
      </c>
      <c r="AF16">
        <v>244.5</v>
      </c>
      <c r="AG16" s="10"/>
    </row>
    <row r="17" spans="1:34" x14ac:dyDescent="0.2">
      <c r="A17" s="86" t="s">
        <v>18</v>
      </c>
      <c r="B17" s="87"/>
      <c r="C17" s="87"/>
      <c r="D17" s="87"/>
      <c r="E17" s="87"/>
      <c r="F17" s="87">
        <f t="shared" ref="F17:H17" si="1">F15/F16</f>
        <v>0.13640132669983415</v>
      </c>
      <c r="G17" s="87">
        <f t="shared" si="1"/>
        <v>0.15820456217807211</v>
      </c>
      <c r="H17" s="87">
        <f t="shared" si="1"/>
        <v>0.15681639085894403</v>
      </c>
      <c r="I17" s="87">
        <f t="shared" ref="I17:W17" si="2">I15/I16</f>
        <v>0.16299715909090906</v>
      </c>
      <c r="J17" s="87">
        <f t="shared" si="2"/>
        <v>0.14730999146029036</v>
      </c>
      <c r="K17" s="87">
        <f>K15/K16</f>
        <v>0.14990439770554495</v>
      </c>
      <c r="L17" s="87">
        <f>L15/L16</f>
        <v>0.1651991614255765</v>
      </c>
      <c r="M17" s="87">
        <f>M15/M16</f>
        <v>0.16546474358974358</v>
      </c>
      <c r="N17" s="87">
        <f>N15/N16</f>
        <v>0.1419753086419753</v>
      </c>
      <c r="O17" s="87">
        <f t="shared" si="2"/>
        <v>0.15519937451133697</v>
      </c>
      <c r="P17" s="87">
        <f t="shared" si="2"/>
        <v>0.15280541185833663</v>
      </c>
      <c r="Q17" s="87">
        <f t="shared" si="2"/>
        <v>0.15301724137931036</v>
      </c>
      <c r="R17" s="87">
        <f t="shared" si="2"/>
        <v>0.15335463258785942</v>
      </c>
      <c r="S17" s="87">
        <f t="shared" si="2"/>
        <v>0.16799999999999998</v>
      </c>
      <c r="T17" s="87">
        <f t="shared" si="2"/>
        <v>0.17089305402425578</v>
      </c>
      <c r="U17" s="87">
        <f t="shared" si="2"/>
        <v>0.15488215488215487</v>
      </c>
      <c r="V17" s="87">
        <f t="shared" si="2"/>
        <v>0.17344497607655501</v>
      </c>
      <c r="W17" s="87">
        <f t="shared" si="2"/>
        <v>0.16630591630591632</v>
      </c>
      <c r="X17" s="87">
        <f t="shared" ref="X17:Y17" si="3">X15/X16</f>
        <v>0.16269545793000745</v>
      </c>
      <c r="Y17" s="87">
        <f t="shared" si="3"/>
        <v>0.16376912378303199</v>
      </c>
      <c r="Z17" s="87">
        <f>Z15/Z16</f>
        <v>0.16584158415841582</v>
      </c>
      <c r="AA17" s="87">
        <f>AA15/Z16</f>
        <v>0.11674917491749175</v>
      </c>
      <c r="AB17" s="87">
        <f>AB15/AA16</f>
        <v>0.20142700329308455</v>
      </c>
      <c r="AC17" s="87">
        <f>AC15/AB16</f>
        <v>0.16576426488962931</v>
      </c>
      <c r="AD17" s="87">
        <f>AD15/AC16</f>
        <v>0.14243323442136496</v>
      </c>
      <c r="AE17" s="87">
        <f>AE15/AD16</f>
        <v>0.15993537964458807</v>
      </c>
      <c r="AF17" s="88">
        <f>AF14/AF16</f>
        <v>0.14764826175869122</v>
      </c>
      <c r="AG17" s="89"/>
    </row>
    <row r="18" spans="1:34" x14ac:dyDescent="0.2">
      <c r="A18" s="86" t="s">
        <v>24</v>
      </c>
      <c r="B18" s="87"/>
      <c r="C18" s="87"/>
      <c r="D18" s="87"/>
      <c r="E18" s="90"/>
      <c r="F18" s="87">
        <f>F15/SUM(F15:I15)</f>
        <v>0.20358910891089108</v>
      </c>
      <c r="G18" s="87">
        <f>G15/SUM(F15:I15)</f>
        <v>0.2660891089108911</v>
      </c>
      <c r="H18" s="87">
        <f>H15/SUM(F15:I15)</f>
        <v>0.24628712871287128</v>
      </c>
      <c r="I18" s="90">
        <f>I15/SUM(F15:I15)</f>
        <v>0.28403465346534651</v>
      </c>
      <c r="J18" s="87">
        <f>J15/SUM(J15:M15)</f>
        <v>0.22344559585492232</v>
      </c>
      <c r="K18" s="87">
        <f>K15/SUM(J15:M15)</f>
        <v>0.25388601036269437</v>
      </c>
      <c r="L18" s="87">
        <f>L15/SUM(J15:M15)</f>
        <v>0.25518134715025909</v>
      </c>
      <c r="M18" s="90">
        <f>M15/SUM(J15:M15)</f>
        <v>0.26748704663212436</v>
      </c>
      <c r="N18" s="87">
        <f>N15/SUM(N15:Q15)</f>
        <v>0.21059516023544803</v>
      </c>
      <c r="O18" s="87">
        <f>O15/SUM(N15:Q15)</f>
        <v>0.25964682799215172</v>
      </c>
      <c r="P18" s="87">
        <f>P15/SUM(N15:Q15)</f>
        <v>0.25114453891432309</v>
      </c>
      <c r="Q18" s="90">
        <f>Q15/SUM(N15:Q15)</f>
        <v>0.27861347285807719</v>
      </c>
      <c r="R18" s="87">
        <f>R15/SUM(R15:U15)</f>
        <v>0.2142857142857143</v>
      </c>
      <c r="S18" s="87">
        <f>S15/SUM(R15:U15)</f>
        <v>0.26953125</v>
      </c>
      <c r="T18" s="87">
        <f>T15/SUM(R15:U15)</f>
        <v>0.25948660714285715</v>
      </c>
      <c r="U18" s="90">
        <f>U15/SUM(R15:U15)</f>
        <v>0.2566964285714286</v>
      </c>
      <c r="V18" s="87">
        <f>V15/SUM(V15:Y15)</f>
        <v>0.24113082039911307</v>
      </c>
      <c r="W18" s="87">
        <f>W15/SUM(V15:Y15)</f>
        <v>0.25554323725055433</v>
      </c>
      <c r="X18" s="87">
        <f>X15/SUM(V15:Y15)</f>
        <v>0.24223946784922396</v>
      </c>
      <c r="Y18" s="90">
        <f>Y15/SUM(V15:Y15)</f>
        <v>0.26108647450110867</v>
      </c>
      <c r="Z18" s="87"/>
      <c r="AA18" s="87"/>
      <c r="AB18" s="87"/>
      <c r="AC18" s="90"/>
      <c r="AD18" s="87">
        <f>AD15/SUM(AD15:AE15,AF14:AG14)</f>
        <v>0.25313117996044826</v>
      </c>
      <c r="AE18" s="87">
        <f>AE15/SUM(AD15:AE15,AF14:AG14)</f>
        <v>0.26104152933421226</v>
      </c>
      <c r="AF18" s="87">
        <f>AF14/SUM(AD15:AE15,AF14:AG14)</f>
        <v>0.23796967699406726</v>
      </c>
      <c r="AG18" s="90">
        <f>AG14/SUM(AD15:AE15,AF14:AG14)</f>
        <v>0.24785761371127224</v>
      </c>
      <c r="AH18" s="3"/>
    </row>
    <row r="19" spans="1:34" x14ac:dyDescent="0.2">
      <c r="A19" s="16" t="s">
        <v>17</v>
      </c>
      <c r="B19" s="12"/>
      <c r="C19" s="12"/>
      <c r="D19" s="12"/>
      <c r="E19" s="12"/>
      <c r="F19" s="11"/>
      <c r="G19" s="12"/>
      <c r="H19" s="12"/>
      <c r="I19" s="6"/>
      <c r="J19" s="9"/>
      <c r="K19" s="12"/>
      <c r="L19" s="12"/>
      <c r="M19" s="6"/>
      <c r="N19" s="83"/>
      <c r="O19" s="83"/>
      <c r="P19" s="83"/>
      <c r="Q19" s="83">
        <v>41.3</v>
      </c>
      <c r="R19" s="83">
        <v>32.799999999999997</v>
      </c>
      <c r="S19" s="63"/>
      <c r="T19" s="63"/>
      <c r="U19" s="63">
        <v>50.9</v>
      </c>
      <c r="V19" s="83">
        <v>44.8</v>
      </c>
      <c r="W19" s="63">
        <v>49.800000000000004</v>
      </c>
      <c r="X19" s="63">
        <v>47.599999999999994</v>
      </c>
      <c r="Y19" s="63">
        <v>45.199999999999996</v>
      </c>
      <c r="Z19" s="83">
        <v>41</v>
      </c>
      <c r="AA19" s="63">
        <v>26.300000000000004</v>
      </c>
      <c r="AB19" s="63">
        <v>34.5</v>
      </c>
      <c r="AC19" s="63">
        <v>41.7</v>
      </c>
      <c r="AD19" s="83">
        <v>35.5</v>
      </c>
      <c r="AE19" s="63">
        <v>36.4</v>
      </c>
      <c r="AF19" s="84"/>
      <c r="AG19" s="13"/>
    </row>
    <row r="20" spans="1:34" x14ac:dyDescent="0.2">
      <c r="F20" s="7"/>
      <c r="G20" s="7"/>
      <c r="H20" s="7"/>
      <c r="I20" s="7"/>
      <c r="J20" s="7"/>
      <c r="K20" s="7"/>
      <c r="L20" s="7"/>
      <c r="M20" s="7"/>
      <c r="N20" s="7"/>
      <c r="O20" s="130" t="s">
        <v>7</v>
      </c>
      <c r="P20" s="131"/>
      <c r="Q20" s="7">
        <f t="shared" ref="Q20:AD20" si="4">IF(Q15&gt;Q19,1,0)</f>
        <v>1</v>
      </c>
      <c r="R20" s="7">
        <f t="shared" si="4"/>
        <v>1</v>
      </c>
      <c r="S20" s="7"/>
      <c r="T20" s="7"/>
      <c r="U20" s="7">
        <f t="shared" si="4"/>
        <v>0</v>
      </c>
      <c r="V20" s="7">
        <f t="shared" si="4"/>
        <v>0</v>
      </c>
      <c r="W20" s="7">
        <f t="shared" si="4"/>
        <v>0</v>
      </c>
      <c r="X20" s="7">
        <f>IF(X15&gt;X19,1,0)</f>
        <v>0</v>
      </c>
      <c r="Y20" s="7">
        <f>IF(Y15&gt;Y19,1,0)</f>
        <v>1</v>
      </c>
      <c r="Z20" s="7">
        <f>IF(Z15&gt;Z19,1,0)</f>
        <v>0</v>
      </c>
      <c r="AA20" s="7">
        <f t="shared" si="4"/>
        <v>1</v>
      </c>
      <c r="AB20" s="7">
        <f t="shared" si="4"/>
        <v>1</v>
      </c>
      <c r="AC20" s="7">
        <f t="shared" si="4"/>
        <v>0</v>
      </c>
      <c r="AD20" s="7">
        <f t="shared" si="4"/>
        <v>1</v>
      </c>
      <c r="AE20" s="8">
        <f>IF(AE15&gt;AE19,1,0)</f>
        <v>1</v>
      </c>
      <c r="AF20" s="45" t="s">
        <v>8</v>
      </c>
      <c r="AG20" s="42">
        <f>AVERAGE(Q20:AE20)</f>
        <v>0.53846153846153844</v>
      </c>
    </row>
    <row r="21" spans="1:34" x14ac:dyDescent="0.2">
      <c r="H21" s="6"/>
      <c r="I21" s="6"/>
      <c r="J21" s="6"/>
      <c r="K21" s="6"/>
      <c r="L21" s="6"/>
      <c r="M21" s="6"/>
      <c r="N21" s="6"/>
      <c r="O21" s="155" t="s">
        <v>9</v>
      </c>
      <c r="P21" s="156"/>
      <c r="Q21" s="6"/>
      <c r="R21" s="6"/>
      <c r="S21" s="6"/>
      <c r="T21" s="6"/>
      <c r="U21" s="6"/>
      <c r="V21" s="6">
        <f>AVERAGE(U20:V20,Q20:R20)</f>
        <v>0.5</v>
      </c>
      <c r="W21" s="6">
        <f>AVERAGE(U20:W20,R20)</f>
        <v>0.25</v>
      </c>
      <c r="X21" s="6">
        <f t="shared" ref="X21:AE21" si="5">AVERAGE(U20:X20)</f>
        <v>0</v>
      </c>
      <c r="Y21" s="6">
        <f t="shared" si="5"/>
        <v>0.25</v>
      </c>
      <c r="Z21" s="6">
        <f t="shared" si="5"/>
        <v>0.25</v>
      </c>
      <c r="AA21" s="6">
        <f t="shared" si="5"/>
        <v>0.5</v>
      </c>
      <c r="AB21" s="6">
        <f t="shared" si="5"/>
        <v>0.75</v>
      </c>
      <c r="AC21" s="6">
        <f t="shared" si="5"/>
        <v>0.5</v>
      </c>
      <c r="AD21" s="6">
        <f t="shared" si="5"/>
        <v>0.75</v>
      </c>
      <c r="AE21" s="10">
        <f t="shared" si="5"/>
        <v>0.75</v>
      </c>
      <c r="AF21" s="41" t="s">
        <v>10</v>
      </c>
      <c r="AG21" s="42">
        <f>AVERAGE(V21:AE21)</f>
        <v>0.45</v>
      </c>
    </row>
    <row r="22" spans="1:34" x14ac:dyDescent="0.2">
      <c r="F22" s="18"/>
      <c r="G22" s="18"/>
      <c r="H22" s="18"/>
      <c r="I22" s="18"/>
      <c r="J22" s="18"/>
      <c r="K22" s="18"/>
      <c r="L22" s="18"/>
      <c r="M22" s="18"/>
      <c r="N22" s="18"/>
      <c r="O22" s="115" t="s">
        <v>11</v>
      </c>
      <c r="P22" s="160"/>
      <c r="Q22" s="18">
        <f t="shared" ref="Q22:AE22" si="6">Q15/Q19-1</f>
        <v>3.14769975786926E-2</v>
      </c>
      <c r="R22" s="18">
        <f t="shared" si="6"/>
        <v>0.17073170731707332</v>
      </c>
      <c r="S22" s="18"/>
      <c r="T22" s="18"/>
      <c r="U22" s="18">
        <f t="shared" si="6"/>
        <v>-9.6267190569744532E-2</v>
      </c>
      <c r="V22" s="18">
        <f t="shared" si="6"/>
        <v>-2.9017857142857095E-2</v>
      </c>
      <c r="W22" s="18">
        <f t="shared" si="6"/>
        <v>-7.4297188755020116E-2</v>
      </c>
      <c r="X22" s="18">
        <f t="shared" si="6"/>
        <v>-8.1932773109243517E-2</v>
      </c>
      <c r="Y22" s="18">
        <f t="shared" si="6"/>
        <v>4.2035398230088727E-2</v>
      </c>
      <c r="Z22" s="18">
        <f t="shared" si="6"/>
        <v>-1.9512195121951348E-2</v>
      </c>
      <c r="AA22" s="18">
        <f t="shared" si="6"/>
        <v>7.6045627376425617E-2</v>
      </c>
      <c r="AB22" s="18">
        <f t="shared" si="6"/>
        <v>6.3768115942029135E-2</v>
      </c>
      <c r="AC22" s="18">
        <f t="shared" si="6"/>
        <v>-4.5563549160671624E-2</v>
      </c>
      <c r="AD22" s="18">
        <f t="shared" si="6"/>
        <v>8.1690140845070314E-2</v>
      </c>
      <c r="AE22" s="40">
        <f t="shared" si="6"/>
        <v>8.7912087912088044E-2</v>
      </c>
      <c r="AF22" s="41" t="s">
        <v>13</v>
      </c>
      <c r="AG22" s="43">
        <f>MEDIAN(Q22:AE22)</f>
        <v>3.14769975786926E-2</v>
      </c>
    </row>
    <row r="23" spans="1:34" x14ac:dyDescent="0.2">
      <c r="H23" s="32"/>
      <c r="I23" s="32"/>
      <c r="J23" s="32"/>
      <c r="K23" s="32"/>
      <c r="L23" s="32"/>
      <c r="M23" s="32"/>
      <c r="N23" s="32"/>
      <c r="O23" s="155" t="s">
        <v>12</v>
      </c>
      <c r="P23" s="156"/>
      <c r="Q23" s="32"/>
      <c r="R23" s="32"/>
      <c r="S23" s="32"/>
      <c r="T23" s="32"/>
      <c r="U23" s="32"/>
      <c r="V23" s="32">
        <f>AVERAGE(U22:V22,Q22:R22)</f>
        <v>1.9230914295791074E-2</v>
      </c>
      <c r="W23" s="32">
        <f>AVERAGE(U22:W22,R22)</f>
        <v>-7.2126322876371052E-3</v>
      </c>
      <c r="X23" s="32">
        <f t="shared" ref="X23:AE23" si="7">AVERAGE(U22:X22)</f>
        <v>-7.0378752394216315E-2</v>
      </c>
      <c r="Y23" s="32">
        <f t="shared" si="7"/>
        <v>-3.5803105194258E-2</v>
      </c>
      <c r="Z23" s="32">
        <f t="shared" si="7"/>
        <v>-3.3426689689031563E-2</v>
      </c>
      <c r="AA23" s="32">
        <f t="shared" si="7"/>
        <v>4.1590143438298699E-3</v>
      </c>
      <c r="AB23" s="32">
        <f t="shared" si="7"/>
        <v>4.0584236606648033E-2</v>
      </c>
      <c r="AC23" s="32">
        <f t="shared" si="7"/>
        <v>1.8684499758957945E-2</v>
      </c>
      <c r="AD23" s="32">
        <f t="shared" si="7"/>
        <v>4.3985083750713361E-2</v>
      </c>
      <c r="AE23" s="33">
        <f t="shared" si="7"/>
        <v>4.6951698884628967E-2</v>
      </c>
      <c r="AF23" s="19" t="s">
        <v>14</v>
      </c>
      <c r="AG23" s="33">
        <f>MEDIAN(V23:AE23)</f>
        <v>1.1421757051393908E-2</v>
      </c>
    </row>
    <row r="24" spans="1:34" x14ac:dyDescent="0.2">
      <c r="O24" s="130" t="s">
        <v>25</v>
      </c>
      <c r="P24" s="131"/>
      <c r="Q24" s="101">
        <f>AVERAGE(Q22:R22,Y22,AA22:AB22,AD22:AE22)</f>
        <v>7.9094296457352539E-2</v>
      </c>
      <c r="R24" s="115" t="s">
        <v>29</v>
      </c>
      <c r="S24" s="116"/>
      <c r="T24" s="46">
        <f>MEDIAN(Q22:R22,Y22,AA22:AB22,AD22:AE22)</f>
        <v>7.6045627376425617E-2</v>
      </c>
      <c r="AB24" s="3"/>
      <c r="AC24" s="132" t="s">
        <v>23</v>
      </c>
      <c r="AD24" s="133"/>
      <c r="AE24" s="133"/>
      <c r="AF24" s="134"/>
      <c r="AG24" s="44">
        <f>AVERAGE(AC17:AF17)</f>
        <v>0.15394528517856837</v>
      </c>
    </row>
    <row r="25" spans="1:34" x14ac:dyDescent="0.2">
      <c r="O25" s="117" t="s">
        <v>26</v>
      </c>
      <c r="P25" s="120"/>
      <c r="Q25" s="100">
        <f>AVERAGE(U22:X22,Z22,AC22)</f>
        <v>-5.7765125643248039E-2</v>
      </c>
      <c r="R25" s="117" t="s">
        <v>30</v>
      </c>
      <c r="S25" s="118"/>
      <c r="T25" s="33">
        <f>MEDIAN(U22:X22,Z22,AC22)</f>
        <v>-5.993036895784587E-2</v>
      </c>
      <c r="AC25" s="111" t="s">
        <v>27</v>
      </c>
      <c r="AD25" s="112"/>
      <c r="AE25" s="112"/>
      <c r="AF25" s="112"/>
      <c r="AG25" s="46">
        <f>AVERAGE(AF18,X18,H18)</f>
        <v>0.24216542451872083</v>
      </c>
    </row>
    <row r="26" spans="1:34" x14ac:dyDescent="0.2">
      <c r="AC26" s="113" t="s">
        <v>28</v>
      </c>
      <c r="AD26" s="114"/>
      <c r="AE26" s="114"/>
      <c r="AF26" s="114"/>
      <c r="AG26" s="47">
        <f>_xlfn.STDEV.S(AF18,X18,P18,H18,T18)</f>
        <v>8.3202308160922681E-3</v>
      </c>
    </row>
    <row r="29" spans="1:34" ht="18" customHeight="1" x14ac:dyDescent="0.2"/>
  </sheetData>
  <mergeCells count="27">
    <mergeCell ref="L4:M4"/>
    <mergeCell ref="B11:E11"/>
    <mergeCell ref="O21:P21"/>
    <mergeCell ref="R11:U11"/>
    <mergeCell ref="O24:P24"/>
    <mergeCell ref="O23:P23"/>
    <mergeCell ref="O22:P22"/>
    <mergeCell ref="F11:I11"/>
    <mergeCell ref="J11:M11"/>
    <mergeCell ref="N11:Q11"/>
    <mergeCell ref="A1:C3"/>
    <mergeCell ref="G1:H1"/>
    <mergeCell ref="L1:M1"/>
    <mergeCell ref="L2:M2"/>
    <mergeCell ref="L3:M3"/>
    <mergeCell ref="AC25:AF25"/>
    <mergeCell ref="AC26:AF26"/>
    <mergeCell ref="R24:S24"/>
    <mergeCell ref="R25:S25"/>
    <mergeCell ref="G10:H10"/>
    <mergeCell ref="AC10:AE10"/>
    <mergeCell ref="O25:P25"/>
    <mergeCell ref="V11:Y11"/>
    <mergeCell ref="Z11:AC11"/>
    <mergeCell ref="AD11:AG11"/>
    <mergeCell ref="O20:P20"/>
    <mergeCell ref="AC24:AF24"/>
  </mergeCells>
  <conditionalFormatting sqref="Q20:AE20 F20:N20 AG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1:N21 Q21:AE21 AG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2:AE22 F22:N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H23:N23 Q23:AE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G22:AG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G20:AG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G20:AG21 AG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Q22:AE22 F22:N22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H23:N23 Q23:AE23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AG22:AG23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AG20:AG21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AG20:AG21 AG24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36"/>
  <sheetViews>
    <sheetView zoomScale="85" zoomScaleNormal="85" workbookViewId="0">
      <selection activeCell="J22" sqref="J22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76</v>
      </c>
      <c r="B1" t="s">
        <v>77</v>
      </c>
    </row>
    <row r="4" spans="1:21" x14ac:dyDescent="0.2">
      <c r="A4" s="166" t="s">
        <v>72</v>
      </c>
      <c r="B4" s="166"/>
      <c r="T4" s="70" t="s">
        <v>162</v>
      </c>
    </row>
    <row r="5" spans="1:21" x14ac:dyDescent="0.2">
      <c r="A5" s="17" t="s">
        <v>53</v>
      </c>
      <c r="B5" s="17" t="s">
        <v>54</v>
      </c>
      <c r="C5" s="17" t="s">
        <v>65</v>
      </c>
      <c r="D5" s="17" t="s">
        <v>55</v>
      </c>
      <c r="E5" s="17" t="s">
        <v>56</v>
      </c>
      <c r="F5" s="17" t="s">
        <v>66</v>
      </c>
      <c r="G5" s="17" t="s">
        <v>57</v>
      </c>
      <c r="H5" s="17" t="s">
        <v>58</v>
      </c>
      <c r="I5" s="17" t="s">
        <v>67</v>
      </c>
      <c r="J5" s="17" t="s">
        <v>59</v>
      </c>
      <c r="K5" s="17" t="s">
        <v>60</v>
      </c>
      <c r="L5" s="17" t="s">
        <v>70</v>
      </c>
      <c r="M5" s="17" t="s">
        <v>61</v>
      </c>
      <c r="N5" s="17" t="s">
        <v>62</v>
      </c>
      <c r="O5" s="17" t="s">
        <v>71</v>
      </c>
      <c r="P5" s="17" t="s">
        <v>63</v>
      </c>
      <c r="Q5" s="17" t="s">
        <v>64</v>
      </c>
      <c r="R5" s="17" t="s">
        <v>0</v>
      </c>
      <c r="S5" s="179" t="s">
        <v>69</v>
      </c>
      <c r="T5" s="36" t="s">
        <v>0</v>
      </c>
      <c r="U5" s="36" t="s">
        <v>69</v>
      </c>
    </row>
    <row r="6" spans="1:21" x14ac:dyDescent="0.2">
      <c r="A6" t="s">
        <v>167</v>
      </c>
      <c r="B6" t="s">
        <v>168</v>
      </c>
      <c r="C6" s="107" t="s">
        <v>42</v>
      </c>
      <c r="D6">
        <v>20190221</v>
      </c>
      <c r="E6" s="109">
        <v>45.359836999999999</v>
      </c>
      <c r="F6" s="109">
        <v>44.042805999999999</v>
      </c>
      <c r="G6" s="110">
        <v>46.989100999999998</v>
      </c>
      <c r="H6">
        <v>42.109642999999998</v>
      </c>
      <c r="I6" s="108">
        <v>21.964175000000001</v>
      </c>
      <c r="J6" s="109">
        <v>44.625346749999999</v>
      </c>
      <c r="R6">
        <v>50.9</v>
      </c>
      <c r="S6">
        <v>46</v>
      </c>
    </row>
    <row r="7" spans="1:21" x14ac:dyDescent="0.2">
      <c r="A7" t="s">
        <v>167</v>
      </c>
      <c r="B7" t="s">
        <v>168</v>
      </c>
      <c r="C7" s="107" t="s">
        <v>43</v>
      </c>
      <c r="D7">
        <v>20190425</v>
      </c>
      <c r="E7" s="109">
        <v>46.218516000000001</v>
      </c>
      <c r="F7" s="109">
        <v>43.381118000000001</v>
      </c>
      <c r="G7" s="110">
        <v>44.964030000000001</v>
      </c>
      <c r="H7">
        <v>47.063918999999999</v>
      </c>
      <c r="I7" s="108">
        <v>23.236015999999999</v>
      </c>
      <c r="J7" s="109">
        <v>45.406895750000004</v>
      </c>
      <c r="K7">
        <f t="shared" ref="K7:K16" si="0">(E7/E6)*$S6</f>
        <v>46.870797529541392</v>
      </c>
      <c r="L7">
        <f t="shared" ref="L7:L16" si="1">(F7/F6)*$S6</f>
        <v>45.308907611381528</v>
      </c>
      <c r="M7">
        <f t="shared" ref="M7:M16" si="2">(G7/G6)*$S6</f>
        <v>44.017555900888595</v>
      </c>
      <c r="N7">
        <f t="shared" ref="N7:N16" si="3">(H7/H6)*$S6</f>
        <v>51.411983568704208</v>
      </c>
      <c r="O7">
        <f t="shared" ref="O7:O16" si="4">(I7/I6)*$S6</f>
        <v>48.663641406972943</v>
      </c>
      <c r="P7">
        <f t="shared" ref="P7:P16" si="5">(J7/J6)*$S6</f>
        <v>46.805624081789354</v>
      </c>
      <c r="Q7">
        <f>AVERAGE(K7:P7)</f>
        <v>47.179751683213006</v>
      </c>
      <c r="R7">
        <v>44.8</v>
      </c>
      <c r="S7">
        <v>43.5</v>
      </c>
      <c r="T7" s="92"/>
      <c r="U7" s="91"/>
    </row>
    <row r="8" spans="1:21" x14ac:dyDescent="0.2">
      <c r="A8" t="s">
        <v>167</v>
      </c>
      <c r="B8" t="s">
        <v>168</v>
      </c>
      <c r="C8" s="107" t="s">
        <v>44</v>
      </c>
      <c r="D8">
        <v>20190725</v>
      </c>
      <c r="E8" s="109">
        <v>44.964027000000002</v>
      </c>
      <c r="F8" s="109">
        <v>44.508935000000001</v>
      </c>
      <c r="G8" s="110">
        <v>43.702688000000002</v>
      </c>
      <c r="H8">
        <v>44.806418000000001</v>
      </c>
      <c r="I8" s="108">
        <v>23.621822000000002</v>
      </c>
      <c r="J8" s="109">
        <v>44.495517</v>
      </c>
      <c r="K8">
        <f t="shared" si="0"/>
        <v>42.319298492837802</v>
      </c>
      <c r="L8">
        <f t="shared" si="1"/>
        <v>44.630907679696037</v>
      </c>
      <c r="M8">
        <f t="shared" si="2"/>
        <v>42.279727328711417</v>
      </c>
      <c r="N8">
        <f t="shared" si="3"/>
        <v>41.413448442319478</v>
      </c>
      <c r="O8">
        <f t="shared" si="4"/>
        <v>44.222264995858154</v>
      </c>
      <c r="P8">
        <f t="shared" si="5"/>
        <v>42.626895266232772</v>
      </c>
      <c r="Q8">
        <f t="shared" ref="Q6:Q16" si="6">AVERAGE(K8:P8)</f>
        <v>42.915423700942618</v>
      </c>
      <c r="R8">
        <v>49.800000000000004</v>
      </c>
      <c r="S8">
        <v>46.1</v>
      </c>
      <c r="T8" s="92"/>
      <c r="U8" s="91"/>
    </row>
    <row r="9" spans="1:21" x14ac:dyDescent="0.2">
      <c r="A9" t="s">
        <v>167</v>
      </c>
      <c r="B9" t="s">
        <v>168</v>
      </c>
      <c r="C9" s="107" t="s">
        <v>45</v>
      </c>
      <c r="D9">
        <v>20191024</v>
      </c>
      <c r="E9" s="109">
        <v>44.988103000000002</v>
      </c>
      <c r="F9" s="109">
        <v>45.238636</v>
      </c>
      <c r="G9" s="110">
        <v>44.353758999999997</v>
      </c>
      <c r="H9">
        <v>44.473844999999997</v>
      </c>
      <c r="I9" s="108">
        <v>22.800677</v>
      </c>
      <c r="J9" s="109">
        <v>44.763585750000004</v>
      </c>
      <c r="K9">
        <f t="shared" si="0"/>
        <v>46.124684257039519</v>
      </c>
      <c r="L9">
        <f t="shared" si="1"/>
        <v>46.855785688873489</v>
      </c>
      <c r="M9">
        <f t="shared" si="2"/>
        <v>46.786785515344043</v>
      </c>
      <c r="N9">
        <f t="shared" si="3"/>
        <v>45.757825463753875</v>
      </c>
      <c r="O9">
        <f t="shared" si="4"/>
        <v>44.497465508799451</v>
      </c>
      <c r="P9">
        <f t="shared" si="5"/>
        <v>46.377735156442846</v>
      </c>
      <c r="Q9">
        <f>AVERAGE(K9:P9)</f>
        <v>46.066713598375536</v>
      </c>
      <c r="R9">
        <v>47.599999999999994</v>
      </c>
      <c r="S9">
        <v>43.7</v>
      </c>
      <c r="T9" s="9"/>
      <c r="U9" s="62"/>
    </row>
    <row r="10" spans="1:21" x14ac:dyDescent="0.2">
      <c r="A10" t="s">
        <v>167</v>
      </c>
      <c r="B10" t="s">
        <v>168</v>
      </c>
      <c r="C10" s="107" t="s">
        <v>46</v>
      </c>
      <c r="D10">
        <v>20200220</v>
      </c>
      <c r="E10" s="109">
        <v>47.733674999999998</v>
      </c>
      <c r="F10" s="109">
        <v>46.914087000000002</v>
      </c>
      <c r="G10" s="110">
        <v>45.829256000000001</v>
      </c>
      <c r="H10">
        <v>47.449668000000003</v>
      </c>
      <c r="I10" s="108">
        <v>22.973905999999999</v>
      </c>
      <c r="J10" s="109">
        <v>46.981671499999997</v>
      </c>
      <c r="K10">
        <f t="shared" si="0"/>
        <v>46.366960560662008</v>
      </c>
      <c r="L10">
        <f t="shared" si="1"/>
        <v>45.318466319364717</v>
      </c>
      <c r="M10">
        <f t="shared" si="2"/>
        <v>45.153748686779863</v>
      </c>
      <c r="N10">
        <f t="shared" si="3"/>
        <v>46.624043673309565</v>
      </c>
      <c r="O10">
        <f t="shared" si="4"/>
        <v>44.032012391561885</v>
      </c>
      <c r="P10">
        <f t="shared" si="5"/>
        <v>45.865383886276355</v>
      </c>
      <c r="Q10">
        <f>AVERAGE(K10:P10)</f>
        <v>45.560102586325733</v>
      </c>
      <c r="R10">
        <v>45.199999999999996</v>
      </c>
      <c r="S10">
        <v>47.1</v>
      </c>
      <c r="T10" s="9"/>
      <c r="U10" s="62"/>
    </row>
    <row r="11" spans="1:21" x14ac:dyDescent="0.2">
      <c r="A11" t="s">
        <v>167</v>
      </c>
      <c r="B11" t="s">
        <v>168</v>
      </c>
      <c r="C11" s="107" t="s">
        <v>47</v>
      </c>
      <c r="D11">
        <v>20200423</v>
      </c>
      <c r="E11" s="109">
        <v>41.138635999999998</v>
      </c>
      <c r="F11" s="109">
        <v>41.111306999999996</v>
      </c>
      <c r="G11" s="110">
        <v>38.575678000000003</v>
      </c>
      <c r="H11">
        <v>38.459152000000003</v>
      </c>
      <c r="I11" s="108">
        <v>18.703285999999999</v>
      </c>
      <c r="J11" s="109">
        <v>39.821193250000007</v>
      </c>
      <c r="K11">
        <f t="shared" si="0"/>
        <v>40.592511588516913</v>
      </c>
      <c r="L11">
        <f t="shared" si="1"/>
        <v>41.274224513843784</v>
      </c>
      <c r="M11">
        <f t="shared" si="2"/>
        <v>39.645296310287044</v>
      </c>
      <c r="N11">
        <f t="shared" si="3"/>
        <v>38.17573727175499</v>
      </c>
      <c r="O11">
        <f t="shared" si="4"/>
        <v>38.344579741903701</v>
      </c>
      <c r="P11">
        <f t="shared" si="5"/>
        <v>39.921487299041722</v>
      </c>
      <c r="Q11">
        <f>AVERAGE(K11:P11)</f>
        <v>39.658972787558028</v>
      </c>
      <c r="R11">
        <v>41</v>
      </c>
      <c r="S11">
        <v>40.200000000000003</v>
      </c>
      <c r="T11" s="9"/>
      <c r="U11" s="62"/>
    </row>
    <row r="12" spans="1:21" x14ac:dyDescent="0.2">
      <c r="A12" t="s">
        <v>167</v>
      </c>
      <c r="B12" t="s">
        <v>168</v>
      </c>
      <c r="C12" s="107" t="s">
        <v>48</v>
      </c>
      <c r="D12">
        <v>20200723</v>
      </c>
      <c r="E12" s="109">
        <v>31.945765999999999</v>
      </c>
      <c r="F12" s="109">
        <v>31.991613999999998</v>
      </c>
      <c r="G12" s="110">
        <v>28.399746</v>
      </c>
      <c r="H12">
        <v>31.961323</v>
      </c>
      <c r="I12" s="108">
        <v>15.146322</v>
      </c>
      <c r="J12" s="109">
        <v>31.074612250000001</v>
      </c>
      <c r="K12">
        <f t="shared" si="0"/>
        <v>31.216878294166101</v>
      </c>
      <c r="L12">
        <f t="shared" si="1"/>
        <v>31.282461606000513</v>
      </c>
      <c r="M12">
        <f t="shared" si="2"/>
        <v>29.595585830014443</v>
      </c>
      <c r="N12">
        <f t="shared" si="3"/>
        <v>33.408047702143826</v>
      </c>
      <c r="O12">
        <f t="shared" si="4"/>
        <v>32.554821885309359</v>
      </c>
      <c r="P12">
        <f t="shared" si="5"/>
        <v>31.370215468116339</v>
      </c>
      <c r="Q12">
        <f>AVERAGE(K12:P12)</f>
        <v>31.571335130958431</v>
      </c>
      <c r="R12">
        <v>26.300000000000004</v>
      </c>
      <c r="S12">
        <v>28.3</v>
      </c>
      <c r="T12" s="9"/>
      <c r="U12" s="62"/>
    </row>
    <row r="13" spans="1:21" x14ac:dyDescent="0.2">
      <c r="A13" t="s">
        <v>167</v>
      </c>
      <c r="B13" t="s">
        <v>168</v>
      </c>
      <c r="C13" s="107" t="s">
        <v>49</v>
      </c>
      <c r="D13">
        <v>20201022</v>
      </c>
      <c r="E13" s="109">
        <v>37.444094</v>
      </c>
      <c r="F13" s="109">
        <v>38.286704999999998</v>
      </c>
      <c r="G13" s="110">
        <v>35.873238999999998</v>
      </c>
      <c r="H13">
        <v>38.952632000000001</v>
      </c>
      <c r="I13" s="108">
        <v>19.331610999999999</v>
      </c>
      <c r="J13" s="109">
        <v>37.639167499999999</v>
      </c>
      <c r="K13">
        <f t="shared" si="0"/>
        <v>33.170838983795221</v>
      </c>
      <c r="L13">
        <f t="shared" si="1"/>
        <v>33.868680445444234</v>
      </c>
      <c r="M13">
        <f t="shared" si="2"/>
        <v>35.747244489440149</v>
      </c>
      <c r="N13">
        <f t="shared" si="3"/>
        <v>34.490420987892151</v>
      </c>
      <c r="O13">
        <f t="shared" si="4"/>
        <v>36.119963070902628</v>
      </c>
      <c r="P13">
        <f t="shared" si="5"/>
        <v>34.278414535968984</v>
      </c>
      <c r="Q13">
        <f>AVERAGE(K13:P13)</f>
        <v>34.612593752240556</v>
      </c>
      <c r="R13">
        <v>34.5</v>
      </c>
      <c r="S13">
        <v>36.700000000000003</v>
      </c>
      <c r="T13" s="9"/>
      <c r="U13" s="62"/>
    </row>
    <row r="14" spans="1:21" x14ac:dyDescent="0.2">
      <c r="A14" t="s">
        <v>167</v>
      </c>
      <c r="B14" t="s">
        <v>168</v>
      </c>
      <c r="C14" s="107" t="s">
        <v>50</v>
      </c>
      <c r="D14">
        <v>20210218</v>
      </c>
      <c r="E14" s="109">
        <v>39.571232000000002</v>
      </c>
      <c r="F14" s="109">
        <v>39.599094999999998</v>
      </c>
      <c r="G14" s="110">
        <v>40.217525999999999</v>
      </c>
      <c r="H14">
        <v>42.287768</v>
      </c>
      <c r="I14" s="108">
        <v>20.678138000000001</v>
      </c>
      <c r="J14" s="109">
        <v>40.418905250000002</v>
      </c>
      <c r="K14">
        <f t="shared" si="0"/>
        <v>38.784867231665437</v>
      </c>
      <c r="L14">
        <f t="shared" si="1"/>
        <v>37.958000995384694</v>
      </c>
      <c r="M14">
        <f t="shared" si="2"/>
        <v>41.144408627277848</v>
      </c>
      <c r="N14">
        <f t="shared" si="3"/>
        <v>39.842264974546524</v>
      </c>
      <c r="O14">
        <f t="shared" si="4"/>
        <v>39.256307433457046</v>
      </c>
      <c r="P14">
        <f t="shared" si="5"/>
        <v>39.410378103474265</v>
      </c>
      <c r="Q14">
        <f t="shared" si="6"/>
        <v>39.399371227634305</v>
      </c>
      <c r="R14">
        <v>41.7</v>
      </c>
      <c r="S14">
        <v>39.799999999999997</v>
      </c>
      <c r="T14" s="9"/>
      <c r="U14" s="62"/>
    </row>
    <row r="15" spans="1:21" x14ac:dyDescent="0.2">
      <c r="A15" t="s">
        <v>167</v>
      </c>
      <c r="B15" t="s">
        <v>168</v>
      </c>
      <c r="C15" s="107" t="s">
        <v>51</v>
      </c>
      <c r="D15">
        <v>20210422</v>
      </c>
      <c r="E15" s="109">
        <v>42.067765999999999</v>
      </c>
      <c r="F15" s="109">
        <v>40.921716000000004</v>
      </c>
      <c r="G15" s="110">
        <v>39.141880999999998</v>
      </c>
      <c r="H15">
        <v>42.570017999999997</v>
      </c>
      <c r="I15" s="108">
        <v>23.433758999999998</v>
      </c>
      <c r="J15" s="109">
        <v>41.175345249999999</v>
      </c>
      <c r="K15">
        <f t="shared" si="0"/>
        <v>42.310966886247058</v>
      </c>
      <c r="L15">
        <f t="shared" si="1"/>
        <v>41.1293312839599</v>
      </c>
      <c r="M15">
        <f t="shared" si="2"/>
        <v>38.735522015948959</v>
      </c>
      <c r="N15">
        <f t="shared" si="3"/>
        <v>40.065645375277306</v>
      </c>
      <c r="O15">
        <f t="shared" si="4"/>
        <v>45.103848721775613</v>
      </c>
      <c r="P15">
        <f t="shared" si="5"/>
        <v>40.544857185363767</v>
      </c>
      <c r="Q15">
        <f t="shared" si="6"/>
        <v>41.315028578095429</v>
      </c>
      <c r="R15">
        <v>35.5</v>
      </c>
      <c r="S15">
        <v>38.4</v>
      </c>
      <c r="T15" s="9"/>
      <c r="U15" s="62"/>
    </row>
    <row r="16" spans="1:21" x14ac:dyDescent="0.2">
      <c r="A16" t="s">
        <v>167</v>
      </c>
      <c r="B16" t="s">
        <v>168</v>
      </c>
      <c r="C16" s="107" t="s">
        <v>52</v>
      </c>
      <c r="D16">
        <v>20210722</v>
      </c>
      <c r="E16" s="109">
        <v>42.366332999999997</v>
      </c>
      <c r="F16" s="109">
        <v>42.060003000000002</v>
      </c>
      <c r="G16" s="110">
        <v>42.851410999999999</v>
      </c>
      <c r="H16">
        <v>37.228096999999998</v>
      </c>
      <c r="I16" s="108">
        <v>20.317976999999999</v>
      </c>
      <c r="J16" s="109">
        <v>41.126460999999999</v>
      </c>
      <c r="K16">
        <f t="shared" si="0"/>
        <v>38.672535812812121</v>
      </c>
      <c r="L16">
        <f t="shared" si="1"/>
        <v>39.468142421006974</v>
      </c>
      <c r="M16">
        <f t="shared" si="2"/>
        <v>42.039220915315745</v>
      </c>
      <c r="N16">
        <f t="shared" si="3"/>
        <v>33.581355892308999</v>
      </c>
      <c r="O16">
        <f t="shared" si="4"/>
        <v>33.294287817844328</v>
      </c>
      <c r="P16">
        <f t="shared" si="5"/>
        <v>38.354410699203548</v>
      </c>
      <c r="Q16">
        <f t="shared" si="6"/>
        <v>37.568325593081958</v>
      </c>
      <c r="R16">
        <v>34.5</v>
      </c>
      <c r="S16">
        <v>39.6</v>
      </c>
      <c r="T16" s="9"/>
      <c r="U16" s="62"/>
    </row>
    <row r="17" spans="1:21" x14ac:dyDescent="0.2">
      <c r="A17" t="s">
        <v>167</v>
      </c>
      <c r="B17" t="s">
        <v>168</v>
      </c>
      <c r="C17" s="107" t="s">
        <v>52</v>
      </c>
      <c r="D17">
        <v>20210722</v>
      </c>
      <c r="E17">
        <v>38.802387000000003</v>
      </c>
      <c r="F17">
        <v>38.257835</v>
      </c>
      <c r="G17">
        <v>35.478422000000002</v>
      </c>
      <c r="H17">
        <v>35.689587000000003</v>
      </c>
      <c r="I17">
        <v>17.493105</v>
      </c>
      <c r="J17" s="109">
        <f>AVERAGE(E17:H17)</f>
        <v>37.057057749999998</v>
      </c>
      <c r="K17">
        <f t="shared" ref="K17" si="7">(E17/E16)*$S16</f>
        <v>36.268763813002181</v>
      </c>
      <c r="L17">
        <f t="shared" ref="L17" si="8">(F17/F16)*$S16</f>
        <v>36.020212980013341</v>
      </c>
      <c r="M17">
        <f t="shared" ref="M17" si="9">(G17/G16)*$S16</f>
        <v>32.786446896696127</v>
      </c>
      <c r="N17">
        <f t="shared" ref="N17" si="10">(H17/H16)*$S16</f>
        <v>37.963467356389458</v>
      </c>
      <c r="O17">
        <f t="shared" ref="O17" si="11">(I17/I16)*$S16</f>
        <v>34.094287930338737</v>
      </c>
      <c r="P17">
        <f t="shared" ref="P17" si="12">(J17/J16)*$S16</f>
        <v>35.681637836525738</v>
      </c>
      <c r="Q17">
        <f t="shared" ref="Q17" si="13">AVERAGE(K17:P17)</f>
        <v>35.46913613549426</v>
      </c>
      <c r="R17">
        <f>'1. Data &amp; Confidence Interval'!AF14</f>
        <v>36.1</v>
      </c>
      <c r="T17" s="6"/>
      <c r="U17" s="62"/>
    </row>
    <row r="18" spans="1:21" x14ac:dyDescent="0.2">
      <c r="A18" s="164" t="s">
        <v>165</v>
      </c>
      <c r="B18" s="165"/>
      <c r="C18" s="165"/>
      <c r="D18" s="165"/>
      <c r="E18" s="103">
        <f>CORREL(E6:E16,$S6:$S16)</f>
        <v>0.95726706796576033</v>
      </c>
      <c r="F18" s="103">
        <f>CORREL(F6:F16,$S6:$S16)</f>
        <v>0.96808913048084322</v>
      </c>
      <c r="G18" s="104">
        <f>CORREL(G6:G16,$S6:$S16)</f>
        <v>0.95661661694006783</v>
      </c>
      <c r="H18" s="103">
        <f>CORREL(H6:H16,$S6:$S16)</f>
        <v>0.86178942566343164</v>
      </c>
      <c r="I18" s="103">
        <f>CORREL(I6:I16,$S6:$S16)</f>
        <v>0.84209462210203523</v>
      </c>
      <c r="J18" s="104">
        <f>CORREL(J6:J16,$S6:$S16)</f>
        <v>0.97084268611853608</v>
      </c>
      <c r="K18" s="103">
        <f>CORREL(K6:K16,$S6:$S16)</f>
        <v>0.86701209903658716</v>
      </c>
      <c r="L18" s="103">
        <f>CORREL(L6:L16,$S6:$S16)</f>
        <v>0.90933132476895284</v>
      </c>
      <c r="M18" s="103">
        <f>CORREL(M6:M16,$S6:$S16)</f>
        <v>0.92362359386887094</v>
      </c>
      <c r="N18" s="103">
        <f>CORREL(N6:N16,$S6:$S16)</f>
        <v>0.72719944679137516</v>
      </c>
      <c r="O18" s="103">
        <f>CORREL(O6:O16,$S6:$S16)</f>
        <v>0.72563406865816638</v>
      </c>
      <c r="P18" s="103">
        <f>CORREL(P6:P16,$S6:$S16)</f>
        <v>0.89528797194043674</v>
      </c>
      <c r="Q18" s="103">
        <f>CORREL(Q6:Q16,$S6:$S16)</f>
        <v>0.88221089264134933</v>
      </c>
      <c r="R18" s="103">
        <f>CORREL(R6:R16,$S6:$S16)</f>
        <v>0.93257272306556516</v>
      </c>
      <c r="S18" s="5"/>
    </row>
    <row r="20" spans="1:21" x14ac:dyDescent="0.2">
      <c r="A20" s="167" t="s">
        <v>73</v>
      </c>
      <c r="B20" s="168"/>
    </row>
    <row r="21" spans="1:21" x14ac:dyDescent="0.2">
      <c r="A21" s="17" t="s">
        <v>53</v>
      </c>
      <c r="B21" s="17" t="s">
        <v>54</v>
      </c>
      <c r="C21" s="17" t="s">
        <v>65</v>
      </c>
      <c r="D21" s="17" t="s">
        <v>55</v>
      </c>
      <c r="E21" s="17" t="s">
        <v>56</v>
      </c>
      <c r="F21" s="17" t="s">
        <v>66</v>
      </c>
      <c r="G21" s="17" t="s">
        <v>57</v>
      </c>
      <c r="H21" s="17" t="s">
        <v>58</v>
      </c>
      <c r="I21" s="17" t="s">
        <v>67</v>
      </c>
      <c r="J21" s="17" t="s">
        <v>59</v>
      </c>
      <c r="K21" s="17" t="s">
        <v>60</v>
      </c>
      <c r="L21" s="17" t="s">
        <v>70</v>
      </c>
      <c r="M21" s="17" t="s">
        <v>61</v>
      </c>
      <c r="N21" s="17" t="s">
        <v>62</v>
      </c>
      <c r="O21" s="17" t="s">
        <v>71</v>
      </c>
      <c r="P21" s="17" t="s">
        <v>63</v>
      </c>
      <c r="Q21" s="17" t="s">
        <v>64</v>
      </c>
      <c r="R21" s="17" t="s">
        <v>0</v>
      </c>
    </row>
    <row r="22" spans="1:21" x14ac:dyDescent="0.2">
      <c r="A22" s="9" t="str">
        <f>A6</f>
        <v>LIVN_CARDIO</v>
      </c>
      <c r="B22" s="9" t="str">
        <f>B6</f>
        <v>CARDIOVASCULAR</v>
      </c>
      <c r="C22" s="9" t="str">
        <f>C6</f>
        <v>2018Q4</v>
      </c>
      <c r="D22" s="9">
        <f>D6</f>
        <v>20190221</v>
      </c>
      <c r="E22" s="18">
        <f>$S6/E6-1</f>
        <v>1.4112991631782146E-2</v>
      </c>
      <c r="F22" s="18">
        <f>$S6/F6-1</f>
        <v>4.4438449266833713E-2</v>
      </c>
      <c r="G22" s="18">
        <f>$S6/G6-1</f>
        <v>-2.1049583391689053E-2</v>
      </c>
      <c r="H22" s="18">
        <f>$S6/H6-1</f>
        <v>9.2386368604454816E-2</v>
      </c>
      <c r="I22" s="18">
        <f>$S6/I6-1</f>
        <v>1.0943194998218688</v>
      </c>
      <c r="J22" s="18">
        <f>$S6/J6-1</f>
        <v>3.0804315262827675E-2</v>
      </c>
      <c r="K22" s="18"/>
      <c r="L22" s="18"/>
      <c r="M22" s="18"/>
      <c r="N22" s="18"/>
      <c r="O22" s="18"/>
      <c r="P22" s="18"/>
      <c r="Q22" s="18"/>
      <c r="R22" s="40">
        <f>$S6/R6-1</f>
        <v>-9.6267190569744532E-2</v>
      </c>
    </row>
    <row r="23" spans="1:21" x14ac:dyDescent="0.2">
      <c r="A23" s="9" t="str">
        <f>A7</f>
        <v>LIVN_CARDIO</v>
      </c>
      <c r="B23" s="9" t="str">
        <f>B7</f>
        <v>CARDIOVASCULAR</v>
      </c>
      <c r="C23" s="9" t="str">
        <f>C7</f>
        <v>2019Q1</v>
      </c>
      <c r="D23" s="9">
        <f>D7</f>
        <v>20190425</v>
      </c>
      <c r="E23" s="18">
        <f>$S7/E7-1</f>
        <v>-5.881876432380484E-2</v>
      </c>
      <c r="F23" s="18">
        <f>$S7/F7-1</f>
        <v>2.7404088571438834E-3</v>
      </c>
      <c r="G23" s="18">
        <f>$S7/G7-1</f>
        <v>-3.2560026314367274E-2</v>
      </c>
      <c r="H23" s="18">
        <f>$S7/H7-1</f>
        <v>-7.5725079333066159E-2</v>
      </c>
      <c r="I23" s="18">
        <f>$S7/I7-1</f>
        <v>0.87209373586246453</v>
      </c>
      <c r="J23" s="18">
        <f>$S7/J7-1</f>
        <v>-4.1995730351155003E-2</v>
      </c>
      <c r="K23" s="18">
        <f>$S7/K7-1</f>
        <v>-7.1916794831939246E-2</v>
      </c>
      <c r="L23" s="18">
        <f>$S7/L7-1</f>
        <v>-3.9923884877046456E-2</v>
      </c>
      <c r="M23" s="18">
        <f>$S7/M7-1</f>
        <v>-1.175794271844488E-2</v>
      </c>
      <c r="N23" s="18">
        <f>$S7/N7-1</f>
        <v>-0.15389376210569783</v>
      </c>
      <c r="O23" s="18">
        <f>$S7/O7-1</f>
        <v>-0.10610881671984895</v>
      </c>
      <c r="P23" s="18">
        <f>$S7/P7-1</f>
        <v>-7.0624506063908465E-2</v>
      </c>
      <c r="Q23" s="18">
        <f>$S7/Q7-1</f>
        <v>-7.7994299502053055E-2</v>
      </c>
      <c r="R23" s="40">
        <f>$S7/R7-1</f>
        <v>-2.9017857142857095E-2</v>
      </c>
    </row>
    <row r="24" spans="1:21" x14ac:dyDescent="0.2">
      <c r="A24" s="9" t="str">
        <f>A8</f>
        <v>LIVN_CARDIO</v>
      </c>
      <c r="B24" s="9" t="str">
        <f>B8</f>
        <v>CARDIOVASCULAR</v>
      </c>
      <c r="C24" s="9" t="str">
        <f>C8</f>
        <v>2019Q2</v>
      </c>
      <c r="D24" s="9">
        <f>D8</f>
        <v>20190725</v>
      </c>
      <c r="E24" s="18">
        <f>$S8/E8-1</f>
        <v>2.5264040518434783E-2</v>
      </c>
      <c r="F24" s="18">
        <f>$S8/F8-1</f>
        <v>3.5747092128805225E-2</v>
      </c>
      <c r="G24" s="18">
        <f>$S8/G8-1</f>
        <v>5.4855024020490362E-2</v>
      </c>
      <c r="H24" s="18">
        <f>$S8/H8-1</f>
        <v>2.8870462262794661E-2</v>
      </c>
      <c r="I24" s="18">
        <f>$S8/I8-1</f>
        <v>0.95158527568279871</v>
      </c>
      <c r="J24" s="18">
        <f>$S8/J8-1</f>
        <v>3.6059430436554019E-2</v>
      </c>
      <c r="K24" s="18">
        <f>$S8/K8-1</f>
        <v>8.9337527837377806E-2</v>
      </c>
      <c r="L24" s="18">
        <f>$S8/L8-1</f>
        <v>3.291647866198999E-2</v>
      </c>
      <c r="M24" s="18">
        <f>$S8/M8-1</f>
        <v>9.0357079211679459E-2</v>
      </c>
      <c r="N24" s="18">
        <f>$S8/N8-1</f>
        <v>0.11316496775698215</v>
      </c>
      <c r="O24" s="18">
        <f>$S8/O8-1</f>
        <v>4.2461303244366144E-2</v>
      </c>
      <c r="P24" s="18">
        <f>$S8/P8-1</f>
        <v>8.1476840198551281E-2</v>
      </c>
      <c r="Q24" s="18">
        <f>$S8/Q8-1</f>
        <v>7.4205868762923011E-2</v>
      </c>
      <c r="R24" s="40">
        <f>$S8/R8-1</f>
        <v>-7.4297188755020116E-2</v>
      </c>
    </row>
    <row r="25" spans="1:21" x14ac:dyDescent="0.2">
      <c r="A25" s="9" t="str">
        <f>A9</f>
        <v>LIVN_CARDIO</v>
      </c>
      <c r="B25" s="9" t="str">
        <f>B9</f>
        <v>CARDIOVASCULAR</v>
      </c>
      <c r="C25" s="9" t="str">
        <f>C9</f>
        <v>2019Q3</v>
      </c>
      <c r="D25" s="9">
        <f>D9</f>
        <v>20191024</v>
      </c>
      <c r="E25" s="18">
        <f>$S9/E9-1</f>
        <v>-2.863208079700541E-2</v>
      </c>
      <c r="F25" s="18">
        <f>$S9/F9-1</f>
        <v>-3.4011547120916696E-2</v>
      </c>
      <c r="G25" s="18">
        <f>$S9/G9-1</f>
        <v>-1.4739652618845578E-2</v>
      </c>
      <c r="H25" s="18">
        <f>$S9/H9-1</f>
        <v>-1.7400002181057084E-2</v>
      </c>
      <c r="I25" s="18">
        <f>$S9/I9-1</f>
        <v>0.91660975680678258</v>
      </c>
      <c r="J25" s="18">
        <f>$S9/J9-1</f>
        <v>-2.3760065959416599E-2</v>
      </c>
      <c r="K25" s="18">
        <f>$S9/K9-1</f>
        <v>-5.2568040217412682E-2</v>
      </c>
      <c r="L25" s="18">
        <f>$S9/L9-1</f>
        <v>-6.7351035576015739E-2</v>
      </c>
      <c r="M25" s="18">
        <f>$S9/M9-1</f>
        <v>-6.5975584373748175E-2</v>
      </c>
      <c r="N25" s="18">
        <f>$S9/N9-1</f>
        <v>-4.4972099152393863E-2</v>
      </c>
      <c r="O25" s="18">
        <f>$S9/O9-1</f>
        <v>-1.7921593953294845E-2</v>
      </c>
      <c r="P25" s="18">
        <f>$S9/P9-1</f>
        <v>-5.773751450799014E-2</v>
      </c>
      <c r="Q25" s="18">
        <f>$S9/Q9-1</f>
        <v>-5.1375785540277663E-2</v>
      </c>
      <c r="R25" s="40">
        <f>$S9/R9-1</f>
        <v>-8.1932773109243517E-2</v>
      </c>
    </row>
    <row r="26" spans="1:21" x14ac:dyDescent="0.2">
      <c r="A26" s="9" t="str">
        <f>A10</f>
        <v>LIVN_CARDIO</v>
      </c>
      <c r="B26" s="9" t="str">
        <f>B10</f>
        <v>CARDIOVASCULAR</v>
      </c>
      <c r="C26" s="9" t="str">
        <f>C10</f>
        <v>2019Q4</v>
      </c>
      <c r="D26" s="9">
        <f>D10</f>
        <v>20200220</v>
      </c>
      <c r="E26" s="18">
        <f>$S10/E10-1</f>
        <v>-1.327521922416397E-2</v>
      </c>
      <c r="F26" s="18">
        <f>$S10/F10-1</f>
        <v>3.9628395624538015E-3</v>
      </c>
      <c r="G26" s="18">
        <f>$S10/G10-1</f>
        <v>2.7727790300588806E-2</v>
      </c>
      <c r="H26" s="18">
        <f>$S10/H10-1</f>
        <v>-7.3692401809850594E-3</v>
      </c>
      <c r="I26" s="18">
        <f>$S10/I10-1</f>
        <v>1.0501520290019468</v>
      </c>
      <c r="J26" s="18">
        <f>$S10/J10-1</f>
        <v>2.5186098370297838E-3</v>
      </c>
      <c r="K26" s="18">
        <f>$S10/K10-1</f>
        <v>1.580952105711031E-2</v>
      </c>
      <c r="L26" s="18">
        <f>$S10/L10-1</f>
        <v>3.9311429210348914E-2</v>
      </c>
      <c r="M26" s="18">
        <f>$S10/M10-1</f>
        <v>4.3102762668074224E-2</v>
      </c>
      <c r="N26" s="18">
        <f>$S10/N10-1</f>
        <v>1.0208387973068556E-2</v>
      </c>
      <c r="O26" s="18">
        <f>$S10/O10-1</f>
        <v>6.9676297807048426E-2</v>
      </c>
      <c r="P26" s="18">
        <f>$S10/P10-1</f>
        <v>2.6918255318322259E-2</v>
      </c>
      <c r="Q26" s="18">
        <f>$S10/Q10-1</f>
        <v>3.379925255340499E-2</v>
      </c>
      <c r="R26" s="40">
        <f>$S10/R10-1</f>
        <v>4.2035398230088727E-2</v>
      </c>
    </row>
    <row r="27" spans="1:21" x14ac:dyDescent="0.2">
      <c r="A27" s="9" t="str">
        <f>A11</f>
        <v>LIVN_CARDIO</v>
      </c>
      <c r="B27" s="9" t="str">
        <f>B11</f>
        <v>CARDIOVASCULAR</v>
      </c>
      <c r="C27" s="9" t="str">
        <f>C11</f>
        <v>2020Q1</v>
      </c>
      <c r="D27" s="9">
        <f>D11</f>
        <v>20200423</v>
      </c>
      <c r="E27" s="18">
        <f>$S11/E11-1</f>
        <v>-2.281641034476678E-2</v>
      </c>
      <c r="F27" s="18">
        <f>$S11/F11-1</f>
        <v>-2.2166821405118387E-2</v>
      </c>
      <c r="G27" s="18">
        <f>$S11/G11-1</f>
        <v>4.210741286258135E-2</v>
      </c>
      <c r="H27" s="18">
        <f>$S11/H11-1</f>
        <v>4.5264856593821845E-2</v>
      </c>
      <c r="I27" s="18">
        <f>$S11/I11-1</f>
        <v>1.1493549315344911</v>
      </c>
      <c r="J27" s="18">
        <f>$S11/J11-1</f>
        <v>9.5126920889041511E-3</v>
      </c>
      <c r="K27" s="18">
        <f>$S11/K11-1</f>
        <v>-9.6695566043256687E-3</v>
      </c>
      <c r="L27" s="18">
        <f>$S11/L11-1</f>
        <v>-2.6026522036373456E-2</v>
      </c>
      <c r="M27" s="18">
        <f>$S11/M11-1</f>
        <v>1.399166461946777E-2</v>
      </c>
      <c r="N27" s="18">
        <f>$S11/N11-1</f>
        <v>5.3024849627270942E-2</v>
      </c>
      <c r="O27" s="18">
        <f>$S11/O11-1</f>
        <v>4.8388071288956169E-2</v>
      </c>
      <c r="P27" s="18">
        <f>$S11/P11-1</f>
        <v>6.9765111422832593E-3</v>
      </c>
      <c r="Q27" s="18">
        <f>$S11/Q11-1</f>
        <v>1.3641987535585098E-2</v>
      </c>
      <c r="R27" s="40">
        <f>$S11/R11-1</f>
        <v>-1.9512195121951126E-2</v>
      </c>
    </row>
    <row r="28" spans="1:21" x14ac:dyDescent="0.2">
      <c r="A28" s="9" t="str">
        <f>A12</f>
        <v>LIVN_CARDIO</v>
      </c>
      <c r="B28" s="9" t="str">
        <f>B12</f>
        <v>CARDIOVASCULAR</v>
      </c>
      <c r="C28" s="9" t="str">
        <f>C12</f>
        <v>2020Q2</v>
      </c>
      <c r="D28" s="9">
        <f>D12</f>
        <v>20200723</v>
      </c>
      <c r="E28" s="18">
        <f>$S12/E12-1</f>
        <v>-0.11412360561333845</v>
      </c>
      <c r="F28" s="18">
        <f>$S12/F12-1</f>
        <v>-0.11539317772463742</v>
      </c>
      <c r="G28" s="18">
        <f>$S12/G12-1</f>
        <v>-3.5122145106508684E-3</v>
      </c>
      <c r="H28" s="18">
        <f>$S12/H12-1</f>
        <v>-0.11455480112634886</v>
      </c>
      <c r="I28" s="18">
        <f>$S12/I12-1</f>
        <v>0.86844040421166291</v>
      </c>
      <c r="J28" s="18">
        <f>$S12/J12-1</f>
        <v>-8.9288716707961457E-2</v>
      </c>
      <c r="K28" s="18">
        <f>$S12/K12-1</f>
        <v>-9.3439141053101804E-2</v>
      </c>
      <c r="L28" s="18">
        <f>$S12/L12-1</f>
        <v>-9.5339735202565556E-2</v>
      </c>
      <c r="M28" s="18">
        <f>$S12/M12-1</f>
        <v>-4.377631980173613E-2</v>
      </c>
      <c r="N28" s="18">
        <f>$S12/N12-1</f>
        <v>-0.15289871912557274</v>
      </c>
      <c r="O28" s="18">
        <f>$S12/O12-1</f>
        <v>-0.13069713298690733</v>
      </c>
      <c r="P28" s="18">
        <f>$S12/P12-1</f>
        <v>-9.7870397837617751E-2</v>
      </c>
      <c r="Q28" s="18">
        <f>$S12/Q12-1</f>
        <v>-0.10361725652047582</v>
      </c>
      <c r="R28" s="40">
        <f>$S12/R12-1</f>
        <v>7.6045627376425617E-2</v>
      </c>
    </row>
    <row r="29" spans="1:21" x14ac:dyDescent="0.2">
      <c r="A29" s="9" t="str">
        <f>A13</f>
        <v>LIVN_CARDIO</v>
      </c>
      <c r="B29" s="9" t="str">
        <f>B13</f>
        <v>CARDIOVASCULAR</v>
      </c>
      <c r="C29" s="9" t="str">
        <f>C13</f>
        <v>2020Q3</v>
      </c>
      <c r="D29" s="9">
        <f>D13</f>
        <v>20201022</v>
      </c>
      <c r="E29" s="18">
        <f>$S13/E13-1</f>
        <v>-1.9872132571828183E-2</v>
      </c>
      <c r="F29" s="18">
        <f>$S13/F13-1</f>
        <v>-4.144271490586604E-2</v>
      </c>
      <c r="G29" s="18">
        <f>$S13/G13-1</f>
        <v>2.3046734084982035E-2</v>
      </c>
      <c r="H29" s="18">
        <f>$S13/H13-1</f>
        <v>-5.7830033154113947E-2</v>
      </c>
      <c r="I29" s="18">
        <f>$S13/I13-1</f>
        <v>0.89844498733188893</v>
      </c>
      <c r="J29" s="18">
        <f>$S13/J13-1</f>
        <v>-2.4951866961457014E-2</v>
      </c>
      <c r="K29" s="18">
        <f>$S13/K13-1</f>
        <v>0.10639348066923682</v>
      </c>
      <c r="L29" s="18">
        <f>$S13/L13-1</f>
        <v>8.3596984509522576E-2</v>
      </c>
      <c r="M29" s="18">
        <f>$S13/M13-1</f>
        <v>2.6652558096927015E-2</v>
      </c>
      <c r="N29" s="18">
        <f>$S13/N13-1</f>
        <v>6.406355587493473E-2</v>
      </c>
      <c r="O29" s="18">
        <f>$S13/O13-1</f>
        <v>1.6058624643629171E-2</v>
      </c>
      <c r="P29" s="18">
        <f>$S13/P13-1</f>
        <v>7.0644616934951943E-2</v>
      </c>
      <c r="Q29" s="18">
        <f>$S13/Q13-1</f>
        <v>6.0307709462666947E-2</v>
      </c>
      <c r="R29" s="40">
        <f>$S13/R13-1</f>
        <v>6.3768115942029135E-2</v>
      </c>
    </row>
    <row r="30" spans="1:21" x14ac:dyDescent="0.2">
      <c r="A30" s="9" t="str">
        <f>A14</f>
        <v>LIVN_CARDIO</v>
      </c>
      <c r="B30" s="9" t="str">
        <f>B14</f>
        <v>CARDIOVASCULAR</v>
      </c>
      <c r="C30" s="9" t="str">
        <f>C14</f>
        <v>2020Q4</v>
      </c>
      <c r="D30" s="9">
        <f>D14</f>
        <v>20210218</v>
      </c>
      <c r="E30" s="18">
        <f>$S14/E14-1</f>
        <v>5.7811695122353957E-3</v>
      </c>
      <c r="F30" s="18">
        <f>$S14/F14-1</f>
        <v>5.0734745326881381E-3</v>
      </c>
      <c r="G30" s="18">
        <f>$S14/G14-1</f>
        <v>-1.0381692797314379E-2</v>
      </c>
      <c r="H30" s="18">
        <f>$S14/H14-1</f>
        <v>-5.8829494145919536E-2</v>
      </c>
      <c r="I30" s="18">
        <f>$S14/I14-1</f>
        <v>0.92473809779197702</v>
      </c>
      <c r="J30" s="18">
        <f>$S14/J14-1</f>
        <v>-1.5312271477219253E-2</v>
      </c>
      <c r="K30" s="18">
        <f>$S14/K14-1</f>
        <v>2.617342383231791E-2</v>
      </c>
      <c r="L30" s="18">
        <f>$S14/L14-1</f>
        <v>4.8527292173243586E-2</v>
      </c>
      <c r="M30" s="18">
        <f>$S14/M14-1</f>
        <v>-3.2675366401706762E-2</v>
      </c>
      <c r="N30" s="18">
        <f>$S14/N14-1</f>
        <v>-1.0608075262168448E-3</v>
      </c>
      <c r="O30" s="18">
        <f>$S14/O14-1</f>
        <v>1.3849814261429394E-2</v>
      </c>
      <c r="P30" s="18">
        <f>$S14/P14-1</f>
        <v>9.8862765412388587E-3</v>
      </c>
      <c r="Q30" s="18">
        <f>$S14/Q14-1</f>
        <v>1.0168405227865662E-2</v>
      </c>
      <c r="R30" s="40">
        <f>$S14/R14-1</f>
        <v>-4.5563549160671624E-2</v>
      </c>
    </row>
    <row r="31" spans="1:21" x14ac:dyDescent="0.2">
      <c r="A31" s="9" t="str">
        <f>A15</f>
        <v>LIVN_CARDIO</v>
      </c>
      <c r="B31" s="9" t="str">
        <f>B15</f>
        <v>CARDIOVASCULAR</v>
      </c>
      <c r="C31" s="9" t="str">
        <f>C15</f>
        <v>2021Q1</v>
      </c>
      <c r="D31" s="9">
        <f>D15</f>
        <v>20210422</v>
      </c>
      <c r="E31" s="18">
        <f>$S15/E15-1</f>
        <v>-8.7187087614778558E-2</v>
      </c>
      <c r="F31" s="18">
        <f>$S15/F15-1</f>
        <v>-6.1622929009135463E-2</v>
      </c>
      <c r="G31" s="18">
        <f>$S15/G15-1</f>
        <v>-1.8953636898543569E-2</v>
      </c>
      <c r="H31" s="18">
        <f>$S15/H15-1</f>
        <v>-9.7956688672295122E-2</v>
      </c>
      <c r="I31" s="18">
        <f>$S15/I15-1</f>
        <v>0.63866155660301871</v>
      </c>
      <c r="J31" s="18">
        <f>$S15/J15-1</f>
        <v>-6.7403083887924486E-2</v>
      </c>
      <c r="K31" s="18">
        <f>$S15/K15-1</f>
        <v>-9.2433881191174017E-2</v>
      </c>
      <c r="L31" s="18">
        <f>$S15/L15-1</f>
        <v>-6.6359729146005297E-2</v>
      </c>
      <c r="M31" s="18">
        <f>$S15/M15-1</f>
        <v>-8.6618689638624513E-3</v>
      </c>
      <c r="N31" s="18">
        <f>$S15/N15-1</f>
        <v>-4.1572907653825042E-2</v>
      </c>
      <c r="O31" s="18">
        <f>$S15/O15-1</f>
        <v>-0.14863141199165719</v>
      </c>
      <c r="P31" s="18">
        <f>$S15/P15-1</f>
        <v>-5.2900844503110944E-2</v>
      </c>
      <c r="Q31" s="18">
        <f>$S15/Q15-1</f>
        <v>-7.0556131229228547E-2</v>
      </c>
      <c r="R31" s="40">
        <f>$S15/R15-1</f>
        <v>8.1690140845070314E-2</v>
      </c>
    </row>
    <row r="32" spans="1:21" x14ac:dyDescent="0.2">
      <c r="A32" s="9" t="str">
        <f>A16</f>
        <v>LIVN_CARDIO</v>
      </c>
      <c r="B32" s="9" t="str">
        <f>B16</f>
        <v>CARDIOVASCULAR</v>
      </c>
      <c r="C32" s="9" t="str">
        <f>C16</f>
        <v>2021Q2</v>
      </c>
      <c r="D32" s="9">
        <f>D16</f>
        <v>20210722</v>
      </c>
      <c r="E32" s="18">
        <f>$S16/E16-1</f>
        <v>-6.5295549652597873E-2</v>
      </c>
      <c r="F32" s="18">
        <f>$S16/F16-1</f>
        <v>-5.8487941619975614E-2</v>
      </c>
      <c r="G32" s="18">
        <f>$S16/G16-1</f>
        <v>-7.5876404629943162E-2</v>
      </c>
      <c r="H32" s="18">
        <f>$S16/H16-1</f>
        <v>6.3712711396448851E-2</v>
      </c>
      <c r="I32" s="18">
        <f>$S16/I16-1</f>
        <v>0.94901293568744571</v>
      </c>
      <c r="J32" s="18">
        <f>$S16/J16-1</f>
        <v>-3.7116274118504822E-2</v>
      </c>
      <c r="K32" s="18">
        <f>$S16/K16-1</f>
        <v>2.3982502509716896E-2</v>
      </c>
      <c r="L32" s="18">
        <f>$S16/L16-1</f>
        <v>3.3408610313225839E-3</v>
      </c>
      <c r="M32" s="18">
        <f>$S16/M16-1</f>
        <v>-5.8022505227424137E-2</v>
      </c>
      <c r="N32" s="18">
        <f>$S16/N16-1</f>
        <v>0.17922576226499021</v>
      </c>
      <c r="O32" s="18">
        <f>$S16/O16-1</f>
        <v>0.1893932141349508</v>
      </c>
      <c r="P32" s="18">
        <f>$S16/P16-1</f>
        <v>3.2475777311899101E-2</v>
      </c>
      <c r="Q32" s="18">
        <f>$S16/Q16-1</f>
        <v>5.4079450570247545E-2</v>
      </c>
      <c r="R32" s="40">
        <f>$S16/R16-1</f>
        <v>0.14782608695652177</v>
      </c>
    </row>
    <row r="33" spans="1:18" x14ac:dyDescent="0.2">
      <c r="A33" s="173" t="s">
        <v>74</v>
      </c>
      <c r="B33" s="173"/>
      <c r="C33" s="169"/>
      <c r="D33" s="170"/>
      <c r="E33" s="73" cm="1">
        <f t="array" ref="E33">SUM(ABS(E22:E32))/COUNT(E22:E32)</f>
        <v>4.137991380043058E-2</v>
      </c>
      <c r="F33" s="73" cm="1">
        <f t="array" ref="F33">SUM(ABS(F22:F32))/COUNT(F22:F32)</f>
        <v>3.864430873941585E-2</v>
      </c>
      <c r="G33" s="75" cm="1">
        <f t="array" ref="G33">SUM(ABS(G22:G32))/COUNT(G22:G32)</f>
        <v>2.9528197493636041E-2</v>
      </c>
      <c r="H33" s="73" cm="1">
        <f t="array" ref="H33">SUM(ABS(H22:H32))/COUNT(H22:H32)</f>
        <v>5.999088524102781E-2</v>
      </c>
      <c r="I33" s="73" cm="1">
        <f t="array" ref="I33">SUM(ABS(I22:I32))/COUNT(I22:I32)</f>
        <v>0.93758301912148589</v>
      </c>
      <c r="J33" s="73" cm="1">
        <f t="array" ref="J33">SUM(ABS(J22:J32))/COUNT(J22:J32)</f>
        <v>3.4429368826268569E-2</v>
      </c>
      <c r="K33" s="73" cm="1">
        <f t="array" ref="K33">SUM(ABS(K22:K32))/COUNT(K22:K32)</f>
        <v>5.8172386980371318E-2</v>
      </c>
      <c r="L33" s="73" cm="1">
        <f t="array" ref="L33">SUM(ABS(L22:L32))/COUNT(L22:L32)</f>
        <v>5.0269395242443414E-2</v>
      </c>
      <c r="M33" s="73" cm="1">
        <f t="array" ref="M33">SUM(ABS(M22:M32))/COUNT(M22:M32)</f>
        <v>3.94973652083071E-2</v>
      </c>
      <c r="N33" s="73" cm="1">
        <f t="array" ref="N33">SUM(ABS(N22:N32))/COUNT(N22:N32)</f>
        <v>8.140858190609529E-2</v>
      </c>
      <c r="O33" s="73" cm="1">
        <f t="array" ref="O33">SUM(ABS(O22:O32))/COUNT(O22:O32)</f>
        <v>7.8318628103208845E-2</v>
      </c>
      <c r="P33" s="73" cm="1">
        <f t="array" ref="P33">SUM(ABS(P22:P32))/COUNT(P22:P32)</f>
        <v>5.07511540359874E-2</v>
      </c>
      <c r="Q33" s="73" cm="1">
        <f t="array" ref="Q33">SUM(ABS(Q22:Q32))/COUNT(Q22:Q32)</f>
        <v>5.4974614690472837E-2</v>
      </c>
      <c r="R33" s="73" cm="1">
        <f t="array" ref="R33">SUM(ABS(R22:R32))/COUNT(R22:R32)</f>
        <v>6.8905102109965782E-2</v>
      </c>
    </row>
    <row r="34" spans="1:18" x14ac:dyDescent="0.2">
      <c r="A34" s="174" t="s">
        <v>75</v>
      </c>
      <c r="B34" s="174"/>
      <c r="C34" s="171"/>
      <c r="D34" s="172"/>
      <c r="E34" s="74" cm="1">
        <f t="array" ref="E34">SQRT(SUM(POWER(E22:E32,2))/COUNT(E22:E32))</f>
        <v>5.3198880177195873E-2</v>
      </c>
      <c r="F34" s="74" cm="1">
        <f t="array" ref="F34">SQRT(SUM(POWER(F22:F32,2))/COUNT(F22:F32))</f>
        <v>4.9727481462258749E-2</v>
      </c>
      <c r="G34" s="76" cm="1">
        <f t="array" ref="G34">SQRT(SUM(POWER(G22:G32,2))/COUNT(G22:G32))</f>
        <v>3.5725178473300978E-2</v>
      </c>
      <c r="H34" s="74" cm="1">
        <f t="array" ref="H34">SQRT(SUM(POWER(H22:H32,2))/COUNT(H22:H32))</f>
        <v>6.8152137551141009E-2</v>
      </c>
      <c r="I34" s="74" cm="1">
        <f t="array" ref="I34">SQRT(SUM(POWER(I22:I32,2))/COUNT(I22:I32))</f>
        <v>0.94641205200924872</v>
      </c>
      <c r="J34" s="74" cm="1">
        <f t="array" ref="J34">SQRT(SUM(POWER(J22:J32,2))/COUNT(J22:J32))</f>
        <v>4.2022218091563375E-2</v>
      </c>
      <c r="K34" s="74" cm="1">
        <f t="array" ref="K34">SQRT(SUM(POWER(K22:K32,2))/COUNT(K22:K32))</f>
        <v>6.7907831754318304E-2</v>
      </c>
      <c r="L34" s="74" cm="1">
        <f t="array" ref="L34">SQRT(SUM(POWER(L22:L32,2))/COUNT(L22:L32))</f>
        <v>5.6819130122013103E-2</v>
      </c>
      <c r="M34" s="74" cm="1">
        <f t="array" ref="M34">SQRT(SUM(POWER(M22:M32,2))/COUNT(M22:M32))</f>
        <v>4.6738728296061745E-2</v>
      </c>
      <c r="N34" s="74" cm="1">
        <f t="array" ref="N34">SQRT(SUM(POWER(N22:N32,2))/COUNT(N22:N32))</f>
        <v>0.10137129713686692</v>
      </c>
      <c r="O34" s="74" cm="1">
        <f t="array" ref="O34">SQRT(SUM(POWER(O22:O32,2))/COUNT(O22:O32))</f>
        <v>9.801629571168477E-2</v>
      </c>
      <c r="P34" s="74" cm="1">
        <f t="array" ref="P34">SQRT(SUM(POWER(P22:P32,2))/COUNT(P22:P32))</f>
        <v>5.8526380123800903E-2</v>
      </c>
      <c r="Q34" s="74" cm="1">
        <f t="array" ref="Q34">SQRT(SUM(POWER(Q22:Q32,2))/COUNT(Q22:Q32))</f>
        <v>6.1593257027863217E-2</v>
      </c>
      <c r="R34" s="74" cm="1">
        <f t="array" ref="R34">SQRT(SUM(POWER(R22:R32,2))/COUNT(R22:R32))</f>
        <v>7.6835916202004251E-2</v>
      </c>
    </row>
    <row r="35" spans="1:18" x14ac:dyDescent="0.2">
      <c r="G35" s="3" t="e">
        <f>AVERAGE(#REF!,#REF!,#REF!,G28:G31,G23:G24)</f>
        <v>#REF!</v>
      </c>
      <c r="J35" s="3"/>
    </row>
    <row r="36" spans="1:18" x14ac:dyDescent="0.2">
      <c r="B36" t="s">
        <v>155</v>
      </c>
      <c r="G36" s="3">
        <f>AVERAGE(G24,G30)</f>
        <v>2.2236665611587991E-2</v>
      </c>
      <c r="J36" s="3"/>
    </row>
  </sheetData>
  <mergeCells count="7">
    <mergeCell ref="A18:D18"/>
    <mergeCell ref="A4:B4"/>
    <mergeCell ref="A20:B20"/>
    <mergeCell ref="C33:D33"/>
    <mergeCell ref="C34:D34"/>
    <mergeCell ref="A33:B33"/>
    <mergeCell ref="A34:B34"/>
  </mergeCells>
  <phoneticPr fontId="1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6"/>
  <sheetViews>
    <sheetView zoomScale="85" zoomScaleNormal="85" workbookViewId="0">
      <selection activeCell="C9" sqref="C9:M11"/>
    </sheetView>
  </sheetViews>
  <sheetFormatPr defaultRowHeight="12.75" x14ac:dyDescent="0.2"/>
  <cols>
    <col min="1" max="1" width="9.140625" style="67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7" t="s">
        <v>100</v>
      </c>
      <c r="B1" t="s">
        <v>80</v>
      </c>
    </row>
    <row r="2" spans="1:17" x14ac:dyDescent="0.2">
      <c r="A2" s="67" t="s">
        <v>95</v>
      </c>
      <c r="B2" t="s">
        <v>78</v>
      </c>
    </row>
    <row r="3" spans="1:17" x14ac:dyDescent="0.2">
      <c r="A3" s="67" t="s">
        <v>96</v>
      </c>
      <c r="B3" t="s">
        <v>144</v>
      </c>
    </row>
    <row r="4" spans="1:17" x14ac:dyDescent="0.2">
      <c r="A4" s="67" t="s">
        <v>97</v>
      </c>
      <c r="B4" t="s">
        <v>163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7" t="s">
        <v>98</v>
      </c>
      <c r="B7" s="175" t="s">
        <v>79</v>
      </c>
      <c r="C7" s="175"/>
      <c r="D7" s="175" t="s">
        <v>109</v>
      </c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6"/>
      <c r="P7" s="6"/>
      <c r="Q7" s="6"/>
    </row>
    <row r="8" spans="1:17" ht="15" x14ac:dyDescent="0.2">
      <c r="A8" s="67" t="s">
        <v>166</v>
      </c>
      <c r="C8" s="71" t="s">
        <v>81</v>
      </c>
      <c r="D8" s="71" t="s">
        <v>82</v>
      </c>
      <c r="E8" s="71" t="s">
        <v>83</v>
      </c>
      <c r="F8" s="71" t="s">
        <v>84</v>
      </c>
      <c r="G8" s="71" t="s">
        <v>85</v>
      </c>
      <c r="H8" s="71" t="s">
        <v>86</v>
      </c>
      <c r="I8" s="71" t="s">
        <v>87</v>
      </c>
      <c r="J8" s="71" t="s">
        <v>88</v>
      </c>
      <c r="K8" s="71" t="s">
        <v>89</v>
      </c>
      <c r="L8" s="71" t="s">
        <v>90</v>
      </c>
      <c r="M8" s="71" t="s">
        <v>91</v>
      </c>
      <c r="O8" s="6"/>
      <c r="P8" s="6"/>
      <c r="Q8" s="6"/>
    </row>
    <row r="9" spans="1:17" ht="15" x14ac:dyDescent="0.2">
      <c r="B9" s="71" t="s">
        <v>92</v>
      </c>
      <c r="C9" s="2">
        <v>6.7094130880008804E-2</v>
      </c>
      <c r="D9" s="2">
        <v>2.972915338854076E-2</v>
      </c>
      <c r="E9" s="2">
        <v>6.1342498780634379E-2</v>
      </c>
      <c r="F9" s="2">
        <v>8.8113422930352861E-2</v>
      </c>
      <c r="G9" s="2">
        <v>4.1092370034169837E-2</v>
      </c>
      <c r="H9" s="2">
        <v>6.8736317132549948E-2</v>
      </c>
      <c r="I9" s="2">
        <v>7.372327180704813E-2</v>
      </c>
      <c r="J9" s="2">
        <v>5.3307092729845018E-2</v>
      </c>
      <c r="K9" s="2">
        <v>6.6371154601364987E-2</v>
      </c>
      <c r="L9" s="2">
        <v>0.12969055297185761</v>
      </c>
      <c r="M9" s="2">
        <v>2.636977367660986</v>
      </c>
      <c r="O9" s="6"/>
      <c r="P9" s="6"/>
      <c r="Q9" s="6"/>
    </row>
    <row r="10" spans="1:17" ht="15" x14ac:dyDescent="0.2">
      <c r="B10" s="71" t="s">
        <v>93</v>
      </c>
      <c r="C10" s="2">
        <v>7.4780382662528885E-2</v>
      </c>
      <c r="D10" s="2">
        <v>3.9533358319018601E-2</v>
      </c>
      <c r="E10" s="2">
        <v>8.2261396485631758E-2</v>
      </c>
      <c r="F10" s="2">
        <v>0.10781623360218121</v>
      </c>
      <c r="G10" s="2">
        <v>5.9454851168322963E-2</v>
      </c>
      <c r="H10" s="2">
        <v>8.8760489185620434E-2</v>
      </c>
      <c r="I10" s="2">
        <v>9.4906693526975491E-2</v>
      </c>
      <c r="J10" s="2">
        <v>7.6941228331084036E-2</v>
      </c>
      <c r="K10" s="2">
        <v>9.6721112103963364E-2</v>
      </c>
      <c r="L10" s="2">
        <v>0.21408695467884009</v>
      </c>
      <c r="M10" s="2">
        <v>4.7498001212060856</v>
      </c>
      <c r="O10" s="6"/>
      <c r="P10" s="6"/>
      <c r="Q10" s="6"/>
    </row>
    <row r="11" spans="1:17" ht="15" x14ac:dyDescent="0.2">
      <c r="B11" s="71" t="s">
        <v>94</v>
      </c>
      <c r="C11" s="2">
        <v>-6.5308441089533154E-2</v>
      </c>
      <c r="D11" s="2">
        <v>7.0075983273257814E-3</v>
      </c>
      <c r="E11" s="2">
        <v>4.0342857069723508E-2</v>
      </c>
      <c r="F11" s="2">
        <v>-6.2003425913860766E-3</v>
      </c>
      <c r="G11" s="2">
        <v>2.5632506032966958E-2</v>
      </c>
      <c r="H11" s="2">
        <v>5.664647618296037E-2</v>
      </c>
      <c r="I11" s="2">
        <v>5.664515930267533E-2</v>
      </c>
      <c r="J11" s="2">
        <v>2.0031051506087191E-2</v>
      </c>
      <c r="K11" s="2">
        <v>2.5651310675773639E-2</v>
      </c>
      <c r="L11" s="2">
        <v>4.1930470786336597E-2</v>
      </c>
      <c r="M11" s="2">
        <v>4.4332536196464267E-2</v>
      </c>
      <c r="O11" s="6"/>
      <c r="P11" s="6"/>
      <c r="Q11" s="6"/>
    </row>
    <row r="12" spans="1:17" ht="15" x14ac:dyDescent="0.2">
      <c r="B12" s="9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O12" s="6"/>
      <c r="P12" s="6"/>
      <c r="Q12" s="6"/>
    </row>
    <row r="13" spans="1:17" ht="15" x14ac:dyDescent="0.2">
      <c r="A13" s="67" t="s">
        <v>92</v>
      </c>
      <c r="C13" s="71" t="s">
        <v>81</v>
      </c>
      <c r="D13" s="71" t="s">
        <v>82</v>
      </c>
      <c r="E13" s="71" t="s">
        <v>83</v>
      </c>
      <c r="F13" s="71" t="s">
        <v>84</v>
      </c>
      <c r="G13" s="71" t="s">
        <v>85</v>
      </c>
      <c r="H13" s="71" t="s">
        <v>86</v>
      </c>
      <c r="I13" s="71" t="s">
        <v>87</v>
      </c>
      <c r="J13" s="71" t="s">
        <v>88</v>
      </c>
      <c r="K13" s="71" t="s">
        <v>89</v>
      </c>
      <c r="L13" s="71" t="s">
        <v>90</v>
      </c>
      <c r="M13" s="71" t="s">
        <v>91</v>
      </c>
      <c r="O13" s="6"/>
      <c r="P13" s="6"/>
      <c r="Q13" s="6"/>
    </row>
    <row r="14" spans="1:17" ht="15" x14ac:dyDescent="0.2">
      <c r="B14" s="71" t="s">
        <v>92</v>
      </c>
      <c r="C14" s="2">
        <v>6.9926233860609616E-2</v>
      </c>
      <c r="D14" s="2">
        <v>3.1449109880023009E-2</v>
      </c>
      <c r="E14" s="2">
        <v>3.5727580687743191E-2</v>
      </c>
      <c r="F14" s="2">
        <v>6.8909040426629029E-2</v>
      </c>
      <c r="G14" s="2">
        <v>3.3115871495402988E-2</v>
      </c>
      <c r="H14" s="2">
        <v>3.5748887820900299E-2</v>
      </c>
      <c r="I14" s="2">
        <v>3.6340784771352948E-2</v>
      </c>
      <c r="J14" s="2">
        <v>3.3154412382983299E-2</v>
      </c>
      <c r="K14" s="2">
        <v>3.3510723990503137E-2</v>
      </c>
      <c r="L14" s="2">
        <v>4.9405386104572901E-2</v>
      </c>
      <c r="M14" s="2">
        <v>7.2834893195416819E-2</v>
      </c>
      <c r="O14" s="6"/>
      <c r="P14" s="6"/>
      <c r="Q14" s="6"/>
    </row>
    <row r="15" spans="1:17" ht="15" x14ac:dyDescent="0.2">
      <c r="B15" s="71" t="s">
        <v>93</v>
      </c>
      <c r="C15" s="2">
        <v>9.6179084656174474E-2</v>
      </c>
      <c r="D15" s="2">
        <v>4.0388510770476532E-2</v>
      </c>
      <c r="E15" s="2">
        <v>4.0102151622826383E-2</v>
      </c>
      <c r="F15" s="2">
        <v>0.10092023451453359</v>
      </c>
      <c r="G15" s="2">
        <v>3.9600437363273802E-2</v>
      </c>
      <c r="H15" s="2">
        <v>4.0102696580336557E-2</v>
      </c>
      <c r="I15" s="2">
        <v>4.0627502710422717E-2</v>
      </c>
      <c r="J15" s="2">
        <v>3.9610548140348589E-2</v>
      </c>
      <c r="K15" s="2">
        <v>4.0095174817038878E-2</v>
      </c>
      <c r="L15" s="2">
        <v>6.0699608325112279E-2</v>
      </c>
      <c r="M15" s="2">
        <v>9.3076075996296456E-2</v>
      </c>
      <c r="O15" s="6"/>
      <c r="P15" s="6"/>
      <c r="Q15" s="6"/>
    </row>
    <row r="16" spans="1:17" ht="15" x14ac:dyDescent="0.2">
      <c r="B16" s="71" t="s">
        <v>94</v>
      </c>
      <c r="C16" s="2">
        <v>-4.3806699662287403E-2</v>
      </c>
      <c r="D16" s="2">
        <v>1.4817593207692379E-2</v>
      </c>
      <c r="E16" s="2">
        <v>-2.3824245385646259E-2</v>
      </c>
      <c r="F16" s="2">
        <v>-1.8392356149415812E-2</v>
      </c>
      <c r="G16" s="2">
        <v>-1.933270273816529E-2</v>
      </c>
      <c r="H16" s="2">
        <v>-2.3824405790987602E-2</v>
      </c>
      <c r="I16" s="2">
        <v>-2.391328261037784E-2</v>
      </c>
      <c r="J16" s="2">
        <v>-1.9524928226425708E-2</v>
      </c>
      <c r="K16" s="2">
        <v>-1.9317820712926981E-2</v>
      </c>
      <c r="L16" s="2">
        <v>-7.5011827414410703E-3</v>
      </c>
      <c r="M16" s="2">
        <v>2.595168066911735E-2</v>
      </c>
      <c r="O16" s="6"/>
      <c r="P16" s="6"/>
      <c r="Q16" s="6"/>
    </row>
    <row r="17" spans="1:17" ht="15" x14ac:dyDescent="0.2">
      <c r="B17" s="9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O17" s="6"/>
      <c r="P17" s="6"/>
      <c r="Q17" s="6"/>
    </row>
    <row r="18" spans="1:17" ht="15" x14ac:dyDescent="0.2">
      <c r="B18" s="9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O20" s="6"/>
      <c r="P20" s="6"/>
      <c r="Q20" s="6"/>
    </row>
    <row r="21" spans="1:17" x14ac:dyDescent="0.2">
      <c r="A21" s="67" t="s">
        <v>99</v>
      </c>
      <c r="B21" t="s">
        <v>102</v>
      </c>
      <c r="O21" s="6"/>
      <c r="P21" s="6"/>
      <c r="Q21" s="6"/>
    </row>
    <row r="22" spans="1:17" x14ac:dyDescent="0.2">
      <c r="B22" t="s">
        <v>136</v>
      </c>
      <c r="H22" s="68" t="s">
        <v>103</v>
      </c>
      <c r="O22" s="6"/>
      <c r="P22" s="6"/>
      <c r="Q22" s="6"/>
    </row>
    <row r="23" spans="1:17" x14ac:dyDescent="0.2">
      <c r="B23" t="s">
        <v>137</v>
      </c>
      <c r="H23" s="68"/>
      <c r="O23" s="6"/>
      <c r="P23" s="6"/>
      <c r="Q23" s="6"/>
    </row>
    <row r="24" spans="1:17" x14ac:dyDescent="0.2"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A26" s="67" t="s">
        <v>101</v>
      </c>
      <c r="B26" s="176" t="s">
        <v>105</v>
      </c>
      <c r="C26" s="176"/>
      <c r="D26" s="176"/>
      <c r="E26" s="176"/>
      <c r="F26" s="66" t="e">
        <f>#REF!+#REF!*'2. Past Proj &amp; Candidate Model'!#REF!</f>
        <v>#REF!</v>
      </c>
      <c r="G26" s="69" t="s">
        <v>106</v>
      </c>
      <c r="H26" s="2" t="e">
        <f>'2. Past Proj &amp; Candidate Model'!#REF!/'3. Improved Alpha Model'!F26-1</f>
        <v>#REF!</v>
      </c>
      <c r="O26" s="6"/>
      <c r="P26" s="6"/>
      <c r="Q26" s="6"/>
    </row>
    <row r="27" spans="1:17" x14ac:dyDescent="0.2">
      <c r="O27" s="6"/>
      <c r="P27" s="6"/>
      <c r="Q27" s="6"/>
    </row>
    <row r="28" spans="1:17" x14ac:dyDescent="0.2">
      <c r="O28" s="6"/>
      <c r="P28" s="6"/>
      <c r="Q28" s="6"/>
    </row>
    <row r="29" spans="1:17" x14ac:dyDescent="0.2">
      <c r="O29" s="6"/>
      <c r="P29" s="6"/>
      <c r="Q29" s="6"/>
    </row>
    <row r="30" spans="1:17" x14ac:dyDescent="0.2">
      <c r="B30" s="177" t="s">
        <v>156</v>
      </c>
      <c r="C30" s="177"/>
      <c r="D30" s="177"/>
      <c r="E30" s="3">
        <f>C9</f>
        <v>6.7094130880008804E-2</v>
      </c>
      <c r="F30" t="s">
        <v>107</v>
      </c>
      <c r="G30" s="177" t="s">
        <v>108</v>
      </c>
      <c r="H30" s="177"/>
      <c r="I30" s="3" t="e">
        <f>#REF!</f>
        <v>#REF!</v>
      </c>
      <c r="O30" s="6"/>
      <c r="P30" s="6"/>
      <c r="Q30" s="6"/>
    </row>
    <row r="31" spans="1:17" x14ac:dyDescent="0.2">
      <c r="O31" s="6"/>
      <c r="P31" s="6"/>
      <c r="Q31" s="6"/>
    </row>
    <row r="32" spans="1:17" x14ac:dyDescent="0.2">
      <c r="O32" s="6"/>
      <c r="P32" s="6"/>
      <c r="Q32" s="6"/>
    </row>
    <row r="33" spans="1:17" x14ac:dyDescent="0.2">
      <c r="A33" s="67" t="s">
        <v>104</v>
      </c>
      <c r="B33" t="s">
        <v>110</v>
      </c>
      <c r="O33" s="6"/>
      <c r="P33" s="6"/>
      <c r="Q33" s="6"/>
    </row>
    <row r="34" spans="1:17" x14ac:dyDescent="0.2">
      <c r="B34" t="s">
        <v>111</v>
      </c>
      <c r="O34" s="6"/>
      <c r="P34" s="6"/>
      <c r="Q34" s="6"/>
    </row>
    <row r="35" spans="1:17" x14ac:dyDescent="0.2">
      <c r="B35" t="s">
        <v>112</v>
      </c>
      <c r="O35" s="6"/>
      <c r="P35" s="6"/>
      <c r="Q35" s="6"/>
    </row>
    <row r="36" spans="1:17" x14ac:dyDescent="0.2">
      <c r="B36" t="s">
        <v>113</v>
      </c>
      <c r="O36" s="6"/>
      <c r="P36" s="6"/>
      <c r="Q36" s="6"/>
    </row>
    <row r="37" spans="1:17" x14ac:dyDescent="0.2">
      <c r="B37" t="s">
        <v>114</v>
      </c>
      <c r="O37" s="6"/>
      <c r="P37" s="6"/>
      <c r="Q37" s="6"/>
    </row>
    <row r="38" spans="1:17" x14ac:dyDescent="0.2">
      <c r="B38" t="s">
        <v>115</v>
      </c>
      <c r="O38" s="6"/>
      <c r="P38" s="6"/>
      <c r="Q38" s="6"/>
    </row>
    <row r="39" spans="1:17" x14ac:dyDescent="0.2">
      <c r="B39" t="s">
        <v>116</v>
      </c>
      <c r="O39" s="6"/>
      <c r="P39" s="6"/>
      <c r="Q39" s="6"/>
    </row>
    <row r="40" spans="1:17" x14ac:dyDescent="0.2">
      <c r="B40" t="s">
        <v>117</v>
      </c>
      <c r="O40" s="6"/>
      <c r="P40" s="6"/>
      <c r="Q40" s="6"/>
    </row>
    <row r="41" spans="1:17" x14ac:dyDescent="0.2">
      <c r="B41" t="s">
        <v>118</v>
      </c>
      <c r="O41" s="6"/>
      <c r="P41" s="6"/>
      <c r="Q41" s="6"/>
    </row>
    <row r="42" spans="1:17" x14ac:dyDescent="0.2">
      <c r="B42" t="s">
        <v>119</v>
      </c>
      <c r="O42" s="6"/>
      <c r="P42" s="6"/>
      <c r="Q42" s="6"/>
    </row>
    <row r="43" spans="1:17" x14ac:dyDescent="0.2">
      <c r="O43" s="6"/>
      <c r="P43" s="6"/>
      <c r="Q43" s="6"/>
    </row>
    <row r="44" spans="1:17" x14ac:dyDescent="0.2">
      <c r="O44" s="6"/>
      <c r="P44" s="6"/>
      <c r="Q44" s="6"/>
    </row>
    <row r="45" spans="1:17" x14ac:dyDescent="0.2">
      <c r="O45" s="6"/>
      <c r="P45" s="6"/>
    </row>
    <row r="46" spans="1:17" x14ac:dyDescent="0.2">
      <c r="O46" s="6"/>
      <c r="P46" s="6"/>
    </row>
  </sheetData>
  <mergeCells count="5">
    <mergeCell ref="D7:N7"/>
    <mergeCell ref="B7:C7"/>
    <mergeCell ref="B26:E26"/>
    <mergeCell ref="B30:D30"/>
    <mergeCell ref="G30:H30"/>
  </mergeCells>
  <conditionalFormatting sqref="C9:K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max"/>
        <color rgb="FF63BE7B"/>
        <color rgb="FFFFEF9C"/>
      </colorScale>
    </cfRule>
  </conditionalFormatting>
  <conditionalFormatting sqref="C10:K1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max"/>
        <color rgb="FF63BE7B"/>
        <color rgb="FFFFEF9C"/>
      </colorScale>
    </cfRule>
  </conditionalFormatting>
  <conditionalFormatting sqref="C14:K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max"/>
        <color rgb="FF63BE7B"/>
        <color rgb="FFFFEF9C"/>
      </colorScale>
    </cfRule>
  </conditionalFormatting>
  <conditionalFormatting sqref="C15:K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4"/>
  <sheetViews>
    <sheetView tabSelected="1" zoomScale="85" zoomScaleNormal="85" workbookViewId="0">
      <selection activeCell="D31" sqref="D31"/>
    </sheetView>
  </sheetViews>
  <sheetFormatPr defaultRowHeight="12.75" x14ac:dyDescent="0.2"/>
  <cols>
    <col min="1" max="1" width="9.140625" style="67"/>
    <col min="3" max="3" width="18.5703125" customWidth="1"/>
    <col min="4" max="13" width="14.7109375" customWidth="1"/>
    <col min="23" max="23" width="22.5703125" customWidth="1"/>
  </cols>
  <sheetData>
    <row r="1" spans="1:25" x14ac:dyDescent="0.2">
      <c r="A1" s="67" t="s">
        <v>121</v>
      </c>
      <c r="B1" t="s">
        <v>80</v>
      </c>
    </row>
    <row r="2" spans="1:25" x14ac:dyDescent="0.2">
      <c r="A2" s="67" t="s">
        <v>95</v>
      </c>
      <c r="B2" s="77" t="s">
        <v>157</v>
      </c>
      <c r="C2" s="78" t="str">
        <f>D5</f>
        <v>PROJ</v>
      </c>
      <c r="D2" t="s">
        <v>158</v>
      </c>
    </row>
    <row r="4" spans="1:25" x14ac:dyDescent="0.2">
      <c r="A4" s="67" t="s">
        <v>96</v>
      </c>
      <c r="B4" t="s">
        <v>120</v>
      </c>
    </row>
    <row r="5" spans="1:25" ht="15" x14ac:dyDescent="0.2">
      <c r="A5" s="67" t="s">
        <v>166</v>
      </c>
      <c r="C5" s="71" t="s">
        <v>81</v>
      </c>
      <c r="D5" s="71" t="s">
        <v>82</v>
      </c>
      <c r="E5" s="71" t="s">
        <v>83</v>
      </c>
      <c r="F5" s="71" t="s">
        <v>84</v>
      </c>
      <c r="G5" s="71" t="s">
        <v>85</v>
      </c>
      <c r="H5" s="71" t="s">
        <v>86</v>
      </c>
      <c r="I5" s="71" t="s">
        <v>87</v>
      </c>
      <c r="J5" s="71" t="s">
        <v>88</v>
      </c>
      <c r="K5" s="71" t="s">
        <v>89</v>
      </c>
      <c r="L5" s="71" t="s">
        <v>90</v>
      </c>
      <c r="M5" s="71" t="s">
        <v>91</v>
      </c>
    </row>
    <row r="6" spans="1:25" ht="15" x14ac:dyDescent="0.2">
      <c r="B6" s="71" t="s">
        <v>92</v>
      </c>
      <c r="C6" s="2">
        <v>5.7509255040007541E-2</v>
      </c>
      <c r="D6" s="2">
        <v>2.7941878211151291E-2</v>
      </c>
      <c r="E6" s="2">
        <v>5.4639967944438372E-2</v>
      </c>
      <c r="F6" s="2">
        <v>8.1343659573033258E-2</v>
      </c>
      <c r="G6" s="2">
        <v>3.5224636107211271E-2</v>
      </c>
      <c r="H6" s="2">
        <v>6.0976811331946268E-2</v>
      </c>
      <c r="I6" s="2">
        <v>6.5243838107695032E-2</v>
      </c>
      <c r="J6" s="2">
        <v>4.5844106131205473E-2</v>
      </c>
      <c r="K6" s="2">
        <v>5.6900126930782842E-2</v>
      </c>
      <c r="L6" s="2">
        <v>0.1126907674498337</v>
      </c>
      <c r="M6" s="2">
        <v>2.2614594026853032</v>
      </c>
    </row>
    <row r="7" spans="1:25" ht="15" x14ac:dyDescent="0.2">
      <c r="B7" s="71" t="s">
        <v>93</v>
      </c>
      <c r="C7" s="2">
        <v>6.9233181337652078E-2</v>
      </c>
      <c r="D7" s="2">
        <v>3.7174849151310432E-2</v>
      </c>
      <c r="E7" s="2">
        <v>7.6354154600310198E-2</v>
      </c>
      <c r="F7" s="2">
        <v>0.100998283905837</v>
      </c>
      <c r="G7" s="2">
        <v>5.5044496671991683E-2</v>
      </c>
      <c r="H7" s="2">
        <v>8.2356781833634998E-2</v>
      </c>
      <c r="I7" s="2">
        <v>8.8034165709422477E-2</v>
      </c>
      <c r="J7" s="2">
        <v>7.1234875543928405E-2</v>
      </c>
      <c r="K7" s="2">
        <v>8.9546354021638658E-2</v>
      </c>
      <c r="L7" s="2">
        <v>0.19824719958659509</v>
      </c>
      <c r="M7" s="2">
        <v>4.3974615550645142</v>
      </c>
    </row>
    <row r="8" spans="1:25" ht="15" x14ac:dyDescent="0.2">
      <c r="B8" s="71" t="s">
        <v>94</v>
      </c>
      <c r="C8" s="2">
        <v>-5.9945504087193568E-2</v>
      </c>
      <c r="D8" s="2">
        <v>3.524593639576024E-3</v>
      </c>
      <c r="E8" s="2">
        <v>2.7867803456115729E-2</v>
      </c>
      <c r="F8" s="2">
        <v>2.6638155105144001E-2</v>
      </c>
      <c r="G8" s="2">
        <v>2.1891023836994261E-2</v>
      </c>
      <c r="H8" s="2">
        <v>2.7869445002374649E-2</v>
      </c>
      <c r="I8" s="2">
        <v>2.788299749644851E-2</v>
      </c>
      <c r="J8" s="2">
        <v>1.71840556502354E-2</v>
      </c>
      <c r="K8" s="2">
        <v>2.1973962263510231E-2</v>
      </c>
      <c r="L8" s="2">
        <v>4.1342095809557611E-2</v>
      </c>
      <c r="M8" s="2">
        <v>4.2737674085457263E-2</v>
      </c>
    </row>
    <row r="10" spans="1:25" ht="15" x14ac:dyDescent="0.2">
      <c r="A10" s="67" t="s">
        <v>97</v>
      </c>
      <c r="B10" s="72" t="s">
        <v>159</v>
      </c>
    </row>
    <row r="12" spans="1:25" x14ac:dyDescent="0.2">
      <c r="A12" s="67" t="s">
        <v>98</v>
      </c>
      <c r="B12" t="s">
        <v>135</v>
      </c>
    </row>
    <row r="13" spans="1:25" ht="15" x14ac:dyDescent="0.2">
      <c r="B13" s="71" t="s">
        <v>122</v>
      </c>
      <c r="C13" s="71" t="s">
        <v>123</v>
      </c>
      <c r="D13" s="71" t="s">
        <v>81</v>
      </c>
      <c r="E13" s="71" t="s">
        <v>82</v>
      </c>
      <c r="F13" s="71" t="s">
        <v>83</v>
      </c>
      <c r="G13" s="71" t="s">
        <v>84</v>
      </c>
      <c r="H13" s="71" t="s">
        <v>85</v>
      </c>
      <c r="I13" s="71" t="s">
        <v>86</v>
      </c>
      <c r="J13" s="71" t="s">
        <v>87</v>
      </c>
      <c r="K13" s="71" t="s">
        <v>88</v>
      </c>
      <c r="L13" s="71" t="s">
        <v>89</v>
      </c>
      <c r="M13" s="71" t="s">
        <v>90</v>
      </c>
      <c r="N13" s="71" t="s">
        <v>91</v>
      </c>
      <c r="O13" s="71" t="s">
        <v>124</v>
      </c>
      <c r="P13" s="71" t="s">
        <v>125</v>
      </c>
      <c r="Q13" s="71" t="s">
        <v>126</v>
      </c>
      <c r="R13" s="71" t="s">
        <v>127</v>
      </c>
      <c r="S13" s="71" t="s">
        <v>128</v>
      </c>
      <c r="T13" s="71" t="s">
        <v>129</v>
      </c>
      <c r="U13" s="71" t="s">
        <v>130</v>
      </c>
      <c r="V13" s="71" t="s">
        <v>131</v>
      </c>
      <c r="W13" s="71" t="s">
        <v>132</v>
      </c>
      <c r="X13" s="71" t="s">
        <v>133</v>
      </c>
      <c r="Y13" s="71" t="s">
        <v>134</v>
      </c>
    </row>
    <row r="14" spans="1:25" x14ac:dyDescent="0.2">
      <c r="B14" t="s">
        <v>42</v>
      </c>
      <c r="C14">
        <v>46</v>
      </c>
      <c r="D14">
        <v>50.9</v>
      </c>
      <c r="E14">
        <v>46.989100999999998</v>
      </c>
      <c r="O14" s="2"/>
      <c r="P14" s="2">
        <f>E14/C14-1</f>
        <v>2.1502195652173928E-2</v>
      </c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t="s">
        <v>43</v>
      </c>
      <c r="C15">
        <v>43.5</v>
      </c>
      <c r="D15">
        <v>44.8</v>
      </c>
      <c r="E15">
        <v>44.964030000000001</v>
      </c>
      <c r="O15" s="2"/>
      <c r="P15" s="2">
        <f t="shared" ref="P15:P18" si="0">E15/C15-1</f>
        <v>3.3655862068965536E-2</v>
      </c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t="s">
        <v>44</v>
      </c>
      <c r="C16">
        <v>46.1</v>
      </c>
      <c r="D16">
        <v>49.8</v>
      </c>
      <c r="E16">
        <v>43.702688000000002</v>
      </c>
      <c r="O16" s="2"/>
      <c r="P16" s="2">
        <f t="shared" si="0"/>
        <v>-5.2002429501084579E-2</v>
      </c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">
      <c r="B17" t="s">
        <v>45</v>
      </c>
      <c r="C17">
        <v>43.7</v>
      </c>
      <c r="D17">
        <v>47.6</v>
      </c>
      <c r="E17">
        <v>44.353758999999997</v>
      </c>
      <c r="O17" s="2"/>
      <c r="P17" s="2">
        <f t="shared" si="0"/>
        <v>1.4960160183066229E-2</v>
      </c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">
      <c r="B18" t="s">
        <v>46</v>
      </c>
      <c r="C18">
        <v>47.1</v>
      </c>
      <c r="D18">
        <v>45.2</v>
      </c>
      <c r="E18">
        <v>45.829256000000001</v>
      </c>
      <c r="O18" s="2"/>
      <c r="P18" s="2">
        <f t="shared" si="0"/>
        <v>-2.6979702760084989E-2</v>
      </c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">
      <c r="B19" t="s">
        <v>47</v>
      </c>
      <c r="C19">
        <v>40.200000000000003</v>
      </c>
      <c r="D19">
        <v>41</v>
      </c>
      <c r="E19">
        <v>38.575678000000003</v>
      </c>
      <c r="F19">
        <v>42.323280009469919</v>
      </c>
      <c r="G19">
        <v>44.190297489082923</v>
      </c>
      <c r="H19">
        <v>41.644172538103788</v>
      </c>
      <c r="I19">
        <v>44.103148743667383</v>
      </c>
      <c r="J19">
        <v>45.28</v>
      </c>
      <c r="K19">
        <v>43.42085459406816</v>
      </c>
      <c r="L19">
        <v>45.28</v>
      </c>
      <c r="M19">
        <v>60.612916648302871</v>
      </c>
      <c r="N19">
        <v>458.03365814927378</v>
      </c>
      <c r="O19" s="2">
        <v>1.990049751243772E-2</v>
      </c>
      <c r="P19" s="2">
        <v>-4.0406019900497532E-2</v>
      </c>
      <c r="Q19" s="2">
        <v>5.2817910683331297E-2</v>
      </c>
      <c r="R19" s="2">
        <v>9.926113156922689E-2</v>
      </c>
      <c r="S19" s="2">
        <v>3.5924690002581812E-2</v>
      </c>
      <c r="T19" s="2">
        <v>9.7093252330034074E-2</v>
      </c>
      <c r="U19" s="2">
        <v>0.12636815920398001</v>
      </c>
      <c r="V19" s="2">
        <v>8.0120761046471589E-2</v>
      </c>
      <c r="W19" s="2">
        <v>0.12636815920398001</v>
      </c>
      <c r="X19" s="2">
        <v>0.50778399622643944</v>
      </c>
      <c r="Y19" s="2">
        <v>10.39387209326552</v>
      </c>
    </row>
    <row r="20" spans="2:25" x14ac:dyDescent="0.2">
      <c r="B20" t="s">
        <v>48</v>
      </c>
      <c r="C20">
        <v>28.3</v>
      </c>
      <c r="D20">
        <v>26.3</v>
      </c>
      <c r="E20">
        <v>28.399746</v>
      </c>
      <c r="F20">
        <v>33.13679634475443</v>
      </c>
      <c r="G20">
        <v>34.353401232239349</v>
      </c>
      <c r="H20">
        <v>32.097608462048889</v>
      </c>
      <c r="I20">
        <v>33.139433970607087</v>
      </c>
      <c r="J20">
        <v>33.158753254287483</v>
      </c>
      <c r="K20">
        <v>33.001644261955647</v>
      </c>
      <c r="L20">
        <v>33.835472560968299</v>
      </c>
      <c r="M20">
        <v>26.278688525935721</v>
      </c>
      <c r="N20">
        <v>-119.61578797119751</v>
      </c>
      <c r="O20" s="2">
        <v>-7.0671378091872739E-2</v>
      </c>
      <c r="P20" s="2">
        <v>3.524593639576024E-3</v>
      </c>
      <c r="Q20" s="2">
        <v>0.1709115316167642</v>
      </c>
      <c r="R20" s="2">
        <v>0.2139011036126979</v>
      </c>
      <c r="S20" s="2">
        <v>0.13419111173317619</v>
      </c>
      <c r="T20" s="2">
        <v>0.17100473394371329</v>
      </c>
      <c r="U20" s="2">
        <v>0.17168739414443371</v>
      </c>
      <c r="V20" s="2">
        <v>0.16613583964507581</v>
      </c>
      <c r="W20" s="2">
        <v>0.19559973713668891</v>
      </c>
      <c r="X20" s="2">
        <v>-7.142443371251872E-2</v>
      </c>
      <c r="Y20" s="2">
        <v>-5.2267062887348938</v>
      </c>
    </row>
    <row r="21" spans="2:25" x14ac:dyDescent="0.2">
      <c r="B21" t="s">
        <v>49</v>
      </c>
      <c r="C21">
        <v>36.700000000000003</v>
      </c>
      <c r="D21">
        <v>34.5</v>
      </c>
      <c r="E21">
        <v>35.873238999999998</v>
      </c>
      <c r="F21">
        <v>36.305684883392892</v>
      </c>
      <c r="G21">
        <v>35.267274561433481</v>
      </c>
      <c r="H21">
        <v>35.825670498594803</v>
      </c>
      <c r="I21">
        <v>36.305914781543983</v>
      </c>
      <c r="J21">
        <v>36.307331402634269</v>
      </c>
      <c r="K21">
        <v>35.802174665151199</v>
      </c>
      <c r="L21">
        <v>35.834006054791168</v>
      </c>
      <c r="M21">
        <v>37.675897341682592</v>
      </c>
      <c r="N21">
        <v>37.523690944917348</v>
      </c>
      <c r="O21" s="2">
        <v>-5.9945504087193568E-2</v>
      </c>
      <c r="P21" s="2">
        <v>-2.252754768392384E-2</v>
      </c>
      <c r="Q21" s="2">
        <v>-1.074428110646097E-2</v>
      </c>
      <c r="R21" s="2">
        <v>-3.9038840287916148E-2</v>
      </c>
      <c r="S21" s="2">
        <v>-2.3823692136381469E-2</v>
      </c>
      <c r="T21" s="2">
        <v>-1.073801685166287E-2</v>
      </c>
      <c r="U21" s="2">
        <v>-1.0699416821954629E-2</v>
      </c>
      <c r="V21" s="2">
        <v>-2.4463905581711302E-2</v>
      </c>
      <c r="W21" s="2">
        <v>-2.3596565264545899E-2</v>
      </c>
      <c r="X21" s="2">
        <v>2.6591208220233978E-2</v>
      </c>
      <c r="Y21" s="2">
        <v>2.2443894956875932E-2</v>
      </c>
    </row>
    <row r="22" spans="2:25" x14ac:dyDescent="0.2">
      <c r="B22" t="s">
        <v>50</v>
      </c>
      <c r="C22">
        <v>39.799999999999997</v>
      </c>
      <c r="D22">
        <v>41.7</v>
      </c>
      <c r="E22">
        <v>40.217525999999999</v>
      </c>
      <c r="F22">
        <v>40.607470471131407</v>
      </c>
      <c r="G22">
        <v>40.860198573184732</v>
      </c>
      <c r="H22">
        <v>40.671262748712373</v>
      </c>
      <c r="I22">
        <v>40.607500102697948</v>
      </c>
      <c r="J22">
        <v>40.607714814249483</v>
      </c>
      <c r="K22">
        <v>40.710546285005172</v>
      </c>
      <c r="L22">
        <v>40.674563698087702</v>
      </c>
      <c r="M22">
        <v>41.445415413220388</v>
      </c>
      <c r="N22">
        <v>41.627910452637352</v>
      </c>
      <c r="O22" s="2">
        <v>4.7738693467336717E-2</v>
      </c>
      <c r="P22" s="2">
        <v>1.0490603015075539E-2</v>
      </c>
      <c r="Q22" s="2">
        <v>2.0288202792246409E-2</v>
      </c>
      <c r="R22" s="2">
        <v>2.6638155105144001E-2</v>
      </c>
      <c r="S22" s="2">
        <v>2.1891023836994261E-2</v>
      </c>
      <c r="T22" s="2">
        <v>2.0288947303968689E-2</v>
      </c>
      <c r="U22" s="2">
        <v>2.029434206656977E-2</v>
      </c>
      <c r="V22" s="2">
        <v>2.2878047361938991E-2</v>
      </c>
      <c r="W22" s="2">
        <v>2.1973962263510231E-2</v>
      </c>
      <c r="X22" s="2">
        <v>4.1342095809557611E-2</v>
      </c>
      <c r="Y22" s="2">
        <v>4.5927398307471279E-2</v>
      </c>
    </row>
    <row r="23" spans="2:25" x14ac:dyDescent="0.2">
      <c r="B23" t="s">
        <v>51</v>
      </c>
      <c r="C23">
        <v>38.4</v>
      </c>
      <c r="D23">
        <v>35.5</v>
      </c>
      <c r="E23">
        <v>39.141880999999998</v>
      </c>
      <c r="F23">
        <v>39.47012365271484</v>
      </c>
      <c r="G23">
        <v>36.230980874218162</v>
      </c>
      <c r="H23">
        <v>38.451829027850707</v>
      </c>
      <c r="I23">
        <v>39.470186688091182</v>
      </c>
      <c r="J23">
        <v>39.470707103863617</v>
      </c>
      <c r="K23">
        <v>38.052098031604338</v>
      </c>
      <c r="L23">
        <v>38.452218034614823</v>
      </c>
      <c r="M23">
        <v>40.032723677303643</v>
      </c>
      <c r="N23">
        <v>40.041126684881547</v>
      </c>
      <c r="O23" s="2">
        <v>-7.5520833333333259E-2</v>
      </c>
      <c r="P23" s="2">
        <v>1.931981770833335E-2</v>
      </c>
      <c r="Q23" s="2">
        <v>2.7867803456115729E-2</v>
      </c>
      <c r="R23" s="2">
        <v>-5.6484873067235368E-2</v>
      </c>
      <c r="S23" s="2">
        <v>1.3497142669456339E-3</v>
      </c>
      <c r="T23" s="2">
        <v>2.7869445002374649E-2</v>
      </c>
      <c r="U23" s="2">
        <v>2.788299749644851E-2</v>
      </c>
      <c r="V23" s="2">
        <v>-9.0599470936369997E-3</v>
      </c>
      <c r="W23" s="2">
        <v>1.3598446514278E-3</v>
      </c>
      <c r="X23" s="2">
        <v>4.2518845763115598E-2</v>
      </c>
      <c r="Y23" s="2">
        <v>4.2737674085457263E-2</v>
      </c>
    </row>
    <row r="24" spans="2:25" x14ac:dyDescent="0.2">
      <c r="B24" t="s">
        <v>52</v>
      </c>
      <c r="C24">
        <v>39.6</v>
      </c>
      <c r="D24">
        <v>34.5</v>
      </c>
      <c r="E24">
        <v>42.851410999999999</v>
      </c>
      <c r="F24">
        <v>42.982840415943947</v>
      </c>
      <c r="G24">
        <v>35.903085215980077</v>
      </c>
      <c r="H24">
        <v>40.763209933866008</v>
      </c>
      <c r="I24">
        <v>42.982770891596431</v>
      </c>
      <c r="J24">
        <v>42.982129915912523</v>
      </c>
      <c r="K24">
        <v>40.280488603749319</v>
      </c>
      <c r="L24">
        <v>40.761414899886269</v>
      </c>
      <c r="M24">
        <v>43.103916428731488</v>
      </c>
      <c r="N24">
        <v>43.171003521981653</v>
      </c>
      <c r="O24" s="2">
        <v>-0.12878787878787881</v>
      </c>
      <c r="P24" s="2">
        <v>8.2106338383838295E-2</v>
      </c>
      <c r="Q24" s="2">
        <v>8.5425263028887644E-2</v>
      </c>
      <c r="R24" s="2">
        <v>-9.3356433939896899E-2</v>
      </c>
      <c r="S24" s="2">
        <v>2.9373988228939659E-2</v>
      </c>
      <c r="T24" s="2">
        <v>8.5423507363546092E-2</v>
      </c>
      <c r="U24" s="2">
        <v>8.5407321108902146E-2</v>
      </c>
      <c r="V24" s="2">
        <v>1.71840556502354E-2</v>
      </c>
      <c r="W24" s="2">
        <v>2.932865908803706E-2</v>
      </c>
      <c r="X24" s="2">
        <v>8.8482738099280089E-2</v>
      </c>
      <c r="Y24" s="2">
        <v>9.0176856615698187E-2</v>
      </c>
    </row>
    <row r="25" spans="2:25" x14ac:dyDescent="0.2">
      <c r="B25" t="s">
        <v>68</v>
      </c>
      <c r="C25">
        <v>36.1</v>
      </c>
      <c r="D25">
        <v>36.1</v>
      </c>
      <c r="E25">
        <v>35.478422000000002</v>
      </c>
      <c r="F25">
        <v>35.579265336325832</v>
      </c>
      <c r="G25">
        <v>37.570175367391073</v>
      </c>
      <c r="H25">
        <v>36.100658194891103</v>
      </c>
      <c r="I25">
        <v>35.579446067327503</v>
      </c>
      <c r="J25">
        <v>35.581342783592092</v>
      </c>
      <c r="K25">
        <v>36.138489334071203</v>
      </c>
      <c r="L25">
        <v>36.102669988753171</v>
      </c>
      <c r="M25">
        <v>35.714016839131382</v>
      </c>
      <c r="N25">
        <v>36.401493223206558</v>
      </c>
      <c r="O25" s="2">
        <v>0</v>
      </c>
      <c r="P25" s="2">
        <v>-1.7218227146814421E-2</v>
      </c>
      <c r="Q25" s="2">
        <v>-1.4424782927262351E-2</v>
      </c>
      <c r="R25" s="2">
        <v>4.0725079429115629E-2</v>
      </c>
      <c r="S25" s="2">
        <v>1.8232545459850868E-5</v>
      </c>
      <c r="T25" s="2">
        <v>-1.441977652832427E-2</v>
      </c>
      <c r="U25" s="2">
        <v>-1.43672359115764E-2</v>
      </c>
      <c r="V25" s="2">
        <v>1.066186539368186E-3</v>
      </c>
      <c r="W25" s="2">
        <v>7.3960907289949418E-5</v>
      </c>
      <c r="X25" s="2">
        <v>-1.0692054317690269E-2</v>
      </c>
      <c r="Y25" s="2">
        <v>8.3516128312064453E-3</v>
      </c>
    </row>
    <row r="26" spans="2:25" x14ac:dyDescent="0.2">
      <c r="B26" s="94" t="s">
        <v>145</v>
      </c>
      <c r="C26" s="94"/>
      <c r="D26" s="94"/>
      <c r="E26">
        <f>$E$25/(1+P26)</f>
        <v>35.338213235188043</v>
      </c>
      <c r="L26" s="94" t="s">
        <v>138</v>
      </c>
      <c r="M26" s="94"/>
      <c r="N26" s="94"/>
      <c r="O26" s="94"/>
      <c r="P26" s="1">
        <f>AVERAGE(P14:P24)</f>
        <v>3.9676246186761792E-3</v>
      </c>
    </row>
    <row r="27" spans="2:25" x14ac:dyDescent="0.2">
      <c r="B27" s="95" t="s">
        <v>146</v>
      </c>
      <c r="C27" s="95"/>
      <c r="D27" s="95"/>
      <c r="E27">
        <f>$E$25/(1+P27)</f>
        <v>35.110095921862516</v>
      </c>
      <c r="L27" s="95" t="s">
        <v>140</v>
      </c>
      <c r="M27" s="95"/>
      <c r="N27" s="95"/>
      <c r="O27" s="95"/>
      <c r="P27" s="1">
        <f>MEDIAN(P14:P24)</f>
        <v>1.0490603015075539E-2</v>
      </c>
    </row>
    <row r="28" spans="2:25" x14ac:dyDescent="0.2">
      <c r="B28" s="96" t="s">
        <v>147</v>
      </c>
      <c r="C28" s="96"/>
      <c r="D28" s="96"/>
      <c r="E28">
        <f>$E$25/(1+P28)</f>
        <v>36.783459603078221</v>
      </c>
      <c r="F28">
        <f>$E$25/(1+P23)</f>
        <v>34.805976871678702</v>
      </c>
      <c r="L28" s="96" t="s">
        <v>139</v>
      </c>
      <c r="M28" s="96"/>
      <c r="N28" s="96"/>
      <c r="O28" s="96"/>
      <c r="P28" s="1">
        <f>AVERAGE(P21,P18:P19,P16)</f>
        <v>-3.5478924961397734E-2</v>
      </c>
    </row>
    <row r="29" spans="2:25" x14ac:dyDescent="0.2">
      <c r="B29" s="97" t="s">
        <v>148</v>
      </c>
      <c r="C29" s="97"/>
      <c r="D29" s="97"/>
      <c r="E29">
        <f>$E$25/(1+P29)</f>
        <v>36.715471282600966</v>
      </c>
      <c r="F29" t="e">
        <f>$E$25/(1+'2. Past Proj &amp; Candidate Model'!G35)</f>
        <v>#REF!</v>
      </c>
      <c r="G29" t="e">
        <f>AVERAGE(F29:F30)</f>
        <v>#REF!</v>
      </c>
      <c r="L29" s="97" t="s">
        <v>141</v>
      </c>
      <c r="M29" s="97"/>
      <c r="N29" s="97"/>
      <c r="O29" s="97"/>
      <c r="P29" s="1">
        <f>MEDIAN(P21,P18:P19,P16)</f>
        <v>-3.3692861330291257E-2</v>
      </c>
    </row>
    <row r="30" spans="2:25" x14ac:dyDescent="0.2">
      <c r="B30" s="98" t="s">
        <v>149</v>
      </c>
      <c r="C30" s="98"/>
      <c r="D30" s="98"/>
      <c r="E30">
        <f>$E$25/(1+P30)</f>
        <v>34.562228808785591</v>
      </c>
      <c r="F30">
        <f>$E$25/(1+'2. Past Proj &amp; Candidate Model'!G36)</f>
        <v>34.70666157212608</v>
      </c>
      <c r="L30" s="98" t="s">
        <v>142</v>
      </c>
      <c r="M30" s="98"/>
      <c r="N30" s="98"/>
      <c r="O30" s="98"/>
      <c r="P30" s="1">
        <f>AVERAGE(P22:P24,P20,P17,P14:P15)</f>
        <v>2.6508510093004128E-2</v>
      </c>
    </row>
    <row r="31" spans="2:25" x14ac:dyDescent="0.2">
      <c r="B31" s="99" t="s">
        <v>150</v>
      </c>
      <c r="C31" s="99"/>
      <c r="D31" s="99"/>
      <c r="E31">
        <f>$E$25/(1+P31)</f>
        <v>34.805976871678702</v>
      </c>
      <c r="F31" s="102"/>
      <c r="L31" s="99" t="s">
        <v>143</v>
      </c>
      <c r="M31" s="99"/>
      <c r="N31" s="99"/>
      <c r="O31" s="99"/>
      <c r="P31" s="1">
        <f>MEDIAN(P22:P24,P20,P17,P14:P15)</f>
        <v>1.931981770833335E-2</v>
      </c>
    </row>
    <row r="34" spans="1:4" x14ac:dyDescent="0.2">
      <c r="A34" s="67" t="s">
        <v>99</v>
      </c>
      <c r="B34" t="s">
        <v>151</v>
      </c>
    </row>
    <row r="35" spans="1:4" x14ac:dyDescent="0.2">
      <c r="B35" t="s">
        <v>152</v>
      </c>
    </row>
    <row r="41" spans="1:4" x14ac:dyDescent="0.2">
      <c r="A41" s="67" t="s">
        <v>101</v>
      </c>
      <c r="B41" s="79" t="s">
        <v>153</v>
      </c>
      <c r="C41" s="80">
        <f>E30</f>
        <v>34.562228808785591</v>
      </c>
      <c r="D41" t="s">
        <v>164</v>
      </c>
    </row>
    <row r="43" spans="1:4" x14ac:dyDescent="0.2">
      <c r="B43" s="178" t="s">
        <v>161</v>
      </c>
      <c r="C43" s="178"/>
      <c r="D43" s="2">
        <f>C41/D25-1</f>
        <v>-4.259753992283688E-2</v>
      </c>
    </row>
    <row r="44" spans="1:4" x14ac:dyDescent="0.2">
      <c r="B44" s="166" t="s">
        <v>160</v>
      </c>
      <c r="C44" s="166"/>
      <c r="D44" s="2">
        <f>'1. Data &amp; Confidence Interval'!T25</f>
        <v>-5.993036895784587E-2</v>
      </c>
    </row>
  </sheetData>
  <mergeCells count="2">
    <mergeCell ref="B44:C44"/>
    <mergeCell ref="B43:C43"/>
  </mergeCells>
  <conditionalFormatting sqref="P26:P3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9:W25 Q16:W1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1">
      <colorScale>
        <cfvo type="min"/>
        <cfvo type="max"/>
        <color rgb="FF92D050"/>
        <color rgb="FFFF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2">
      <colorScale>
        <cfvo type="min"/>
        <cfvo type="max"/>
        <color rgb="FF92D050"/>
        <color rgb="FFC00000"/>
      </colorScale>
    </cfRule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cp:lastPrinted>2021-10-19T18:01:06Z</cp:lastPrinted>
  <dcterms:created xsi:type="dcterms:W3CDTF">2021-10-08T16:56:03Z</dcterms:created>
  <dcterms:modified xsi:type="dcterms:W3CDTF">2021-10-29T15:40:37Z</dcterms:modified>
</cp:coreProperties>
</file>