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LIVN\"/>
    </mc:Choice>
  </mc:AlternateContent>
  <xr:revisionPtr revIDLastSave="0" documentId="13_ncr:1_{74BA619B-CC6E-4291-8196-44522F088F38}" xr6:coauthVersionLast="46" xr6:coauthVersionMax="46" xr10:uidLastSave="{00000000-0000-0000-0000-000000000000}"/>
  <bookViews>
    <workbookView minimized="1" xWindow="1425" yWindow="1425" windowWidth="21600" windowHeight="11385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4" l="1"/>
  <c r="M33" i="4"/>
  <c r="D46" i="4"/>
  <c r="W33" i="4"/>
  <c r="L33" i="4" s="1"/>
  <c r="W32" i="4"/>
  <c r="L32" i="4" s="1"/>
  <c r="W31" i="4"/>
  <c r="L31" i="4" s="1"/>
  <c r="W30" i="4"/>
  <c r="L30" i="4" s="1"/>
  <c r="W29" i="4"/>
  <c r="L29" i="4" s="1"/>
  <c r="W28" i="4"/>
  <c r="L28" i="4" s="1"/>
  <c r="C2" i="4"/>
  <c r="J15" i="2"/>
  <c r="R28" i="2"/>
  <c r="R29" i="2"/>
  <c r="S25" i="1"/>
  <c r="P25" i="1"/>
  <c r="S24" i="1"/>
  <c r="P24" i="1"/>
  <c r="AF26" i="1"/>
  <c r="AF25" i="1"/>
  <c r="AF24" i="1"/>
  <c r="AF23" i="1"/>
  <c r="AF21" i="1"/>
  <c r="AF22" i="1"/>
  <c r="AF20" i="1"/>
  <c r="U21" i="1"/>
  <c r="T21" i="1"/>
  <c r="S21" i="1"/>
  <c r="R22" i="1"/>
  <c r="S23" i="1" s="1"/>
  <c r="S22" i="1"/>
  <c r="T23" i="1" s="1"/>
  <c r="R20" i="1"/>
  <c r="S20" i="1"/>
  <c r="J7" i="2"/>
  <c r="J8" i="2"/>
  <c r="J9" i="2"/>
  <c r="J10" i="2"/>
  <c r="J11" i="2"/>
  <c r="J12" i="2"/>
  <c r="J13" i="2"/>
  <c r="J14" i="2"/>
  <c r="J16" i="2"/>
  <c r="J17" i="2"/>
  <c r="J18" i="2"/>
  <c r="J19" i="2"/>
  <c r="J20" i="2"/>
  <c r="J21" i="2"/>
  <c r="J6" i="2"/>
  <c r="AD17" i="1"/>
  <c r="A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E17" i="1"/>
  <c r="D45" i="4" l="1"/>
  <c r="G40" i="2"/>
  <c r="G38" i="2"/>
  <c r="G37" i="2"/>
  <c r="G36" i="2"/>
  <c r="G35" i="2"/>
  <c r="G34" i="2"/>
  <c r="G33" i="2"/>
  <c r="G32" i="2"/>
  <c r="G30" i="2"/>
  <c r="G29" i="2"/>
  <c r="G28" i="2"/>
  <c r="G27" i="2"/>
  <c r="G26" i="2"/>
  <c r="P7" i="2" l="1"/>
  <c r="P12" i="2"/>
  <c r="P13" i="2"/>
  <c r="P19" i="2"/>
  <c r="K7" i="2"/>
  <c r="L7" i="2"/>
  <c r="M7" i="2"/>
  <c r="N7" i="2"/>
  <c r="O7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K13" i="2"/>
  <c r="L13" i="2"/>
  <c r="M13" i="2"/>
  <c r="N13" i="2"/>
  <c r="O13" i="2"/>
  <c r="K14" i="2"/>
  <c r="L14" i="2"/>
  <c r="M14" i="2"/>
  <c r="N14" i="2"/>
  <c r="O14" i="2"/>
  <c r="K15" i="2"/>
  <c r="L15" i="2"/>
  <c r="M15" i="2"/>
  <c r="N15" i="2"/>
  <c r="O15" i="2"/>
  <c r="K16" i="2"/>
  <c r="L16" i="2"/>
  <c r="M16" i="2"/>
  <c r="N16" i="2"/>
  <c r="O16" i="2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K21" i="2"/>
  <c r="L21" i="2"/>
  <c r="M21" i="2"/>
  <c r="N21" i="2"/>
  <c r="O21" i="2"/>
  <c r="P21" i="2"/>
  <c r="P20" i="2"/>
  <c r="P18" i="2"/>
  <c r="P16" i="2"/>
  <c r="P15" i="2"/>
  <c r="P14" i="2"/>
  <c r="P10" i="2"/>
  <c r="P9" i="2"/>
  <c r="P8" i="2"/>
  <c r="Q19" i="2" l="1"/>
  <c r="Q9" i="2"/>
  <c r="Q13" i="2"/>
  <c r="Q21" i="2"/>
  <c r="Q7" i="2"/>
  <c r="Q27" i="2" s="1"/>
  <c r="Q12" i="2"/>
  <c r="Q15" i="2"/>
  <c r="Q14" i="2"/>
  <c r="Q18" i="2"/>
  <c r="Q10" i="2"/>
  <c r="Q16" i="2"/>
  <c r="Q20" i="2"/>
  <c r="Q8" i="2"/>
  <c r="P11" i="2"/>
  <c r="P17" i="2"/>
  <c r="Q17" i="2" s="1"/>
  <c r="AF18" i="1"/>
  <c r="AE18" i="1"/>
  <c r="J26" i="2"/>
  <c r="J27" i="2"/>
  <c r="J37" i="2"/>
  <c r="J38" i="2"/>
  <c r="J39" i="2"/>
  <c r="J36" i="2"/>
  <c r="E40" i="2"/>
  <c r="E39" i="2"/>
  <c r="E38" i="2"/>
  <c r="E37" i="2"/>
  <c r="E35" i="2"/>
  <c r="E34" i="2"/>
  <c r="E33" i="2"/>
  <c r="E32" i="2"/>
  <c r="E31" i="2"/>
  <c r="E30" i="2"/>
  <c r="E29" i="2"/>
  <c r="E28" i="2"/>
  <c r="E27" i="2"/>
  <c r="E26" i="2"/>
  <c r="A26" i="2"/>
  <c r="B26" i="2"/>
  <c r="C26" i="2"/>
  <c r="D26" i="2"/>
  <c r="F26" i="2"/>
  <c r="H26" i="2"/>
  <c r="I26" i="2"/>
  <c r="R26" i="2"/>
  <c r="A27" i="2"/>
  <c r="B27" i="2"/>
  <c r="C27" i="2"/>
  <c r="D27" i="2"/>
  <c r="F27" i="2"/>
  <c r="H27" i="2"/>
  <c r="I27" i="2"/>
  <c r="K27" i="2"/>
  <c r="M27" i="2"/>
  <c r="N27" i="2"/>
  <c r="O27" i="2"/>
  <c r="P27" i="2"/>
  <c r="R27" i="2"/>
  <c r="R22" i="2"/>
  <c r="I22" i="2"/>
  <c r="H22" i="2"/>
  <c r="G22" i="2"/>
  <c r="F22" i="2"/>
  <c r="E22" i="2"/>
  <c r="L27" i="2"/>
  <c r="K22" i="2"/>
  <c r="H36" i="2"/>
  <c r="H37" i="2"/>
  <c r="G39" i="2"/>
  <c r="E36" i="2"/>
  <c r="P22" i="2" l="1"/>
  <c r="Q11" i="2"/>
  <c r="E42" i="2" a="1"/>
  <c r="E42" i="2" s="1"/>
  <c r="E41" i="2" a="1"/>
  <c r="E41" i="2" s="1"/>
  <c r="J22" i="2"/>
  <c r="O22" i="2"/>
  <c r="N22" i="2"/>
  <c r="L22" i="2"/>
  <c r="M22" i="2"/>
  <c r="AE13" i="1"/>
  <c r="Q28" i="2"/>
  <c r="P28" i="2"/>
  <c r="O28" i="2"/>
  <c r="N28" i="2"/>
  <c r="M28" i="2"/>
  <c r="L28" i="2"/>
  <c r="K28" i="2"/>
  <c r="J28" i="2"/>
  <c r="I28" i="2"/>
  <c r="H28" i="2"/>
  <c r="F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8" i="2"/>
  <c r="C28" i="2"/>
  <c r="D28" i="2"/>
  <c r="A28" i="2"/>
  <c r="I24" i="3"/>
  <c r="E24" i="3"/>
  <c r="Q22" i="2" l="1"/>
  <c r="F20" i="3"/>
  <c r="R40" i="2" l="1"/>
  <c r="R39" i="2"/>
  <c r="R38" i="2"/>
  <c r="R36" i="2"/>
  <c r="R35" i="2"/>
  <c r="R34" i="2"/>
  <c r="R33" i="2"/>
  <c r="R32" i="2"/>
  <c r="R31" i="2"/>
  <c r="R30" i="2"/>
  <c r="H20" i="3" l="1"/>
  <c r="R37" i="2" l="1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F29" i="2"/>
  <c r="H29" i="2"/>
  <c r="I29" i="2"/>
  <c r="J29" i="2"/>
  <c r="F30" i="2"/>
  <c r="H30" i="2"/>
  <c r="I30" i="2"/>
  <c r="J30" i="2"/>
  <c r="F31" i="2"/>
  <c r="G31" i="2"/>
  <c r="G43" i="2" s="1"/>
  <c r="H31" i="2"/>
  <c r="I31" i="2"/>
  <c r="J31" i="2"/>
  <c r="F32" i="2"/>
  <c r="H32" i="2"/>
  <c r="I32" i="2"/>
  <c r="J32" i="2"/>
  <c r="F33" i="2"/>
  <c r="H33" i="2"/>
  <c r="I33" i="2"/>
  <c r="J33" i="2"/>
  <c r="F34" i="2"/>
  <c r="H34" i="2"/>
  <c r="I34" i="2"/>
  <c r="J34" i="2"/>
  <c r="F35" i="2"/>
  <c r="H35" i="2"/>
  <c r="I35" i="2"/>
  <c r="J35" i="2"/>
  <c r="F36" i="2"/>
  <c r="I36" i="2"/>
  <c r="F37" i="2"/>
  <c r="I37" i="2"/>
  <c r="F38" i="2"/>
  <c r="H38" i="2"/>
  <c r="I38" i="2"/>
  <c r="F39" i="2"/>
  <c r="H39" i="2"/>
  <c r="I39" i="2"/>
  <c r="F40" i="2"/>
  <c r="H40" i="2"/>
  <c r="I40" i="2"/>
  <c r="J40" i="2"/>
  <c r="P41" i="2" l="1" a="1"/>
  <c r="P41" i="2" s="1"/>
  <c r="G42" i="2" a="1"/>
  <c r="G42" i="2" s="1"/>
  <c r="G41" i="2" a="1"/>
  <c r="G41" i="2" s="1"/>
  <c r="Q42" i="2" a="1"/>
  <c r="Q42" i="2" s="1"/>
  <c r="Q41" i="2" a="1"/>
  <c r="Q41" i="2" s="1"/>
  <c r="O42" i="2" a="1"/>
  <c r="O42" i="2" s="1"/>
  <c r="O41" i="2" a="1"/>
  <c r="O41" i="2" s="1"/>
  <c r="P42" i="2" a="1"/>
  <c r="P42" i="2" s="1"/>
  <c r="N42" i="2" a="1"/>
  <c r="N42" i="2" s="1"/>
  <c r="N41" i="2" a="1"/>
  <c r="N41" i="2" s="1"/>
  <c r="M42" i="2" a="1"/>
  <c r="M42" i="2" s="1"/>
  <c r="M41" i="2" a="1"/>
  <c r="M41" i="2" s="1"/>
  <c r="H42" i="2" a="1"/>
  <c r="H42" i="2" s="1"/>
  <c r="H41" i="2" a="1"/>
  <c r="H41" i="2" s="1"/>
  <c r="F42" i="2" a="1"/>
  <c r="F42" i="2" s="1"/>
  <c r="F41" i="2" a="1"/>
  <c r="F41" i="2" s="1"/>
  <c r="L42" i="2" a="1"/>
  <c r="L42" i="2" s="1"/>
  <c r="L41" i="2" a="1"/>
  <c r="L41" i="2" s="1"/>
  <c r="K42" i="2" a="1"/>
  <c r="K42" i="2" s="1"/>
  <c r="K41" i="2" a="1"/>
  <c r="K41" i="2" s="1"/>
  <c r="J42" i="2" a="1"/>
  <c r="J42" i="2" s="1"/>
  <c r="J41" i="2" a="1"/>
  <c r="J41" i="2" s="1"/>
  <c r="R42" i="2" a="1"/>
  <c r="R42" i="2" s="1"/>
  <c r="R41" i="2" a="1"/>
  <c r="R41" i="2" s="1"/>
  <c r="I42" i="2" a="1"/>
  <c r="I42" i="2" s="1"/>
  <c r="I41" i="2" a="1"/>
  <c r="I41" i="2" s="1"/>
  <c r="U20" i="1" l="1"/>
  <c r="T20" i="1"/>
  <c r="W22" i="1"/>
  <c r="U22" i="1"/>
  <c r="Q20" i="1"/>
  <c r="W20" i="1"/>
  <c r="V20" i="1"/>
  <c r="Y22" i="1"/>
  <c r="P22" i="1"/>
  <c r="F18" i="1"/>
  <c r="P18" i="1"/>
  <c r="P13" i="1"/>
  <c r="P20" i="1"/>
  <c r="L18" i="1"/>
  <c r="L13" i="1"/>
  <c r="W18" i="1"/>
  <c r="W13" i="1"/>
  <c r="G18" i="1"/>
  <c r="H18" i="1"/>
  <c r="T18" i="1"/>
  <c r="T22" i="1"/>
  <c r="T13" i="1"/>
  <c r="M18" i="1"/>
  <c r="M13" i="1"/>
  <c r="R13" i="1"/>
  <c r="R18" i="1"/>
  <c r="AA20" i="1"/>
  <c r="X20" i="1"/>
  <c r="X18" i="1"/>
  <c r="X13" i="1"/>
  <c r="X22" i="1"/>
  <c r="E18" i="1"/>
  <c r="AA13" i="1"/>
  <c r="AA22" i="1"/>
  <c r="I18" i="1"/>
  <c r="I13" i="1"/>
  <c r="N18" i="1"/>
  <c r="N13" i="1"/>
  <c r="V22" i="1"/>
  <c r="K13" i="1"/>
  <c r="K18" i="1"/>
  <c r="O18" i="1"/>
  <c r="O13" i="1"/>
  <c r="J18" i="1"/>
  <c r="J13" i="1"/>
  <c r="V13" i="1"/>
  <c r="V18" i="1"/>
  <c r="Y20" i="1"/>
  <c r="Y13" i="1"/>
  <c r="Q22" i="1"/>
  <c r="Q13" i="1"/>
  <c r="Q18" i="1"/>
  <c r="U13" i="1"/>
  <c r="U18" i="1"/>
  <c r="S18" i="1"/>
  <c r="S13" i="1"/>
  <c r="Z22" i="1"/>
  <c r="Z13" i="1"/>
  <c r="Z20" i="1"/>
  <c r="AB22" i="1"/>
  <c r="AB20" i="1"/>
  <c r="B7" i="1"/>
  <c r="AD22" i="1"/>
  <c r="AD18" i="1"/>
  <c r="AD20" i="1"/>
  <c r="AD13" i="1"/>
  <c r="AB13" i="1"/>
  <c r="AC22" i="1"/>
  <c r="AC18" i="1"/>
  <c r="AC20" i="1"/>
  <c r="AC13" i="1"/>
  <c r="U23" i="1" l="1"/>
  <c r="G10" i="1"/>
  <c r="Y23" i="1"/>
  <c r="AC21" i="1"/>
  <c r="Z21" i="1"/>
  <c r="AC23" i="1"/>
  <c r="AD23" i="1"/>
  <c r="AE10" i="1"/>
  <c r="AB21" i="1"/>
  <c r="AB23" i="1"/>
  <c r="V21" i="1"/>
  <c r="Z23" i="1"/>
  <c r="AA23" i="1"/>
  <c r="V23" i="1"/>
  <c r="AD21" i="1"/>
  <c r="AA21" i="1"/>
  <c r="X21" i="1"/>
  <c r="X23" i="1"/>
  <c r="Y21" i="1"/>
  <c r="W23" i="1"/>
  <c r="W21" i="1"/>
  <c r="H2" i="1" l="1"/>
  <c r="C7" i="1"/>
  <c r="H3" i="1" s="1"/>
  <c r="I2" i="1"/>
  <c r="J2" i="1" l="1"/>
  <c r="K2" i="1" s="1"/>
  <c r="I3" i="1"/>
  <c r="J3" i="1" s="1"/>
  <c r="K3" i="1" s="1"/>
  <c r="J4" i="1" l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<sst xmlns="http://schemas.openxmlformats.org/spreadsheetml/2006/main" count="299" uniqueCount="172">
  <si>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</si>
  <si>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</si>
  <si>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</si>
  <si>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</si>
  <si>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</si>
  <si>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</si>
  <si>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</si>
  <si>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</si>
  <si>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</si>
  <si>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</si>
  <si>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</si>
  <si>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</si>
  <si>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</si>
  <si>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</si>
  <si>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</si>
  <si>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</si>
  <si>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</si>
  <si>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</si>
  <si>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</si>
  <si>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</si>
  <si>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</si>
  <si>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</si>
  <si>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</si>
  <si>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</si>
  <si>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</si>
  <si>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</si>
  <si>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</si>
  <si>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</si>
  <si>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</si>
  <si>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</si>
  <si>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</si>
  <si>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</si>
  <si>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</si>
  <si>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</si>
  <si>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</si>
  <si>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</si>
  <si>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</si>
  <si>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</si>
  <si>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</si>
  <si>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</si>
  <si>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</si>
  <si>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</si>
  <si>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</si>
  <si>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</si>
  <si>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</si>
  <si>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</si>
  <si>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</si>
  <si>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</si>
  <si>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</si>
  <si>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</si>
  <si>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</si>
  <si>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</si>
  <si>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</si>
  <si>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</si>
  <si>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</si>
  <si>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</si>
  <si>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</si>
  <si>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</si>
  <si>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</si>
  <si>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</si>
  <si>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</si>
  <si>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</si>
  <si>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</si>
  <si>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</si>
  <si>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</si>
  <si>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</si>
  <si>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</si>
  <si>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</si>
  <si>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</si>
  <si>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</si>
  <si>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</si>
  <si>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</si>
  <si>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</si>
  <si>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</si>
  <si>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</si>
  <si>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</si>
  <si>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</si>
  <si>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</si>
  <si>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</si>
  <si>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</si>
  <si>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</si>
  <si>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</si>
  <si>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</si>
  <si>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</si>
  <si>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</si>
  <si>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</si>
  <si>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</si>
  <si>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</si>
  <si>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</si>
  <si>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</si>
  <si>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</si>
  <si>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</si>
  <si>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</si>
  <si>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</si>
  <si>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</si>
  <si>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</si>
  <si>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</si>
  <si>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</si>
  <si>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</si>
  <si>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</si>
  <si>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</si>
  <si>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</si>
  <si>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</si>
  <si>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</si>
  <si>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</si>
  <si>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</si>
  <si>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</si>
  <si>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</si>
  <si>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</si>
  <si>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</si>
  <si>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</si>
  <si>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</si>
  <si>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</si>
  <si>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</si>
  <si>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</si>
  <si>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</si>
  <si>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</si>
  <si>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</si>
  <si>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</si>
  <si>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</si>
  <si>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</si>
  <si>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</si>
  <si>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</si>
  <si>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</si>
  <si>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</si>
  <si>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</si>
  <si>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</si>
  <si>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</si>
  <si>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</si>
  <si>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</si>
  <si>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</si>
  <si>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</si>
  <si>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</si>
  <si>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</si>
  <si>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</si>
  <si>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</si>
  <si>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</si>
  <si>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</si>
  <si>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</si>
  <si>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</si>
  <si>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</si>
  <si>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</si>
  <si>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</si>
  <si>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</si>
  <si>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</si>
  <si>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</si>
  <si>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</si>
  <si>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</si>
  <si>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</si>
  <si>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</si>
  <si>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</si>
  <si>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</si>
  <si>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</si>
  <si>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</si>
  <si>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</si>
  <si>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</si>
  <si>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</si>
  <si>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</si>
  <si>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</si>
  <si>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</si>
  <si>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</si>
  <si>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</si>
  <si>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</si>
  <si>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</si>
  <si>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</si>
  <si>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</si>
  <si>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</si>
  <si>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</si>
  <si>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</si>
  <si>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CORRELATION</t>
  </si>
  <si>
    <t>LIVN_NEUROMOD</t>
  </si>
  <si>
    <t>NEUROMODULATION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</si>
</sst>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164" fontId="0" fillId="17" borderId="0" xfId="0" applyNumberFormat="1" applyFill="1"/>
    <xf numFmtId="0" fontId="0" fillId="10" borderId="6" xfId="0" applyFill="1" applyBorder="1"/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G29"/>
  <sheetViews>
    <sheetView topLeftCell="B1" zoomScale="70" zoomScaleNormal="70" workbookViewId="0">
      <selection activeCell="P19" sqref="P19:AD19"/>
    </sheetView>
  </sheetViews>
  <sheetFormatPr defaultRowHeight="12.75" x14ac:dyDescent="0.2"/>
  <cols>
    <col min="1" max="1" width="17.85546875" bestFit="1" customWidth="1"/>
    <col min="2" max="4" width="17.85546875" customWidth="1"/>
    <col min="5" max="30" width="10.7109375" customWidth="1"/>
    <col min="31" max="31" width="17.85546875" customWidth="1"/>
    <col min="32" max="33" width="10.7109375" customWidth="1"/>
  </cols>
  <sheetData>
    <row r="1" spans="1:32" x14ac:dyDescent="0.2">
      <c r="A1" s="131" t="s">
        <v>170</v>
      </c>
      <c r="B1" s="132"/>
      <c r="C1" s="133"/>
      <c r="F1" s="140" t="s">
        <v>35</v>
      </c>
      <c r="G1" s="141"/>
      <c r="H1" s="61" t="s">
        <v>31</v>
      </c>
      <c r="I1" s="61" t="s">
        <v>32</v>
      </c>
      <c r="J1" s="4" t="s">
        <v>39</v>
      </c>
      <c r="K1" s="142" t="s">
        <v>41</v>
      </c>
      <c r="L1" s="143"/>
    </row>
    <row r="2" spans="1:32" x14ac:dyDescent="0.2">
      <c r="A2" s="134"/>
      <c r="B2" s="135"/>
      <c r="C2" s="136"/>
      <c r="F2" s="59" t="s">
        <v>37</v>
      </c>
      <c r="G2" s="60"/>
      <c r="H2" s="62">
        <f>$B$7*($AF$25-2*$AF$26)</f>
        <v>77.983288319217166</v>
      </c>
      <c r="I2" s="62">
        <f>$B$7*($AF$25+2*$AF$26)</f>
        <v>89.926712950889865</v>
      </c>
      <c r="J2" s="64">
        <f>AVERAGE(H2:I2)</f>
        <v>83.955000635053523</v>
      </c>
      <c r="K2" s="144">
        <f>$J$2/AA14-1</f>
        <v>6.1378010556934592E-2</v>
      </c>
      <c r="L2" s="145"/>
    </row>
    <row r="3" spans="1:32" x14ac:dyDescent="0.2">
      <c r="A3" s="137"/>
      <c r="B3" s="138"/>
      <c r="C3" s="139"/>
      <c r="F3" s="45" t="s">
        <v>38</v>
      </c>
      <c r="G3" s="19"/>
      <c r="H3" s="63">
        <f>$C$7*($AF$25-2*$AF$26)</f>
        <v>81.696778239179906</v>
      </c>
      <c r="I3" s="63">
        <f>$C$7*($AF$25+2*$AF$26)</f>
        <v>94.208937377122723</v>
      </c>
      <c r="J3" s="65">
        <f>AVERAGE(H3:I3)</f>
        <v>87.952857808151322</v>
      </c>
      <c r="K3" s="146">
        <f>$J$3/AA15-1</f>
        <v>0.10078670598437189</v>
      </c>
      <c r="L3" s="147"/>
    </row>
    <row r="4" spans="1:32" x14ac:dyDescent="0.2">
      <c r="A4" s="50"/>
      <c r="B4" s="50"/>
      <c r="C4" s="50"/>
      <c r="I4" s="4" t="s">
        <v>40</v>
      </c>
      <c r="J4" s="65">
        <f>AVERAGE(J2:J3)</f>
        <v>85.953929221602422</v>
      </c>
      <c r="K4" s="146">
        <f>$J$4/AA15-1</f>
        <v>7.576882630290882E-2</v>
      </c>
      <c r="L4" s="147"/>
    </row>
    <row r="5" spans="1:32" x14ac:dyDescent="0.2">
      <c r="A5" s="58" t="s">
        <v>34</v>
      </c>
      <c r="B5" s="48" t="s">
        <v>31</v>
      </c>
      <c r="C5" s="49" t="s">
        <v>32</v>
      </c>
    </row>
    <row r="6" spans="1:32" ht="15.75" x14ac:dyDescent="0.25">
      <c r="A6" s="52" t="s">
        <v>33</v>
      </c>
      <c r="B6" s="56">
        <v>981.0150000000001</v>
      </c>
      <c r="C6" s="57">
        <v>1027.7300000000002</v>
      </c>
    </row>
    <row r="7" spans="1:32" ht="14.25" x14ac:dyDescent="0.2">
      <c r="A7" s="53" t="s">
        <v>36</v>
      </c>
      <c r="B7" s="54">
        <f>B6*$AF$24</f>
        <v>334.32348558314027</v>
      </c>
      <c r="C7" s="55">
        <f>C6*$AF$24</f>
        <v>350.24365156328986</v>
      </c>
    </row>
    <row r="10" spans="1:32" x14ac:dyDescent="0.2">
      <c r="E10" s="115" t="s">
        <v>15</v>
      </c>
      <c r="F10" s="115"/>
      <c r="G10" s="35">
        <f>AVERAGE(E13:AE13)</f>
        <v>1.0726203745429519</v>
      </c>
      <c r="AB10" s="115" t="s">
        <v>16</v>
      </c>
      <c r="AC10" s="115"/>
      <c r="AD10" s="115"/>
      <c r="AE10" s="80">
        <f>AVERAGE(AB13:AE13)</f>
        <v>1.3220493744366582</v>
      </c>
    </row>
    <row r="11" spans="1:32" x14ac:dyDescent="0.2">
      <c r="A11" s="51" t="s">
        <v>6</v>
      </c>
      <c r="B11" s="148">
        <v>2012</v>
      </c>
      <c r="C11" s="149"/>
      <c r="D11" s="149"/>
      <c r="E11" s="123">
        <v>2015</v>
      </c>
      <c r="F11" s="124"/>
      <c r="G11" s="124"/>
      <c r="H11" s="125"/>
      <c r="I11" s="123">
        <v>2016</v>
      </c>
      <c r="J11" s="124"/>
      <c r="K11" s="124"/>
      <c r="L11" s="125"/>
      <c r="M11" s="156">
        <v>2017</v>
      </c>
      <c r="N11" s="157"/>
      <c r="O11" s="157"/>
      <c r="P11" s="158"/>
      <c r="Q11" s="152">
        <v>2018</v>
      </c>
      <c r="R11" s="153"/>
      <c r="S11" s="153"/>
      <c r="T11" s="154"/>
      <c r="U11" s="117">
        <v>2019</v>
      </c>
      <c r="V11" s="118"/>
      <c r="W11" s="118"/>
      <c r="X11" s="119"/>
      <c r="Y11" s="120">
        <v>2020</v>
      </c>
      <c r="Z11" s="121"/>
      <c r="AA11" s="121"/>
      <c r="AB11" s="122"/>
      <c r="AC11" s="123">
        <v>2021</v>
      </c>
      <c r="AD11" s="124"/>
      <c r="AE11" s="124"/>
      <c r="AF11" s="125"/>
    </row>
    <row r="12" spans="1:32" x14ac:dyDescent="0.2">
      <c r="A12" s="14" t="s">
        <v>19</v>
      </c>
      <c r="B12" s="102" t="s">
        <v>20</v>
      </c>
      <c r="C12" s="102" t="s">
        <v>3</v>
      </c>
      <c r="D12" s="102" t="s">
        <v>4</v>
      </c>
      <c r="E12" s="21" t="s">
        <v>20</v>
      </c>
      <c r="F12" s="22" t="s">
        <v>3</v>
      </c>
      <c r="G12" s="22" t="s">
        <v>4</v>
      </c>
      <c r="H12" s="22" t="s">
        <v>5</v>
      </c>
      <c r="I12" s="21" t="s">
        <v>20</v>
      </c>
      <c r="J12" s="22" t="s">
        <v>3</v>
      </c>
      <c r="K12" s="22" t="s">
        <v>4</v>
      </c>
      <c r="L12" s="22" t="s">
        <v>5</v>
      </c>
      <c r="M12" s="23" t="s">
        <v>20</v>
      </c>
      <c r="N12" s="24" t="s">
        <v>3</v>
      </c>
      <c r="O12" s="24" t="s">
        <v>4</v>
      </c>
      <c r="P12" s="24" t="s">
        <v>5</v>
      </c>
      <c r="Q12" s="25" t="s">
        <v>20</v>
      </c>
      <c r="R12" s="26" t="s">
        <v>3</v>
      </c>
      <c r="S12" s="26" t="s">
        <v>4</v>
      </c>
      <c r="T12" s="26" t="s">
        <v>5</v>
      </c>
      <c r="U12" s="27" t="s">
        <v>20</v>
      </c>
      <c r="V12" s="28" t="s">
        <v>3</v>
      </c>
      <c r="W12" s="28" t="s">
        <v>4</v>
      </c>
      <c r="X12" s="28" t="s">
        <v>5</v>
      </c>
      <c r="Y12" s="29" t="s">
        <v>20</v>
      </c>
      <c r="Z12" s="20" t="s">
        <v>3</v>
      </c>
      <c r="AA12" s="20" t="s">
        <v>4</v>
      </c>
      <c r="AB12" s="20" t="s">
        <v>5</v>
      </c>
      <c r="AC12" s="37" t="s">
        <v>20</v>
      </c>
      <c r="AD12" s="38" t="s">
        <v>3</v>
      </c>
      <c r="AE12" s="39" t="s">
        <v>21</v>
      </c>
      <c r="AF12" s="30" t="s">
        <v>22</v>
      </c>
    </row>
    <row r="13" spans="1:32" x14ac:dyDescent="0.2">
      <c r="A13" s="34" t="s">
        <v>2</v>
      </c>
      <c r="B13" s="103"/>
      <c r="C13" s="103"/>
      <c r="D13" s="103"/>
      <c r="E13" s="84"/>
      <c r="F13" s="84"/>
      <c r="G13" s="84"/>
      <c r="H13" s="84"/>
      <c r="I13" s="84">
        <f t="shared" ref="I13:AD13" si="0">I15/E15</f>
        <v>1.2208695652173913</v>
      </c>
      <c r="J13" s="84">
        <f t="shared" si="0"/>
        <v>1.191823899371069</v>
      </c>
      <c r="K13" s="84">
        <f t="shared" si="0"/>
        <v>1.0564174894217206</v>
      </c>
      <c r="L13" s="84">
        <f t="shared" si="0"/>
        <v>1.0104166666666667</v>
      </c>
      <c r="M13" s="84">
        <f t="shared" si="0"/>
        <v>1.0498575498575498</v>
      </c>
      <c r="N13" s="84">
        <f t="shared" si="0"/>
        <v>1.0738786279683379</v>
      </c>
      <c r="O13" s="84">
        <f t="shared" si="0"/>
        <v>1.0186915887850465</v>
      </c>
      <c r="P13" s="84">
        <f t="shared" si="0"/>
        <v>1.1030927835051547</v>
      </c>
      <c r="Q13" s="84">
        <f t="shared" si="0"/>
        <v>1.0583446404341927</v>
      </c>
      <c r="R13" s="84">
        <f t="shared" si="0"/>
        <v>1.0982800982800982</v>
      </c>
      <c r="S13" s="84">
        <f t="shared" si="0"/>
        <v>1.142857142857143</v>
      </c>
      <c r="T13" s="84">
        <f t="shared" si="0"/>
        <v>1.1028037383177571</v>
      </c>
      <c r="U13" s="84">
        <f t="shared" si="0"/>
        <v>0.98589743589743595</v>
      </c>
      <c r="V13" s="84">
        <f t="shared" si="0"/>
        <v>0.90156599552572692</v>
      </c>
      <c r="W13" s="84">
        <f t="shared" si="0"/>
        <v>1.0137614678899083</v>
      </c>
      <c r="X13" s="84">
        <f t="shared" si="0"/>
        <v>0.94809322033898302</v>
      </c>
      <c r="Y13" s="84">
        <f t="shared" si="0"/>
        <v>0.95318595578673593</v>
      </c>
      <c r="Z13" s="84">
        <f t="shared" si="0"/>
        <v>0.54838709677419362</v>
      </c>
      <c r="AA13" s="84">
        <f t="shared" si="0"/>
        <v>0.90384615384615385</v>
      </c>
      <c r="AB13" s="84">
        <f t="shared" si="0"/>
        <v>0.95195530726256983</v>
      </c>
      <c r="AC13" s="84">
        <f t="shared" si="0"/>
        <v>1.1227830832196453</v>
      </c>
      <c r="AD13" s="84">
        <f t="shared" si="0"/>
        <v>2.0769230769230766</v>
      </c>
      <c r="AE13" s="84">
        <f>AE14/AA14</f>
        <v>1.1365360303413403</v>
      </c>
      <c r="AF13" s="31"/>
    </row>
    <row r="14" spans="1:32" x14ac:dyDescent="0.2">
      <c r="A14" s="15" t="s">
        <v>0</v>
      </c>
      <c r="B14" s="6"/>
      <c r="C14" s="6"/>
      <c r="D14" s="6"/>
      <c r="E14">
        <v>57.5</v>
      </c>
      <c r="F14">
        <v>63.6</v>
      </c>
      <c r="G14">
        <v>70.900000000000006</v>
      </c>
      <c r="H14">
        <v>76.8</v>
      </c>
      <c r="I14">
        <v>70.2</v>
      </c>
      <c r="J14">
        <v>75.8</v>
      </c>
      <c r="K14">
        <v>74.900000000000006</v>
      </c>
      <c r="L14">
        <v>77.7</v>
      </c>
      <c r="M14">
        <v>73.7</v>
      </c>
      <c r="N14">
        <v>81.400000000000006</v>
      </c>
      <c r="O14">
        <v>76.3</v>
      </c>
      <c r="P14">
        <v>85.6</v>
      </c>
      <c r="Q14">
        <v>78</v>
      </c>
      <c r="R14">
        <v>89.4</v>
      </c>
      <c r="S14">
        <v>87.2</v>
      </c>
      <c r="T14">
        <v>94.4</v>
      </c>
      <c r="U14">
        <v>76.7</v>
      </c>
      <c r="V14">
        <v>80.599999999999994</v>
      </c>
      <c r="W14">
        <v>88.3</v>
      </c>
      <c r="X14">
        <v>89.2</v>
      </c>
      <c r="Y14">
        <v>72.8</v>
      </c>
      <c r="Z14">
        <v>43.9</v>
      </c>
      <c r="AA14">
        <v>79.099999999999994</v>
      </c>
      <c r="AB14">
        <v>85</v>
      </c>
      <c r="AC14">
        <v>82</v>
      </c>
      <c r="AD14">
        <v>91.8</v>
      </c>
      <c r="AE14">
        <v>89.9</v>
      </c>
      <c r="AF14">
        <v>94.8</v>
      </c>
    </row>
    <row r="15" spans="1:32" x14ac:dyDescent="0.2">
      <c r="A15" s="15" t="s">
        <v>1</v>
      </c>
      <c r="B15" s="6"/>
      <c r="C15" s="6"/>
      <c r="D15" s="6"/>
      <c r="E15">
        <v>57.5</v>
      </c>
      <c r="F15">
        <v>63.6</v>
      </c>
      <c r="G15">
        <v>70.900000000000006</v>
      </c>
      <c r="H15">
        <v>76.8</v>
      </c>
      <c r="I15">
        <v>70.2</v>
      </c>
      <c r="J15">
        <v>75.8</v>
      </c>
      <c r="K15">
        <v>74.900000000000006</v>
      </c>
      <c r="L15">
        <v>77.599999999999994</v>
      </c>
      <c r="M15">
        <v>73.7</v>
      </c>
      <c r="N15">
        <v>81.400000000000006</v>
      </c>
      <c r="O15">
        <v>76.3</v>
      </c>
      <c r="P15">
        <v>85.6</v>
      </c>
      <c r="Q15">
        <v>78</v>
      </c>
      <c r="R15">
        <v>89.4</v>
      </c>
      <c r="S15">
        <v>87.2</v>
      </c>
      <c r="T15">
        <v>94.4</v>
      </c>
      <c r="U15">
        <v>76.900000000000006</v>
      </c>
      <c r="V15">
        <v>80.599999999999994</v>
      </c>
      <c r="W15">
        <v>88.4</v>
      </c>
      <c r="X15">
        <v>89.5</v>
      </c>
      <c r="Y15">
        <v>73.3</v>
      </c>
      <c r="Z15">
        <v>44.2</v>
      </c>
      <c r="AA15">
        <v>79.900000000000006</v>
      </c>
      <c r="AB15">
        <v>85.2</v>
      </c>
      <c r="AC15">
        <v>82.3</v>
      </c>
      <c r="AD15">
        <v>91.8</v>
      </c>
    </row>
    <row r="16" spans="1:32" x14ac:dyDescent="0.2">
      <c r="A16" s="15" t="s">
        <v>157</v>
      </c>
      <c r="B16" s="9"/>
      <c r="C16" s="9"/>
      <c r="D16" s="9"/>
      <c r="E16" s="81">
        <v>241.2</v>
      </c>
      <c r="F16" s="81">
        <v>271.8</v>
      </c>
      <c r="G16" s="81">
        <v>253.8</v>
      </c>
      <c r="H16" s="81">
        <v>281.60000000000002</v>
      </c>
      <c r="I16" s="81">
        <v>234.2</v>
      </c>
      <c r="J16" s="81">
        <v>261.5</v>
      </c>
      <c r="K16" s="81">
        <v>238.5</v>
      </c>
      <c r="L16" s="81">
        <v>249.6</v>
      </c>
      <c r="M16" s="81">
        <v>226.8</v>
      </c>
      <c r="N16" s="81">
        <v>255.8</v>
      </c>
      <c r="O16" s="81">
        <v>251.3</v>
      </c>
      <c r="P16" s="81">
        <v>278.39999999999998</v>
      </c>
      <c r="Q16" s="81">
        <v>250.4</v>
      </c>
      <c r="R16" s="81">
        <v>287.5</v>
      </c>
      <c r="S16" s="81">
        <v>272.10000000000002</v>
      </c>
      <c r="T16" s="81">
        <v>297</v>
      </c>
      <c r="U16" s="81">
        <v>250.8</v>
      </c>
      <c r="V16" s="81">
        <v>277.2</v>
      </c>
      <c r="W16" s="81">
        <v>268.60000000000002</v>
      </c>
      <c r="X16" s="81">
        <v>287.60000000000002</v>
      </c>
      <c r="Y16" s="81">
        <v>242.4</v>
      </c>
      <c r="Z16" s="81">
        <v>182.2</v>
      </c>
      <c r="AA16" s="81">
        <v>240.1</v>
      </c>
      <c r="AB16" s="81">
        <v>269.60000000000002</v>
      </c>
      <c r="AC16" s="81">
        <v>247.6</v>
      </c>
      <c r="AD16">
        <v>264.5</v>
      </c>
      <c r="AE16" s="81">
        <v>244.5</v>
      </c>
      <c r="AF16" s="81"/>
    </row>
    <row r="17" spans="1:33" x14ac:dyDescent="0.2">
      <c r="A17" s="85" t="s">
        <v>18</v>
      </c>
      <c r="B17" s="86"/>
      <c r="C17" s="86"/>
      <c r="D17" s="86"/>
      <c r="E17" s="86">
        <f>E15/E16</f>
        <v>0.23839137645107797</v>
      </c>
      <c r="F17" s="86">
        <f t="shared" ref="F17:AC17" si="1">F15/F16</f>
        <v>0.23399558498896247</v>
      </c>
      <c r="G17" s="86">
        <f t="shared" si="1"/>
        <v>0.27935382190701341</v>
      </c>
      <c r="H17" s="86">
        <f t="shared" si="1"/>
        <v>0.27272727272727271</v>
      </c>
      <c r="I17" s="86">
        <f t="shared" si="1"/>
        <v>0.29974380871050388</v>
      </c>
      <c r="J17" s="86">
        <f t="shared" si="1"/>
        <v>0.2898661567877629</v>
      </c>
      <c r="K17" s="86">
        <f t="shared" si="1"/>
        <v>0.31404612159329143</v>
      </c>
      <c r="L17" s="86">
        <f t="shared" si="1"/>
        <v>0.3108974358974359</v>
      </c>
      <c r="M17" s="86">
        <f t="shared" si="1"/>
        <v>0.32495590828924165</v>
      </c>
      <c r="N17" s="86">
        <f t="shared" si="1"/>
        <v>0.31821735731039874</v>
      </c>
      <c r="O17" s="86">
        <f t="shared" si="1"/>
        <v>0.30362116991643451</v>
      </c>
      <c r="P17" s="86">
        <f t="shared" si="1"/>
        <v>0.30747126436781608</v>
      </c>
      <c r="Q17" s="86">
        <f t="shared" si="1"/>
        <v>0.31150159744408945</v>
      </c>
      <c r="R17" s="86">
        <f t="shared" si="1"/>
        <v>0.31095652173913046</v>
      </c>
      <c r="S17" s="86">
        <f t="shared" si="1"/>
        <v>0.32047041528849685</v>
      </c>
      <c r="T17" s="86">
        <f t="shared" si="1"/>
        <v>0.31784511784511787</v>
      </c>
      <c r="U17" s="86">
        <f t="shared" si="1"/>
        <v>0.30661881977671451</v>
      </c>
      <c r="V17" s="86">
        <f t="shared" si="1"/>
        <v>0.29076479076479078</v>
      </c>
      <c r="W17" s="86">
        <f t="shared" si="1"/>
        <v>0.32911392405063289</v>
      </c>
      <c r="X17" s="86">
        <f t="shared" si="1"/>
        <v>0.31119610570236439</v>
      </c>
      <c r="Y17" s="86">
        <f t="shared" si="1"/>
        <v>0.30239273927392735</v>
      </c>
      <c r="Z17" s="86">
        <f t="shared" si="1"/>
        <v>0.24259055982436886</v>
      </c>
      <c r="AA17" s="86">
        <f t="shared" si="1"/>
        <v>0.33277800916284883</v>
      </c>
      <c r="AB17" s="86">
        <f t="shared" si="1"/>
        <v>0.31602373887240354</v>
      </c>
      <c r="AC17" s="86">
        <f t="shared" si="1"/>
        <v>0.33239095315024231</v>
      </c>
      <c r="AD17" s="86">
        <f>AD15/AD16</f>
        <v>0.34706994328922497</v>
      </c>
      <c r="AE17" s="86">
        <f>AE14/AE16</f>
        <v>0.36768916155419223</v>
      </c>
      <c r="AF17" s="87"/>
    </row>
    <row r="18" spans="1:33" x14ac:dyDescent="0.2">
      <c r="A18" s="85" t="s">
        <v>24</v>
      </c>
      <c r="B18" s="86"/>
      <c r="C18" s="86"/>
      <c r="D18" s="86"/>
      <c r="E18" s="86">
        <f>E15/SUM(E15:H15)</f>
        <v>0.21391369047619047</v>
      </c>
      <c r="F18" s="86">
        <f>F15/SUM(E15:H15)</f>
        <v>0.23660714285714285</v>
      </c>
      <c r="G18" s="86">
        <f>G15/SUM(E15:H15)</f>
        <v>0.26376488095238099</v>
      </c>
      <c r="H18" s="88">
        <f>H15/SUM(E15:H15)</f>
        <v>0.2857142857142857</v>
      </c>
      <c r="I18" s="86">
        <f>I15/SUM(I15:L15)</f>
        <v>0.23517587939698492</v>
      </c>
      <c r="J18" s="86">
        <f>J15/SUM(I15:L15)</f>
        <v>0.25393634840871021</v>
      </c>
      <c r="K18" s="86">
        <f>K15/SUM(I15:L15)</f>
        <v>0.25092127303182582</v>
      </c>
      <c r="L18" s="88">
        <f>L15/SUM(I15:L15)</f>
        <v>0.25996649916247905</v>
      </c>
      <c r="M18" s="86">
        <f>M15/SUM(M15:P15)</f>
        <v>0.23249211356466878</v>
      </c>
      <c r="N18" s="86">
        <f>N15/SUM(M15:P15)</f>
        <v>0.25678233438485804</v>
      </c>
      <c r="O18" s="86">
        <f>O15/SUM(M15:P15)</f>
        <v>0.24069400630914825</v>
      </c>
      <c r="P18" s="88">
        <f>P15/SUM(M15:P15)</f>
        <v>0.27003154574132493</v>
      </c>
      <c r="Q18" s="86">
        <f>Q15/SUM(Q15:T15)</f>
        <v>0.22349570200573066</v>
      </c>
      <c r="R18" s="86">
        <f>R15/SUM(Q15:T15)</f>
        <v>0.25616045845272206</v>
      </c>
      <c r="S18" s="86">
        <f>S15/SUM(Q15:T15)</f>
        <v>0.24985673352435531</v>
      </c>
      <c r="T18" s="88">
        <f>T15/SUM(Q15:T15)</f>
        <v>0.270487106017192</v>
      </c>
      <c r="U18" s="86">
        <f>U15/SUM(U15:X15)</f>
        <v>0.22927847346452002</v>
      </c>
      <c r="V18" s="86">
        <f>V15/SUM(U15:X15)</f>
        <v>0.24031007751937986</v>
      </c>
      <c r="W18" s="86">
        <f>W15/SUM(U15:X15)</f>
        <v>0.26356589147286824</v>
      </c>
      <c r="X18" s="88">
        <f>X15/SUM(U15:X15)</f>
        <v>0.26684555754323197</v>
      </c>
      <c r="Y18" s="86"/>
      <c r="Z18" s="86"/>
      <c r="AA18" s="86"/>
      <c r="AB18" s="88"/>
      <c r="AC18" s="86">
        <f>AC15/SUM(AC15:AD15,AE14:AF14)</f>
        <v>0.22937569676700109</v>
      </c>
      <c r="AD18" s="86">
        <f>AD15/SUM(AC15:AD15,AE14:AF14)</f>
        <v>0.25585284280936454</v>
      </c>
      <c r="AE18" s="86">
        <f>AE14/SUM(AC15:AD15,AE14:AF14)</f>
        <v>0.25055741360089184</v>
      </c>
      <c r="AF18" s="88">
        <f>AF14/SUM(AC15:AD15,AE14:AF14)</f>
        <v>0.26421404682274247</v>
      </c>
      <c r="AG18" s="3"/>
    </row>
    <row r="19" spans="1:33" x14ac:dyDescent="0.2">
      <c r="A19" s="16" t="s">
        <v>17</v>
      </c>
      <c r="B19" s="12"/>
      <c r="C19" s="12"/>
      <c r="D19" s="12"/>
      <c r="E19" s="11"/>
      <c r="F19" s="12"/>
      <c r="G19" s="12"/>
      <c r="H19" s="13"/>
      <c r="I19" s="9"/>
      <c r="J19" s="12"/>
      <c r="K19" s="12"/>
      <c r="L19" s="6"/>
      <c r="M19" s="82"/>
      <c r="P19">
        <v>84.6</v>
      </c>
      <c r="Q19">
        <v>79.599999999999994</v>
      </c>
      <c r="R19">
        <v>88.6</v>
      </c>
      <c r="S19">
        <v>84.1</v>
      </c>
      <c r="T19">
        <v>91.7</v>
      </c>
      <c r="U19">
        <v>78.8</v>
      </c>
      <c r="V19">
        <v>75.3</v>
      </c>
      <c r="W19">
        <v>79.400000000000006</v>
      </c>
      <c r="X19">
        <v>91.1</v>
      </c>
      <c r="Y19">
        <v>76.400000000000006</v>
      </c>
      <c r="Z19">
        <v>42.5</v>
      </c>
      <c r="AA19">
        <v>62.8</v>
      </c>
      <c r="AB19">
        <v>84.5</v>
      </c>
      <c r="AC19">
        <v>72.8</v>
      </c>
      <c r="AD19">
        <v>81</v>
      </c>
      <c r="AE19" s="83"/>
      <c r="AF19" s="13"/>
    </row>
    <row r="20" spans="1:33" x14ac:dyDescent="0.2">
      <c r="E20" s="7"/>
      <c r="F20" s="7"/>
      <c r="I20" s="7"/>
      <c r="J20" s="7"/>
      <c r="K20" s="7"/>
      <c r="N20" s="126" t="s">
        <v>7</v>
      </c>
      <c r="O20" s="127"/>
      <c r="P20" s="7">
        <f t="shared" ref="P20:AC20" si="2">IF(P15&gt;P19,1,0)</f>
        <v>1</v>
      </c>
      <c r="Q20" s="7">
        <f t="shared" si="2"/>
        <v>0</v>
      </c>
      <c r="R20" s="7">
        <f t="shared" si="2"/>
        <v>1</v>
      </c>
      <c r="S20" s="7">
        <f t="shared" si="2"/>
        <v>1</v>
      </c>
      <c r="T20" s="7">
        <f t="shared" si="2"/>
        <v>1</v>
      </c>
      <c r="U20" s="7">
        <f t="shared" si="2"/>
        <v>0</v>
      </c>
      <c r="V20" s="7">
        <f t="shared" si="2"/>
        <v>1</v>
      </c>
      <c r="W20" s="7">
        <f t="shared" si="2"/>
        <v>1</v>
      </c>
      <c r="X20" s="7">
        <f t="shared" si="2"/>
        <v>0</v>
      </c>
      <c r="Y20" s="7">
        <f t="shared" si="2"/>
        <v>0</v>
      </c>
      <c r="Z20" s="7">
        <f t="shared" si="2"/>
        <v>1</v>
      </c>
      <c r="AA20" s="7">
        <f t="shared" si="2"/>
        <v>1</v>
      </c>
      <c r="AB20" s="7">
        <f t="shared" si="2"/>
        <v>1</v>
      </c>
      <c r="AC20" s="7">
        <f t="shared" si="2"/>
        <v>1</v>
      </c>
      <c r="AD20" s="8">
        <f>IF(AD15&gt;AD19,1,0)</f>
        <v>1</v>
      </c>
      <c r="AE20" s="45" t="s">
        <v>8</v>
      </c>
      <c r="AF20" s="42">
        <f>AVERAGE(P20:AD20)</f>
        <v>0.73333333333333328</v>
      </c>
    </row>
    <row r="21" spans="1:33" x14ac:dyDescent="0.2">
      <c r="I21" s="6"/>
      <c r="J21" s="6"/>
      <c r="K21" s="6"/>
      <c r="N21" s="150" t="s">
        <v>9</v>
      </c>
      <c r="O21" s="151"/>
      <c r="P21" s="6"/>
      <c r="Q21" s="6"/>
      <c r="R21" s="6"/>
      <c r="S21" s="6">
        <f>AVERAGE(P20:S20)</f>
        <v>0.75</v>
      </c>
      <c r="T21" s="6">
        <f>AVERAGE(Q20:T20)</f>
        <v>0.75</v>
      </c>
      <c r="U21" s="6">
        <f>AVERAGE(R20:U20)</f>
        <v>0.75</v>
      </c>
      <c r="V21" s="6">
        <f t="shared" ref="V21:AD21" si="3">AVERAGE(S20:V20)</f>
        <v>0.75</v>
      </c>
      <c r="W21" s="6">
        <f t="shared" si="3"/>
        <v>0.75</v>
      </c>
      <c r="X21" s="6">
        <f t="shared" si="3"/>
        <v>0.5</v>
      </c>
      <c r="Y21" s="6">
        <f t="shared" si="3"/>
        <v>0.5</v>
      </c>
      <c r="Z21" s="6">
        <f t="shared" si="3"/>
        <v>0.5</v>
      </c>
      <c r="AA21" s="6">
        <f t="shared" si="3"/>
        <v>0.5</v>
      </c>
      <c r="AB21" s="6">
        <f t="shared" si="3"/>
        <v>0.75</v>
      </c>
      <c r="AC21" s="6">
        <f>AVERAGE(Z20:AC20)</f>
        <v>1</v>
      </c>
      <c r="AD21" s="10">
        <f t="shared" si="3"/>
        <v>1</v>
      </c>
      <c r="AE21" s="41" t="s">
        <v>10</v>
      </c>
      <c r="AF21" s="42">
        <f>AVERAGE(S21:AD21)</f>
        <v>0.70833333333333337</v>
      </c>
    </row>
    <row r="22" spans="1:33" x14ac:dyDescent="0.2">
      <c r="E22" s="18"/>
      <c r="F22" s="18"/>
      <c r="I22" s="18"/>
      <c r="J22" s="18"/>
      <c r="K22" s="18"/>
      <c r="N22" s="111" t="s">
        <v>11</v>
      </c>
      <c r="O22" s="155"/>
      <c r="P22" s="18">
        <f t="shared" ref="P22:AD22" si="4">P15/P19-1</f>
        <v>1.1820330969267046E-2</v>
      </c>
      <c r="Q22" s="18">
        <f t="shared" si="4"/>
        <v>-2.010050251256279E-2</v>
      </c>
      <c r="R22" s="18">
        <f t="shared" si="4"/>
        <v>9.0293453724605843E-3</v>
      </c>
      <c r="S22" s="18">
        <f t="shared" si="4"/>
        <v>3.6860879904875299E-2</v>
      </c>
      <c r="T22" s="18">
        <f t="shared" si="4"/>
        <v>2.9443838604144013E-2</v>
      </c>
      <c r="U22" s="18">
        <f t="shared" si="4"/>
        <v>-2.4111675126903487E-2</v>
      </c>
      <c r="V22" s="18">
        <f t="shared" si="4"/>
        <v>7.038512616201853E-2</v>
      </c>
      <c r="W22" s="18">
        <f t="shared" si="4"/>
        <v>0.11335012594458438</v>
      </c>
      <c r="X22" s="18">
        <f t="shared" si="4"/>
        <v>-1.7563117453347932E-2</v>
      </c>
      <c r="Y22" s="18">
        <f t="shared" si="4"/>
        <v>-4.0575916230366604E-2</v>
      </c>
      <c r="Z22" s="18">
        <f t="shared" si="4"/>
        <v>4.0000000000000036E-2</v>
      </c>
      <c r="AA22" s="18">
        <f t="shared" si="4"/>
        <v>0.27229299363057335</v>
      </c>
      <c r="AB22" s="18">
        <f t="shared" si="4"/>
        <v>8.2840236686390067E-3</v>
      </c>
      <c r="AC22" s="18">
        <f t="shared" si="4"/>
        <v>0.13049450549450547</v>
      </c>
      <c r="AD22" s="40">
        <f t="shared" si="4"/>
        <v>0.1333333333333333</v>
      </c>
      <c r="AE22" s="41" t="s">
        <v>13</v>
      </c>
      <c r="AF22" s="43">
        <f>AVERAGE(P22:AD22)</f>
        <v>5.0196219450748016E-2</v>
      </c>
    </row>
    <row r="23" spans="1:33" x14ac:dyDescent="0.2">
      <c r="I23" s="32"/>
      <c r="J23" s="32"/>
      <c r="K23" s="32"/>
      <c r="N23" s="150" t="s">
        <v>12</v>
      </c>
      <c r="O23" s="151"/>
      <c r="P23" s="32"/>
      <c r="Q23" s="32"/>
      <c r="R23" s="32"/>
      <c r="S23" s="32">
        <f t="shared" ref="S23:T23" si="5">AVERAGE(R22:S22,N22:O22)</f>
        <v>2.2945112638667942E-2</v>
      </c>
      <c r="T23" s="32">
        <f t="shared" si="5"/>
        <v>2.6041683159428786E-2</v>
      </c>
      <c r="U23" s="32">
        <f>AVERAGE(T22:U22,P22:Q22)</f>
        <v>-7.370020165138047E-4</v>
      </c>
      <c r="V23" s="32">
        <f t="shared" ref="V23:AD23" si="6">AVERAGE(S22:V22)</f>
        <v>2.8144542386033589E-2</v>
      </c>
      <c r="W23" s="32">
        <f t="shared" si="6"/>
        <v>4.7266853895960859E-2</v>
      </c>
      <c r="X23" s="32">
        <f t="shared" si="6"/>
        <v>3.5515114881587873E-2</v>
      </c>
      <c r="Y23" s="32">
        <f t="shared" si="6"/>
        <v>3.1399054605722093E-2</v>
      </c>
      <c r="Z23" s="32">
        <f t="shared" si="6"/>
        <v>2.380277306521747E-2</v>
      </c>
      <c r="AA23" s="32">
        <f t="shared" si="6"/>
        <v>6.3538489986714713E-2</v>
      </c>
      <c r="AB23" s="32">
        <f t="shared" si="6"/>
        <v>7.0000275267211448E-2</v>
      </c>
      <c r="AC23" s="32">
        <f t="shared" si="6"/>
        <v>0.11276788069842947</v>
      </c>
      <c r="AD23" s="33">
        <f t="shared" si="6"/>
        <v>0.13610121403176278</v>
      </c>
      <c r="AE23" s="19" t="s">
        <v>14</v>
      </c>
      <c r="AF23" s="33">
        <f>AVERAGE(S23:AD23)</f>
        <v>4.9732166050018602E-2</v>
      </c>
    </row>
    <row r="24" spans="1:33" x14ac:dyDescent="0.2">
      <c r="N24" s="126" t="s">
        <v>25</v>
      </c>
      <c r="O24" s="127"/>
      <c r="P24" s="98">
        <f>AVERAGE(P22,R22:T22,V22:W22,Z22:AA22,AB22:AD22)</f>
        <v>7.7754045734945543E-2</v>
      </c>
      <c r="Q24" s="111" t="s">
        <v>29</v>
      </c>
      <c r="R24" s="112"/>
      <c r="S24" s="46">
        <f>MEDIAN(P22,R22:T22,V22:W22,Z22:AA22,AB22:AD22)</f>
        <v>4.0000000000000036E-2</v>
      </c>
      <c r="AA24" s="3"/>
      <c r="AB24" s="128" t="s">
        <v>23</v>
      </c>
      <c r="AC24" s="129"/>
      <c r="AD24" s="129"/>
      <c r="AE24" s="130"/>
      <c r="AF24" s="44">
        <f>AVERAGE(AB17:AE17)</f>
        <v>0.34079344921651578</v>
      </c>
    </row>
    <row r="25" spans="1:33" x14ac:dyDescent="0.2">
      <c r="N25" s="113" t="s">
        <v>26</v>
      </c>
      <c r="O25" s="116"/>
      <c r="P25" s="97">
        <f>AVERAGE(Q22,U22,X22:Y22)</f>
        <v>-2.5587802830795203E-2</v>
      </c>
      <c r="Q25" s="113" t="s">
        <v>30</v>
      </c>
      <c r="R25" s="114"/>
      <c r="S25" s="33">
        <f>MEDIAN(Q22,U22,X22:Y22)</f>
        <v>-2.2106088819733138E-2</v>
      </c>
      <c r="AB25" s="107" t="s">
        <v>27</v>
      </c>
      <c r="AC25" s="108"/>
      <c r="AD25" s="108"/>
      <c r="AE25" s="108"/>
      <c r="AF25" s="46">
        <f>AVERAGE(AE18,K18,O18,W18,S18)</f>
        <v>0.25111906358781788</v>
      </c>
    </row>
    <row r="26" spans="1:33" x14ac:dyDescent="0.2">
      <c r="AB26" s="109" t="s">
        <v>28</v>
      </c>
      <c r="AC26" s="110"/>
      <c r="AD26" s="110"/>
      <c r="AE26" s="110"/>
      <c r="AF26" s="47">
        <f>_xlfn.STDEV.S(AE18,K18,G18,O18,W18,S18)</f>
        <v>8.9310392080596025E-3</v>
      </c>
    </row>
    <row r="29" spans="1:33" ht="18" customHeight="1" x14ac:dyDescent="0.2"/>
  </sheetData>
  <mergeCells count="27">
    <mergeCell ref="K4:L4"/>
    <mergeCell ref="B11:D11"/>
    <mergeCell ref="N21:O21"/>
    <mergeCell ref="Q11:T11"/>
    <mergeCell ref="N24:O24"/>
    <mergeCell ref="N23:O23"/>
    <mergeCell ref="N22:O22"/>
    <mergeCell ref="E11:H11"/>
    <mergeCell ref="I11:L11"/>
    <mergeCell ref="M11:P11"/>
    <mergeCell ref="A1:C3"/>
    <mergeCell ref="F1:G1"/>
    <mergeCell ref="K1:L1"/>
    <mergeCell ref="K2:L2"/>
    <mergeCell ref="K3:L3"/>
    <mergeCell ref="AB25:AE25"/>
    <mergeCell ref="AB26:AE26"/>
    <mergeCell ref="Q24:R24"/>
    <mergeCell ref="Q25:R25"/>
    <mergeCell ref="E10:F10"/>
    <mergeCell ref="AB10:AD10"/>
    <mergeCell ref="N25:O25"/>
    <mergeCell ref="U11:X11"/>
    <mergeCell ref="Y11:AB11"/>
    <mergeCell ref="AC11:AF11"/>
    <mergeCell ref="N20:O20"/>
    <mergeCell ref="AB24:AE24"/>
  </mergeCells>
  <conditionalFormatting sqref="I20:K20 E20:F20 AF20 P20:A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K21 AF21 P21:AD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K22 E22:F22 P22:AD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I23:K23 P23:AD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F22:AF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F20:AF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F20:AF21 AF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I22:K22 E22:F22 P22:AD22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I23:K23 P23:AD23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AF22:AF23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AF20:AF21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AF20:AF21 AF24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topLeftCell="A4" zoomScale="85" zoomScaleNormal="85" workbookViewId="0">
      <selection activeCell="N41" sqref="N41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1" t="s">
        <v>75</v>
      </c>
      <c r="B4" s="161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170</v>
      </c>
      <c r="B6" t="s">
        <v>171</v>
      </c>
      <c r="C6" s="106" t="s">
        <v>167</v>
      </c>
      <c r="D6">
        <v>20180222</v>
      </c>
      <c r="E6">
        <v>93.339239000000006</v>
      </c>
      <c r="F6">
        <v>90.441630000000004</v>
      </c>
      <c r="G6">
        <v>77.079217999999997</v>
      </c>
      <c r="H6">
        <v>87.159942999999998</v>
      </c>
      <c r="I6">
        <v>98.654788999999994</v>
      </c>
      <c r="J6">
        <f>AVERAGE(E6:I6)</f>
        <v>89.334963799999997</v>
      </c>
      <c r="R6">
        <v>84.6</v>
      </c>
      <c r="S6">
        <v>85.6</v>
      </c>
      <c r="T6" s="90"/>
      <c r="U6" s="89"/>
    </row>
    <row r="7" spans="1:21" x14ac:dyDescent="0.2">
      <c r="A7" t="s">
        <v>170</v>
      </c>
      <c r="B7" t="s">
        <v>171</v>
      </c>
      <c r="C7" s="106" t="s">
        <v>42</v>
      </c>
      <c r="D7">
        <v>20180426</v>
      </c>
      <c r="E7">
        <v>76.190781999999999</v>
      </c>
      <c r="F7">
        <v>76.904852000000005</v>
      </c>
      <c r="G7">
        <v>62.094912000000001</v>
      </c>
      <c r="H7">
        <v>76.193385000000006</v>
      </c>
      <c r="I7">
        <v>90.982326999999998</v>
      </c>
      <c r="J7">
        <f t="shared" ref="J7:J21" si="0">AVERAGE(E7:I7)</f>
        <v>76.473251599999998</v>
      </c>
      <c r="K7">
        <f t="shared" ref="K7:K21" si="1">(E7/E6)*$S6</f>
        <v>69.873410251394901</v>
      </c>
      <c r="L7">
        <f t="shared" ref="L7:L21" si="2">(F7/F6)*$S6</f>
        <v>72.787889063918911</v>
      </c>
      <c r="M7">
        <f t="shared" ref="M7:M21" si="3">(G7/G6)*$S6</f>
        <v>68.959242259048352</v>
      </c>
      <c r="N7">
        <f t="shared" ref="N7:N21" si="4">(H7/H6)*$S6</f>
        <v>74.829715710116972</v>
      </c>
      <c r="O7">
        <f t="shared" ref="O7:O21" si="5">(I7/I6)*$S6</f>
        <v>78.942819402310008</v>
      </c>
      <c r="P7">
        <f t="shared" ref="P7:P21" si="6">(J7/J6)*$S6</f>
        <v>73.276017121529293</v>
      </c>
      <c r="Q7">
        <f t="shared" ref="Q7:Q21" si="7">AVERAGE(K7:P7)</f>
        <v>73.111515634719737</v>
      </c>
      <c r="R7">
        <v>79.599999999999994</v>
      </c>
      <c r="S7">
        <v>78</v>
      </c>
      <c r="T7" s="90"/>
      <c r="U7" s="89"/>
    </row>
    <row r="8" spans="1:21" x14ac:dyDescent="0.2">
      <c r="A8" t="s">
        <v>170</v>
      </c>
      <c r="B8" t="s">
        <v>171</v>
      </c>
      <c r="C8" s="106" t="s">
        <v>43</v>
      </c>
      <c r="D8">
        <v>20180726</v>
      </c>
      <c r="E8">
        <v>80.387735000000006</v>
      </c>
      <c r="F8">
        <v>83.567445000000006</v>
      </c>
      <c r="G8">
        <v>82.380222000000003</v>
      </c>
      <c r="H8">
        <v>79.276338999999993</v>
      </c>
      <c r="I8">
        <v>94.661440999999996</v>
      </c>
      <c r="J8">
        <f t="shared" si="0"/>
        <v>84.054636400000007</v>
      </c>
      <c r="K8">
        <f t="shared" si="1"/>
        <v>82.29661338821802</v>
      </c>
      <c r="L8">
        <f t="shared" si="2"/>
        <v>84.757470308895464</v>
      </c>
      <c r="M8">
        <f t="shared" si="3"/>
        <v>103.48122107009347</v>
      </c>
      <c r="N8">
        <f t="shared" si="4"/>
        <v>81.156053665288653</v>
      </c>
      <c r="O8">
        <f t="shared" si="5"/>
        <v>81.154138847207108</v>
      </c>
      <c r="P8">
        <f t="shared" si="6"/>
        <v>85.732743175262087</v>
      </c>
      <c r="Q8">
        <f t="shared" si="7"/>
        <v>86.429706742494133</v>
      </c>
      <c r="R8">
        <v>88.6</v>
      </c>
      <c r="S8">
        <v>89.4</v>
      </c>
      <c r="T8" s="9"/>
      <c r="U8" s="62"/>
    </row>
    <row r="9" spans="1:21" x14ac:dyDescent="0.2">
      <c r="A9" t="s">
        <v>170</v>
      </c>
      <c r="B9" t="s">
        <v>171</v>
      </c>
      <c r="C9" s="106" t="s">
        <v>44</v>
      </c>
      <c r="D9">
        <v>20181025</v>
      </c>
      <c r="E9">
        <v>89.954886000000002</v>
      </c>
      <c r="F9">
        <v>88.753433000000001</v>
      </c>
      <c r="G9">
        <v>93.684644000000006</v>
      </c>
      <c r="H9">
        <v>91.244707000000005</v>
      </c>
      <c r="I9">
        <v>103.104992</v>
      </c>
      <c r="J9">
        <f t="shared" si="0"/>
        <v>93.348532399999996</v>
      </c>
      <c r="K9">
        <f t="shared" si="1"/>
        <v>100.03972382602893</v>
      </c>
      <c r="L9">
        <f t="shared" si="2"/>
        <v>94.947941871383051</v>
      </c>
      <c r="M9">
        <f t="shared" si="3"/>
        <v>101.66769365588746</v>
      </c>
      <c r="N9">
        <f t="shared" si="4"/>
        <v>102.8967395404069</v>
      </c>
      <c r="O9">
        <f t="shared" si="5"/>
        <v>97.374244332494385</v>
      </c>
      <c r="P9">
        <f t="shared" si="6"/>
        <v>99.284931254071779</v>
      </c>
      <c r="Q9">
        <f t="shared" si="7"/>
        <v>99.368545746712087</v>
      </c>
      <c r="R9">
        <v>84.1</v>
      </c>
      <c r="S9">
        <v>87.2</v>
      </c>
      <c r="T9" s="9"/>
      <c r="U9" s="62"/>
    </row>
    <row r="10" spans="1:21" x14ac:dyDescent="0.2">
      <c r="A10" t="s">
        <v>170</v>
      </c>
      <c r="B10" t="s">
        <v>171</v>
      </c>
      <c r="C10" s="106" t="s">
        <v>45</v>
      </c>
      <c r="D10">
        <v>20190221</v>
      </c>
      <c r="E10">
        <v>98.513441999999998</v>
      </c>
      <c r="F10">
        <v>92.283664999999999</v>
      </c>
      <c r="G10">
        <v>91.718652000000006</v>
      </c>
      <c r="H10">
        <v>109.810079</v>
      </c>
      <c r="I10">
        <v>117.78760699999999</v>
      </c>
      <c r="J10">
        <f t="shared" si="0"/>
        <v>102.02268899999999</v>
      </c>
      <c r="K10">
        <f t="shared" si="1"/>
        <v>95.496448546441371</v>
      </c>
      <c r="L10">
        <f t="shared" si="2"/>
        <v>90.66844307870322</v>
      </c>
      <c r="M10">
        <f t="shared" si="3"/>
        <v>85.370089621090955</v>
      </c>
      <c r="N10">
        <f t="shared" si="4"/>
        <v>104.94240382403771</v>
      </c>
      <c r="O10">
        <f t="shared" si="5"/>
        <v>99.617672541015295</v>
      </c>
      <c r="P10">
        <f t="shared" si="6"/>
        <v>95.30282107359622</v>
      </c>
      <c r="Q10">
        <f t="shared" si="7"/>
        <v>95.232979780814119</v>
      </c>
      <c r="R10">
        <v>91.7</v>
      </c>
      <c r="S10">
        <v>94.4</v>
      </c>
      <c r="T10" s="9"/>
      <c r="U10" s="62"/>
    </row>
    <row r="11" spans="1:21" x14ac:dyDescent="0.2">
      <c r="A11" t="s">
        <v>170</v>
      </c>
      <c r="B11" t="s">
        <v>171</v>
      </c>
      <c r="C11" s="106" t="s">
        <v>46</v>
      </c>
      <c r="D11">
        <v>20190425</v>
      </c>
      <c r="E11">
        <v>90.505726999999993</v>
      </c>
      <c r="F11">
        <v>86.763373000000001</v>
      </c>
      <c r="G11">
        <v>64.796486999999999</v>
      </c>
      <c r="H11">
        <v>85.900566999999995</v>
      </c>
      <c r="I11">
        <v>97.951763</v>
      </c>
      <c r="J11">
        <f t="shared" si="0"/>
        <v>85.183583400000003</v>
      </c>
      <c r="K11">
        <f t="shared" si="1"/>
        <v>86.726648215174535</v>
      </c>
      <c r="L11">
        <f t="shared" si="2"/>
        <v>88.75311151979065</v>
      </c>
      <c r="M11">
        <f t="shared" si="3"/>
        <v>66.69077924084624</v>
      </c>
      <c r="N11">
        <f t="shared" si="4"/>
        <v>73.8458035787407</v>
      </c>
      <c r="O11">
        <f t="shared" si="5"/>
        <v>78.502710622179478</v>
      </c>
      <c r="P11">
        <f t="shared" si="6"/>
        <v>78.819038703831865</v>
      </c>
      <c r="Q11">
        <f t="shared" si="7"/>
        <v>78.889681980093926</v>
      </c>
      <c r="R11">
        <v>78.8</v>
      </c>
      <c r="S11">
        <v>76.900000000000006</v>
      </c>
      <c r="T11" s="9"/>
      <c r="U11" s="62"/>
    </row>
    <row r="12" spans="1:21" x14ac:dyDescent="0.2">
      <c r="A12" t="s">
        <v>170</v>
      </c>
      <c r="B12" t="s">
        <v>171</v>
      </c>
      <c r="C12" s="106" t="s">
        <v>47</v>
      </c>
      <c r="D12">
        <v>20190725</v>
      </c>
      <c r="E12">
        <v>86.485135999999997</v>
      </c>
      <c r="F12">
        <v>88.897653000000005</v>
      </c>
      <c r="G12">
        <v>82.592422999999997</v>
      </c>
      <c r="H12">
        <v>74.661432000000005</v>
      </c>
      <c r="I12">
        <v>89.124781999999996</v>
      </c>
      <c r="J12">
        <f t="shared" si="0"/>
        <v>84.352285199999997</v>
      </c>
      <c r="K12">
        <f t="shared" si="1"/>
        <v>73.483824492123034</v>
      </c>
      <c r="L12">
        <f t="shared" si="2"/>
        <v>78.791652275897576</v>
      </c>
      <c r="M12">
        <f t="shared" si="3"/>
        <v>98.020087550425387</v>
      </c>
      <c r="N12">
        <f t="shared" si="4"/>
        <v>66.838489212766206</v>
      </c>
      <c r="O12">
        <f t="shared" si="5"/>
        <v>69.970111061706973</v>
      </c>
      <c r="P12">
        <f t="shared" si="6"/>
        <v>76.149540474485377</v>
      </c>
      <c r="Q12">
        <f t="shared" si="7"/>
        <v>77.208950844567426</v>
      </c>
      <c r="R12">
        <v>75.3</v>
      </c>
      <c r="S12">
        <v>80.599999999999994</v>
      </c>
      <c r="T12" s="9"/>
      <c r="U12" s="62"/>
    </row>
    <row r="13" spans="1:21" x14ac:dyDescent="0.2">
      <c r="A13" t="s">
        <v>170</v>
      </c>
      <c r="B13" t="s">
        <v>171</v>
      </c>
      <c r="C13" s="106" t="s">
        <v>48</v>
      </c>
      <c r="D13">
        <v>20191024</v>
      </c>
      <c r="E13">
        <v>88.012090000000001</v>
      </c>
      <c r="F13">
        <v>91.469120000000004</v>
      </c>
      <c r="G13">
        <v>93.530482000000006</v>
      </c>
      <c r="H13">
        <v>77.583528000000001</v>
      </c>
      <c r="I13">
        <v>92.406351999999998</v>
      </c>
      <c r="J13">
        <f t="shared" si="0"/>
        <v>88.600314400000002</v>
      </c>
      <c r="K13">
        <f t="shared" si="1"/>
        <v>82.023047914268176</v>
      </c>
      <c r="L13">
        <f t="shared" si="2"/>
        <v>82.931447830236863</v>
      </c>
      <c r="M13">
        <f t="shared" si="3"/>
        <v>91.274194113423704</v>
      </c>
      <c r="N13">
        <f t="shared" si="4"/>
        <v>83.754519425772585</v>
      </c>
      <c r="O13">
        <f t="shared" si="5"/>
        <v>83.567687954625228</v>
      </c>
      <c r="P13">
        <f t="shared" si="6"/>
        <v>84.659061976900659</v>
      </c>
      <c r="Q13">
        <f t="shared" si="7"/>
        <v>84.701659869204533</v>
      </c>
      <c r="R13">
        <v>79.400000000000006</v>
      </c>
      <c r="S13">
        <v>88.4</v>
      </c>
      <c r="T13" s="9"/>
      <c r="U13" s="62"/>
    </row>
    <row r="14" spans="1:21" x14ac:dyDescent="0.2">
      <c r="A14" t="s">
        <v>170</v>
      </c>
      <c r="B14" t="s">
        <v>171</v>
      </c>
      <c r="C14" s="106" t="s">
        <v>49</v>
      </c>
      <c r="D14">
        <v>20200220</v>
      </c>
      <c r="E14">
        <v>98.632701999999995</v>
      </c>
      <c r="F14">
        <v>96.612931000000003</v>
      </c>
      <c r="G14">
        <v>94.752853000000002</v>
      </c>
      <c r="H14">
        <v>92.892053000000004</v>
      </c>
      <c r="I14">
        <v>90.228448</v>
      </c>
      <c r="J14">
        <f t="shared" si="0"/>
        <v>94.623797400000001</v>
      </c>
      <c r="K14">
        <f t="shared" si="1"/>
        <v>99.067421950779703</v>
      </c>
      <c r="L14">
        <f t="shared" si="2"/>
        <v>93.371217525652384</v>
      </c>
      <c r="M14">
        <f t="shared" si="3"/>
        <v>89.555319571645114</v>
      </c>
      <c r="N14">
        <f t="shared" si="4"/>
        <v>105.84279546039723</v>
      </c>
      <c r="O14">
        <f t="shared" si="5"/>
        <v>86.316520786363256</v>
      </c>
      <c r="P14">
        <f t="shared" si="6"/>
        <v>94.40986464671056</v>
      </c>
      <c r="Q14">
        <f t="shared" si="7"/>
        <v>94.760523323591372</v>
      </c>
      <c r="R14">
        <v>91.1</v>
      </c>
      <c r="S14">
        <v>89.5</v>
      </c>
      <c r="T14" s="9"/>
      <c r="U14" s="62"/>
    </row>
    <row r="15" spans="1:21" x14ac:dyDescent="0.2">
      <c r="A15" t="s">
        <v>170</v>
      </c>
      <c r="B15" t="s">
        <v>171</v>
      </c>
      <c r="C15" s="106" t="s">
        <v>50</v>
      </c>
      <c r="D15">
        <v>20200423</v>
      </c>
      <c r="E15">
        <v>86.472651999999997</v>
      </c>
      <c r="F15">
        <v>82.915880000000001</v>
      </c>
      <c r="G15">
        <v>69.170270000000002</v>
      </c>
      <c r="H15">
        <v>87.791871999999998</v>
      </c>
      <c r="I15">
        <v>83.304366999999999</v>
      </c>
      <c r="J15">
        <f>AVERAGE(E15:I15)</f>
        <v>81.931008200000008</v>
      </c>
      <c r="K15">
        <f t="shared" si="1"/>
        <v>78.465886030375614</v>
      </c>
      <c r="L15">
        <f t="shared" si="2"/>
        <v>76.811366586114644</v>
      </c>
      <c r="M15">
        <f t="shared" si="3"/>
        <v>65.335649207311988</v>
      </c>
      <c r="N15">
        <f t="shared" si="4"/>
        <v>84.586057582342377</v>
      </c>
      <c r="O15">
        <f t="shared" si="5"/>
        <v>82.631819695047838</v>
      </c>
      <c r="P15">
        <f t="shared" si="6"/>
        <v>77.494514439134107</v>
      </c>
      <c r="Q15">
        <f t="shared" si="7"/>
        <v>77.554215590054426</v>
      </c>
      <c r="R15">
        <v>76.400000000000006</v>
      </c>
      <c r="S15">
        <v>73.3</v>
      </c>
      <c r="T15" s="9"/>
      <c r="U15" s="62"/>
    </row>
    <row r="16" spans="1:21" x14ac:dyDescent="0.2">
      <c r="A16" t="s">
        <v>170</v>
      </c>
      <c r="B16" t="s">
        <v>171</v>
      </c>
      <c r="C16" s="106" t="s">
        <v>51</v>
      </c>
      <c r="D16">
        <v>20200723</v>
      </c>
      <c r="E16">
        <v>62.947549000000002</v>
      </c>
      <c r="F16">
        <v>60.481758999999997</v>
      </c>
      <c r="G16">
        <v>41.479635999999999</v>
      </c>
      <c r="H16">
        <v>60.674446000000003</v>
      </c>
      <c r="I16">
        <v>59.841633999999999</v>
      </c>
      <c r="J16">
        <f t="shared" si="0"/>
        <v>57.0850048</v>
      </c>
      <c r="K16">
        <f t="shared" si="1"/>
        <v>53.358550188792634</v>
      </c>
      <c r="L16">
        <f t="shared" si="2"/>
        <v>53.467597940225673</v>
      </c>
      <c r="M16">
        <f t="shared" si="3"/>
        <v>43.956129111538814</v>
      </c>
      <c r="N16">
        <f t="shared" si="4"/>
        <v>50.658868417796121</v>
      </c>
      <c r="O16">
        <f t="shared" si="5"/>
        <v>52.655003935147846</v>
      </c>
      <c r="P16">
        <f t="shared" si="6"/>
        <v>51.07139462541118</v>
      </c>
      <c r="Q16">
        <f t="shared" si="7"/>
        <v>50.861257369818709</v>
      </c>
      <c r="R16">
        <v>42.5</v>
      </c>
      <c r="S16">
        <v>44.2</v>
      </c>
      <c r="T16" s="9"/>
      <c r="U16" s="62"/>
    </row>
    <row r="17" spans="1:21" x14ac:dyDescent="0.2">
      <c r="A17" t="s">
        <v>170</v>
      </c>
      <c r="B17" t="s">
        <v>171</v>
      </c>
      <c r="C17" s="106" t="s">
        <v>52</v>
      </c>
      <c r="D17">
        <v>20201022</v>
      </c>
      <c r="E17">
        <v>62.354106999999999</v>
      </c>
      <c r="F17">
        <v>69.862786</v>
      </c>
      <c r="G17">
        <v>65.408096</v>
      </c>
      <c r="H17">
        <v>60.728765000000003</v>
      </c>
      <c r="I17">
        <v>69.717865000000003</v>
      </c>
      <c r="J17">
        <f t="shared" si="0"/>
        <v>65.614323799999994</v>
      </c>
      <c r="K17">
        <f t="shared" si="1"/>
        <v>43.783301704090178</v>
      </c>
      <c r="L17">
        <f t="shared" si="2"/>
        <v>51.055643755334565</v>
      </c>
      <c r="M17">
        <f t="shared" si="3"/>
        <v>69.697763095124557</v>
      </c>
      <c r="N17">
        <f t="shared" si="4"/>
        <v>44.239570197311735</v>
      </c>
      <c r="O17">
        <f t="shared" si="5"/>
        <v>51.494744160896417</v>
      </c>
      <c r="P17">
        <f t="shared" si="6"/>
        <v>50.804114357541401</v>
      </c>
      <c r="Q17">
        <f t="shared" si="7"/>
        <v>51.845856211716473</v>
      </c>
      <c r="R17">
        <v>62.8</v>
      </c>
      <c r="S17">
        <v>79.900000000000006</v>
      </c>
      <c r="T17" s="9"/>
      <c r="U17" s="62"/>
    </row>
    <row r="18" spans="1:21" x14ac:dyDescent="0.2">
      <c r="A18" t="s">
        <v>170</v>
      </c>
      <c r="B18" t="s">
        <v>171</v>
      </c>
      <c r="C18" s="106" t="s">
        <v>53</v>
      </c>
      <c r="D18">
        <v>20210218</v>
      </c>
      <c r="E18">
        <v>73.861188999999996</v>
      </c>
      <c r="F18">
        <v>75.837331000000006</v>
      </c>
      <c r="G18">
        <v>88.036068</v>
      </c>
      <c r="H18">
        <v>71.957708999999994</v>
      </c>
      <c r="I18">
        <v>76.126576</v>
      </c>
      <c r="J18">
        <f t="shared" si="0"/>
        <v>77.163774599999996</v>
      </c>
      <c r="K18">
        <f t="shared" si="1"/>
        <v>94.645072875472351</v>
      </c>
      <c r="L18">
        <f t="shared" si="2"/>
        <v>86.732910234928241</v>
      </c>
      <c r="M18">
        <f t="shared" si="3"/>
        <v>107.54145531464485</v>
      </c>
      <c r="N18">
        <f t="shared" si="4"/>
        <v>94.673767021278962</v>
      </c>
      <c r="O18">
        <f t="shared" si="5"/>
        <v>87.244688608866596</v>
      </c>
      <c r="P18">
        <f t="shared" si="6"/>
        <v>93.964019340240483</v>
      </c>
      <c r="Q18">
        <f t="shared" si="7"/>
        <v>94.133652232571919</v>
      </c>
      <c r="R18">
        <v>84.5</v>
      </c>
      <c r="S18">
        <v>85.2</v>
      </c>
      <c r="T18" s="9"/>
      <c r="U18" s="62"/>
    </row>
    <row r="19" spans="1:21" x14ac:dyDescent="0.2">
      <c r="A19" t="s">
        <v>170</v>
      </c>
      <c r="B19" t="s">
        <v>171</v>
      </c>
      <c r="C19" s="106" t="s">
        <v>54</v>
      </c>
      <c r="D19">
        <v>20210422</v>
      </c>
      <c r="E19">
        <v>83.315085999999994</v>
      </c>
      <c r="F19">
        <v>78.490047000000004</v>
      </c>
      <c r="G19">
        <v>80.035042000000004</v>
      </c>
      <c r="H19">
        <v>79.270647999999994</v>
      </c>
      <c r="I19">
        <v>91.555069000000003</v>
      </c>
      <c r="J19">
        <f t="shared" si="0"/>
        <v>82.533178399999997</v>
      </c>
      <c r="K19">
        <f t="shared" si="1"/>
        <v>96.105213350952155</v>
      </c>
      <c r="L19">
        <f t="shared" si="2"/>
        <v>88.180213045736011</v>
      </c>
      <c r="M19">
        <f t="shared" si="3"/>
        <v>77.456725786526491</v>
      </c>
      <c r="N19">
        <f t="shared" si="4"/>
        <v>93.858730405105035</v>
      </c>
      <c r="O19">
        <f t="shared" si="5"/>
        <v>102.46739428816554</v>
      </c>
      <c r="P19">
        <f t="shared" si="6"/>
        <v>91.128600643649705</v>
      </c>
      <c r="Q19">
        <f t="shared" si="7"/>
        <v>91.532812920022494</v>
      </c>
      <c r="R19">
        <v>72.8</v>
      </c>
      <c r="S19">
        <v>82.3</v>
      </c>
    </row>
    <row r="20" spans="1:21" x14ac:dyDescent="0.2">
      <c r="A20" t="s">
        <v>170</v>
      </c>
      <c r="B20" t="s">
        <v>171</v>
      </c>
      <c r="C20" s="106" t="s">
        <v>55</v>
      </c>
      <c r="D20">
        <v>20210722</v>
      </c>
      <c r="E20">
        <v>81.529448000000002</v>
      </c>
      <c r="F20">
        <v>77.987694000000005</v>
      </c>
      <c r="G20">
        <v>86.134300999999994</v>
      </c>
      <c r="H20">
        <v>82.222441000000003</v>
      </c>
      <c r="I20">
        <v>86.960837999999995</v>
      </c>
      <c r="J20">
        <f t="shared" si="0"/>
        <v>82.966944399999988</v>
      </c>
      <c r="K20">
        <f t="shared" si="1"/>
        <v>80.536117677415589</v>
      </c>
      <c r="L20">
        <f t="shared" si="2"/>
        <v>81.773262490211025</v>
      </c>
      <c r="M20">
        <f t="shared" si="3"/>
        <v>88.571865462380828</v>
      </c>
      <c r="N20">
        <f t="shared" si="4"/>
        <v>85.364596670131931</v>
      </c>
      <c r="O20">
        <f t="shared" si="5"/>
        <v>78.170188123608966</v>
      </c>
      <c r="P20">
        <f t="shared" si="6"/>
        <v>82.732540494526731</v>
      </c>
      <c r="Q20">
        <f t="shared" si="7"/>
        <v>82.858095153045852</v>
      </c>
      <c r="R20">
        <v>81</v>
      </c>
      <c r="S20">
        <v>91.8</v>
      </c>
    </row>
    <row r="21" spans="1:21" x14ac:dyDescent="0.2">
      <c r="A21" t="s">
        <v>170</v>
      </c>
      <c r="B21" t="s">
        <v>171</v>
      </c>
      <c r="C21" s="106" t="s">
        <v>71</v>
      </c>
      <c r="D21">
        <v>20210722</v>
      </c>
      <c r="E21">
        <v>92.326723000000001</v>
      </c>
      <c r="F21">
        <v>85.500917000000001</v>
      </c>
      <c r="G21">
        <v>70.001906000000005</v>
      </c>
      <c r="H21">
        <v>98.144226000000003</v>
      </c>
      <c r="I21">
        <v>91.636938000000001</v>
      </c>
      <c r="J21">
        <f t="shared" si="0"/>
        <v>87.522142000000002</v>
      </c>
      <c r="K21">
        <f t="shared" si="1"/>
        <v>103.95744579798945</v>
      </c>
      <c r="L21">
        <f t="shared" si="2"/>
        <v>100.64388082304367</v>
      </c>
      <c r="M21">
        <f t="shared" si="3"/>
        <v>74.606456384895964</v>
      </c>
      <c r="N21">
        <f t="shared" si="4"/>
        <v>109.57641049357801</v>
      </c>
      <c r="O21">
        <f t="shared" si="5"/>
        <v>96.736313746194583</v>
      </c>
      <c r="P21">
        <f t="shared" si="6"/>
        <v>96.840165606966735</v>
      </c>
      <c r="Q21">
        <f t="shared" si="7"/>
        <v>97.060112142111407</v>
      </c>
      <c r="R21">
        <v>89.9</v>
      </c>
      <c r="S21" s="99"/>
    </row>
    <row r="22" spans="1:21" x14ac:dyDescent="0.2">
      <c r="A22" s="159" t="s">
        <v>169</v>
      </c>
      <c r="B22" s="160"/>
      <c r="C22" s="160"/>
      <c r="D22" s="160"/>
      <c r="E22" s="100">
        <f t="shared" ref="E22:R22" si="8">CORREL(E6:E21,$S6:$S21)</f>
        <v>0.59913737112290821</v>
      </c>
      <c r="F22" s="100">
        <f t="shared" si="8"/>
        <v>0.70459452547306134</v>
      </c>
      <c r="G22" s="100">
        <f t="shared" si="8"/>
        <v>0.88423527824118542</v>
      </c>
      <c r="H22" s="100">
        <f t="shared" si="8"/>
        <v>0.58717186696577994</v>
      </c>
      <c r="I22" s="100">
        <f t="shared" si="8"/>
        <v>0.69832607215364162</v>
      </c>
      <c r="J22" s="101">
        <f t="shared" si="8"/>
        <v>0.78435999600547324</v>
      </c>
      <c r="K22" s="100">
        <f t="shared" si="8"/>
        <v>0.60801020983651766</v>
      </c>
      <c r="L22" s="100">
        <f t="shared" si="8"/>
        <v>0.68819660348559575</v>
      </c>
      <c r="M22" s="101">
        <f t="shared" si="8"/>
        <v>0.78607538375798969</v>
      </c>
      <c r="N22" s="100">
        <f t="shared" si="8"/>
        <v>0.65614326319317562</v>
      </c>
      <c r="O22" s="100">
        <f t="shared" si="8"/>
        <v>0.62835372283187974</v>
      </c>
      <c r="P22" s="100">
        <f t="shared" si="8"/>
        <v>0.73144659505465726</v>
      </c>
      <c r="Q22" s="100">
        <f t="shared" si="8"/>
        <v>0.74118580549331958</v>
      </c>
      <c r="R22" s="101">
        <f t="shared" si="8"/>
        <v>0.88988150149509937</v>
      </c>
      <c r="S22" s="5"/>
    </row>
    <row r="24" spans="1:21" x14ac:dyDescent="0.2">
      <c r="A24" s="162" t="s">
        <v>76</v>
      </c>
      <c r="B24" s="163"/>
    </row>
    <row r="25" spans="1:21" x14ac:dyDescent="0.2">
      <c r="A25" s="17" t="s">
        <v>56</v>
      </c>
      <c r="B25" s="17" t="s">
        <v>57</v>
      </c>
      <c r="C25" s="17" t="s">
        <v>68</v>
      </c>
      <c r="D25" s="17" t="s">
        <v>58</v>
      </c>
      <c r="E25" s="17" t="s">
        <v>59</v>
      </c>
      <c r="F25" s="17" t="s">
        <v>69</v>
      </c>
      <c r="G25" s="17" t="s">
        <v>60</v>
      </c>
      <c r="H25" s="17" t="s">
        <v>61</v>
      </c>
      <c r="I25" s="17" t="s">
        <v>70</v>
      </c>
      <c r="J25" s="17" t="s">
        <v>62</v>
      </c>
      <c r="K25" s="17" t="s">
        <v>63</v>
      </c>
      <c r="L25" s="17" t="s">
        <v>73</v>
      </c>
      <c r="M25" s="17" t="s">
        <v>64</v>
      </c>
      <c r="N25" s="17" t="s">
        <v>65</v>
      </c>
      <c r="O25" s="17" t="s">
        <v>74</v>
      </c>
      <c r="P25" s="17" t="s">
        <v>66</v>
      </c>
      <c r="Q25" s="17" t="s">
        <v>67</v>
      </c>
      <c r="R25" s="17" t="s">
        <v>0</v>
      </c>
    </row>
    <row r="26" spans="1:21" x14ac:dyDescent="0.2">
      <c r="A26" s="9" t="str">
        <f t="shared" ref="A26:D26" si="9">A6</f>
        <v>LIVN_NEUROMOD</v>
      </c>
      <c r="B26" s="9" t="str">
        <f t="shared" si="9"/>
        <v>NEUROMODULATION</v>
      </c>
      <c r="C26" s="9" t="str">
        <f t="shared" si="9"/>
        <v>2017Q4</v>
      </c>
      <c r="D26" s="9">
        <f t="shared" si="9"/>
        <v>20180222</v>
      </c>
      <c r="E26" s="18">
        <f t="shared" ref="E26:E35" si="10">$S6/E6-1</f>
        <v>-8.2915171399672638E-2</v>
      </c>
      <c r="F26" s="18">
        <f t="shared" ref="E26:R36" si="11">$S6/F6-1</f>
        <v>-5.3533201469279201E-2</v>
      </c>
      <c r="G26" s="18">
        <f t="shared" ref="G26:G30" si="12">$S6/G6-1</f>
        <v>0.11054577642445729</v>
      </c>
      <c r="H26" s="18">
        <f t="shared" si="11"/>
        <v>-1.7897476137633594E-2</v>
      </c>
      <c r="I26" s="18">
        <f t="shared" si="11"/>
        <v>-0.13232798055044237</v>
      </c>
      <c r="J26" s="18">
        <f t="shared" si="11"/>
        <v>-4.1808533200525022E-2</v>
      </c>
      <c r="K26" s="18"/>
      <c r="L26" s="18"/>
      <c r="M26" s="18"/>
      <c r="N26" s="18"/>
      <c r="O26" s="18"/>
      <c r="P26" s="18"/>
      <c r="Q26" s="18"/>
      <c r="R26" s="40">
        <f t="shared" si="11"/>
        <v>1.1820330969267046E-2</v>
      </c>
    </row>
    <row r="27" spans="1:21" x14ac:dyDescent="0.2">
      <c r="A27" s="9" t="str">
        <f t="shared" ref="A27:D27" si="13">A7</f>
        <v>LIVN_NEUROMOD</v>
      </c>
      <c r="B27" s="9" t="str">
        <f t="shared" si="13"/>
        <v>NEUROMODULATION</v>
      </c>
      <c r="C27" s="9" t="str">
        <f t="shared" si="13"/>
        <v>2018Q1</v>
      </c>
      <c r="D27" s="9">
        <f t="shared" si="13"/>
        <v>20180426</v>
      </c>
      <c r="E27" s="18">
        <f t="shared" si="10"/>
        <v>2.3745890939930181E-2</v>
      </c>
      <c r="F27" s="18">
        <f t="shared" si="11"/>
        <v>1.424029786833203E-2</v>
      </c>
      <c r="G27" s="18">
        <f t="shared" si="12"/>
        <v>0.2561415659949724</v>
      </c>
      <c r="H27" s="18">
        <f t="shared" si="11"/>
        <v>2.3710916636660695E-2</v>
      </c>
      <c r="I27" s="18">
        <f t="shared" si="11"/>
        <v>-0.14269064584378022</v>
      </c>
      <c r="J27" s="18">
        <f t="shared" si="11"/>
        <v>1.9964476049557645E-2</v>
      </c>
      <c r="K27" s="18">
        <f t="shared" si="11"/>
        <v>0.11630446716951059</v>
      </c>
      <c r="L27" s="18">
        <f t="shared" si="11"/>
        <v>7.1606842884316402E-2</v>
      </c>
      <c r="M27" s="18">
        <f t="shared" si="11"/>
        <v>0.13110291593677403</v>
      </c>
      <c r="N27" s="18">
        <f t="shared" si="11"/>
        <v>4.2366648861321465E-2</v>
      </c>
      <c r="O27" s="18">
        <f t="shared" si="11"/>
        <v>-1.1943067266260043E-2</v>
      </c>
      <c r="P27" s="18">
        <f t="shared" si="11"/>
        <v>6.4468335808098187E-2</v>
      </c>
      <c r="Q27" s="18">
        <f t="shared" si="11"/>
        <v>6.6863397959141535E-2</v>
      </c>
      <c r="R27" s="40">
        <f t="shared" si="11"/>
        <v>-2.010050251256279E-2</v>
      </c>
    </row>
    <row r="28" spans="1:21" x14ac:dyDescent="0.2">
      <c r="A28" s="9" t="str">
        <f>A8</f>
        <v>LIVN_NEUROMOD</v>
      </c>
      <c r="B28" s="9" t="str">
        <f t="shared" ref="B28:D28" si="14">B8</f>
        <v>NEUROMODULATION</v>
      </c>
      <c r="C28" s="9" t="str">
        <f t="shared" si="14"/>
        <v>2018Q2</v>
      </c>
      <c r="D28" s="9">
        <f t="shared" si="14"/>
        <v>20180726</v>
      </c>
      <c r="E28" s="18">
        <f t="shared" si="10"/>
        <v>0.11210995060378304</v>
      </c>
      <c r="F28" s="18">
        <f t="shared" ref="F28:J28" si="15">$S8/F8-1</f>
        <v>6.9794583285393008E-2</v>
      </c>
      <c r="G28" s="18">
        <f t="shared" si="12"/>
        <v>8.5211933514818705E-2</v>
      </c>
      <c r="H28" s="18">
        <f t="shared" si="15"/>
        <v>0.12770091464491085</v>
      </c>
      <c r="I28" s="18">
        <f t="shared" si="15"/>
        <v>-5.5581670260016369E-2</v>
      </c>
      <c r="J28" s="18">
        <f t="shared" si="15"/>
        <v>6.3593917348740092E-2</v>
      </c>
      <c r="K28" s="18">
        <f t="shared" ref="K28:R28" si="16">$S8/K8-1</f>
        <v>8.6314446236969156E-2</v>
      </c>
      <c r="L28" s="18">
        <f t="shared" si="16"/>
        <v>5.4774283307241323E-2</v>
      </c>
      <c r="M28" s="18">
        <f t="shared" si="16"/>
        <v>-0.13607513444932662</v>
      </c>
      <c r="N28" s="18">
        <f t="shared" si="16"/>
        <v>0.10158140967169005</v>
      </c>
      <c r="O28" s="18">
        <f t="shared" si="16"/>
        <v>0.10160740129739754</v>
      </c>
      <c r="P28" s="18">
        <f t="shared" si="16"/>
        <v>4.2775451815894927E-2</v>
      </c>
      <c r="Q28" s="18">
        <f t="shared" si="16"/>
        <v>3.4366577991008063E-2</v>
      </c>
      <c r="R28" s="40">
        <f t="shared" si="16"/>
        <v>9.0293453724605843E-3</v>
      </c>
    </row>
    <row r="29" spans="1:21" x14ac:dyDescent="0.2">
      <c r="A29" s="9" t="str">
        <f t="shared" ref="A29:D29" si="17">A9</f>
        <v>LIVN_NEUROMOD</v>
      </c>
      <c r="B29" s="9" t="str">
        <f t="shared" si="17"/>
        <v>NEUROMODULATION</v>
      </c>
      <c r="C29" s="9" t="str">
        <f t="shared" si="17"/>
        <v>2018Q3</v>
      </c>
      <c r="D29" s="9">
        <f t="shared" si="17"/>
        <v>20181025</v>
      </c>
      <c r="E29" s="18">
        <f t="shared" si="10"/>
        <v>-3.0625195834276253E-2</v>
      </c>
      <c r="F29" s="18">
        <f t="shared" ref="F29:J29" si="18">$S9/F9-1</f>
        <v>-1.7502793384904902E-2</v>
      </c>
      <c r="G29" s="18">
        <f t="shared" si="12"/>
        <v>-6.9217789843979194E-2</v>
      </c>
      <c r="H29" s="18">
        <f t="shared" si="18"/>
        <v>-4.4328127438668874E-2</v>
      </c>
      <c r="I29" s="18">
        <f t="shared" si="18"/>
        <v>-0.15426015454227471</v>
      </c>
      <c r="J29" s="18">
        <f t="shared" si="18"/>
        <v>-6.5866406701001301E-2</v>
      </c>
      <c r="K29" s="18">
        <f t="shared" ref="K29:R29" si="19">$S9/K9-1</f>
        <v>-0.1283462542175493</v>
      </c>
      <c r="L29" s="18">
        <f t="shared" si="19"/>
        <v>-8.1601999144736093E-2</v>
      </c>
      <c r="M29" s="18">
        <f t="shared" si="19"/>
        <v>-0.14230374601450058</v>
      </c>
      <c r="N29" s="18">
        <f t="shared" si="19"/>
        <v>-0.15254846373672404</v>
      </c>
      <c r="O29" s="18">
        <f t="shared" si="19"/>
        <v>-0.10448599013259996</v>
      </c>
      <c r="P29" s="18">
        <f t="shared" si="19"/>
        <v>-0.121719692015964</v>
      </c>
      <c r="Q29" s="18">
        <f t="shared" si="19"/>
        <v>-0.1224587283155919</v>
      </c>
      <c r="R29" s="40">
        <f t="shared" si="19"/>
        <v>3.6860879904875299E-2</v>
      </c>
    </row>
    <row r="30" spans="1:21" x14ac:dyDescent="0.2">
      <c r="A30" s="9" t="str">
        <f t="shared" ref="A30:D30" si="20">A10</f>
        <v>LIVN_NEUROMOD</v>
      </c>
      <c r="B30" s="9" t="str">
        <f t="shared" si="20"/>
        <v>NEUROMODULATION</v>
      </c>
      <c r="C30" s="9" t="str">
        <f t="shared" si="20"/>
        <v>2018Q4</v>
      </c>
      <c r="D30" s="9">
        <f t="shared" si="20"/>
        <v>20190221</v>
      </c>
      <c r="E30" s="18">
        <f t="shared" si="10"/>
        <v>-4.1755134289186535E-2</v>
      </c>
      <c r="F30" s="18">
        <f t="shared" ref="F30:J30" si="21">$S10/F10-1</f>
        <v>2.2932931846605831E-2</v>
      </c>
      <c r="G30" s="18">
        <f t="shared" si="12"/>
        <v>2.9234489839645716E-2</v>
      </c>
      <c r="H30" s="18">
        <f t="shared" si="21"/>
        <v>-0.14033392144267554</v>
      </c>
      <c r="I30" s="18">
        <f t="shared" si="21"/>
        <v>-0.19855745095492083</v>
      </c>
      <c r="J30" s="18">
        <f t="shared" si="21"/>
        <v>-7.4715625266454033E-2</v>
      </c>
      <c r="K30" s="18">
        <f t="shared" ref="K30:Q30" si="22">$S10/K10-1</f>
        <v>-1.1481563588285115E-2</v>
      </c>
      <c r="L30" s="18">
        <f t="shared" si="22"/>
        <v>4.1156071446574627E-2</v>
      </c>
      <c r="M30" s="18">
        <f t="shared" si="22"/>
        <v>0.10577370152693599</v>
      </c>
      <c r="N30" s="18">
        <f t="shared" si="22"/>
        <v>-0.10045895119493065</v>
      </c>
      <c r="O30" s="18">
        <f t="shared" si="22"/>
        <v>-5.2376976975315626E-2</v>
      </c>
      <c r="P30" s="18">
        <f t="shared" si="22"/>
        <v>-9.4731830960074204E-3</v>
      </c>
      <c r="Q30" s="18">
        <f t="shared" si="22"/>
        <v>-8.7467575070241388E-3</v>
      </c>
      <c r="R30" s="40">
        <f t="shared" ref="R30:R36" si="23">$S10/R10-1</f>
        <v>2.9443838604144013E-2</v>
      </c>
    </row>
    <row r="31" spans="1:21" x14ac:dyDescent="0.2">
      <c r="A31" s="9" t="str">
        <f t="shared" ref="A31:D31" si="24">A11</f>
        <v>LIVN_NEUROMOD</v>
      </c>
      <c r="B31" s="9" t="str">
        <f t="shared" si="24"/>
        <v>NEUROMODULATION</v>
      </c>
      <c r="C31" s="9" t="str">
        <f t="shared" si="24"/>
        <v>2019Q1</v>
      </c>
      <c r="D31" s="9">
        <f t="shared" si="24"/>
        <v>20190425</v>
      </c>
      <c r="E31" s="18">
        <f t="shared" si="10"/>
        <v>-0.15033001171296034</v>
      </c>
      <c r="F31" s="18">
        <f t="shared" ref="F31:J31" si="25">$S11/F11-1</f>
        <v>-0.1136812995963169</v>
      </c>
      <c r="G31" s="18">
        <f t="shared" si="25"/>
        <v>0.18679273461229484</v>
      </c>
      <c r="H31" s="18">
        <f t="shared" si="25"/>
        <v>-0.10477890093554321</v>
      </c>
      <c r="I31" s="18">
        <f t="shared" si="25"/>
        <v>-0.21491969470728156</v>
      </c>
      <c r="J31" s="18">
        <f t="shared" si="25"/>
        <v>-9.7243894531912844E-2</v>
      </c>
      <c r="K31" s="18">
        <f t="shared" ref="K31:Q31" si="26">$S11/K11-1</f>
        <v>-0.11330598400152592</v>
      </c>
      <c r="L31" s="18">
        <f t="shared" si="26"/>
        <v>-0.13355150390583859</v>
      </c>
      <c r="M31" s="18">
        <f t="shared" si="26"/>
        <v>0.15308294303001491</v>
      </c>
      <c r="N31" s="18">
        <f t="shared" si="26"/>
        <v>4.1359106045919969E-2</v>
      </c>
      <c r="O31" s="18">
        <f t="shared" si="26"/>
        <v>-2.0415990855310095E-2</v>
      </c>
      <c r="P31" s="18">
        <f t="shared" si="26"/>
        <v>-2.4347400518836326E-2</v>
      </c>
      <c r="Q31" s="18">
        <f t="shared" si="26"/>
        <v>-2.5221067320260859E-2</v>
      </c>
      <c r="R31" s="40">
        <f t="shared" si="23"/>
        <v>-2.4111675126903487E-2</v>
      </c>
    </row>
    <row r="32" spans="1:21" x14ac:dyDescent="0.2">
      <c r="A32" s="9" t="str">
        <f t="shared" ref="A32:D32" si="27">A12</f>
        <v>LIVN_NEUROMOD</v>
      </c>
      <c r="B32" s="9" t="str">
        <f t="shared" si="27"/>
        <v>NEUROMODULATION</v>
      </c>
      <c r="C32" s="9" t="str">
        <f t="shared" si="27"/>
        <v>2019Q2</v>
      </c>
      <c r="D32" s="9">
        <f t="shared" si="27"/>
        <v>20190725</v>
      </c>
      <c r="E32" s="18">
        <f t="shared" si="10"/>
        <v>-6.8047947568701361E-2</v>
      </c>
      <c r="F32" s="18">
        <f t="shared" ref="F32:J32" si="28">$S12/F12-1</f>
        <v>-9.333939333583996E-2</v>
      </c>
      <c r="G32" s="18">
        <f t="shared" ref="G32:G38" si="29">$S12/G12-1</f>
        <v>-2.4123556709312211E-2</v>
      </c>
      <c r="H32" s="18">
        <f t="shared" si="28"/>
        <v>7.9539969177124581E-2</v>
      </c>
      <c r="I32" s="18">
        <f t="shared" si="28"/>
        <v>-9.5649961870313494E-2</v>
      </c>
      <c r="J32" s="18">
        <f t="shared" si="28"/>
        <v>-4.4483503809094271E-2</v>
      </c>
      <c r="K32" s="18">
        <f t="shared" ref="K32:Q32" si="30">$S12/K12-1</f>
        <v>9.6840026455614847E-2</v>
      </c>
      <c r="L32" s="18">
        <f t="shared" si="30"/>
        <v>2.2951006507266669E-2</v>
      </c>
      <c r="M32" s="18">
        <f t="shared" si="30"/>
        <v>-0.17771956734341632</v>
      </c>
      <c r="N32" s="18">
        <f t="shared" si="30"/>
        <v>0.20589200847174927</v>
      </c>
      <c r="O32" s="18">
        <f t="shared" si="30"/>
        <v>0.15192042397815353</v>
      </c>
      <c r="P32" s="18">
        <f t="shared" si="30"/>
        <v>5.844368196818972E-2</v>
      </c>
      <c r="Q32" s="18">
        <f t="shared" si="30"/>
        <v>4.3920414904474292E-2</v>
      </c>
      <c r="R32" s="40">
        <f t="shared" si="23"/>
        <v>7.038512616201853E-2</v>
      </c>
    </row>
    <row r="33" spans="1:18" x14ac:dyDescent="0.2">
      <c r="A33" s="9" t="str">
        <f t="shared" ref="A33:D33" si="31">A13</f>
        <v>LIVN_NEUROMOD</v>
      </c>
      <c r="B33" s="9" t="str">
        <f t="shared" si="31"/>
        <v>NEUROMODULATION</v>
      </c>
      <c r="C33" s="9" t="str">
        <f t="shared" si="31"/>
        <v>2019Q3</v>
      </c>
      <c r="D33" s="9">
        <f t="shared" si="31"/>
        <v>20191024</v>
      </c>
      <c r="E33" s="18">
        <f t="shared" si="10"/>
        <v>4.4074626565508979E-3</v>
      </c>
      <c r="F33" s="18">
        <f t="shared" ref="F33:J33" si="32">$S13/F13-1</f>
        <v>-3.3553618969986765E-2</v>
      </c>
      <c r="G33" s="18">
        <f t="shared" si="29"/>
        <v>-5.4853582386114486E-2</v>
      </c>
      <c r="H33" s="18">
        <f t="shared" si="32"/>
        <v>0.13941711957208236</v>
      </c>
      <c r="I33" s="18">
        <f t="shared" si="32"/>
        <v>-4.3355807401638247E-2</v>
      </c>
      <c r="J33" s="18">
        <f t="shared" si="32"/>
        <v>-2.260876853050986E-3</v>
      </c>
      <c r="K33" s="18">
        <f t="shared" ref="K33:Q33" si="33">$S13/K13-1</f>
        <v>7.7745856169562533E-2</v>
      </c>
      <c r="L33" s="18">
        <f t="shared" si="33"/>
        <v>6.5940633051016162E-2</v>
      </c>
      <c r="M33" s="18">
        <f t="shared" si="33"/>
        <v>-3.1489668480140454E-2</v>
      </c>
      <c r="N33" s="18">
        <f t="shared" si="33"/>
        <v>5.5465431669564635E-2</v>
      </c>
      <c r="O33" s="18">
        <f t="shared" si="33"/>
        <v>5.7825125519789244E-2</v>
      </c>
      <c r="P33" s="18">
        <f t="shared" si="33"/>
        <v>4.4188276313763764E-2</v>
      </c>
      <c r="Q33" s="18">
        <f t="shared" si="33"/>
        <v>4.3663136430931893E-2</v>
      </c>
      <c r="R33" s="40">
        <f t="shared" si="23"/>
        <v>0.11335012594458438</v>
      </c>
    </row>
    <row r="34" spans="1:18" x14ac:dyDescent="0.2">
      <c r="A34" s="9" t="str">
        <f t="shared" ref="A34:D34" si="34">A14</f>
        <v>LIVN_NEUROMOD</v>
      </c>
      <c r="B34" s="9" t="str">
        <f t="shared" si="34"/>
        <v>NEUROMODULATION</v>
      </c>
      <c r="C34" s="9" t="str">
        <f t="shared" si="34"/>
        <v>2019Q4</v>
      </c>
      <c r="D34" s="9">
        <f t="shared" si="34"/>
        <v>20200220</v>
      </c>
      <c r="E34" s="18">
        <f t="shared" si="10"/>
        <v>-9.2593042822653238E-2</v>
      </c>
      <c r="F34" s="18">
        <f t="shared" ref="F34:J34" si="35">$S14/F14-1</f>
        <v>-7.362297082157665E-2</v>
      </c>
      <c r="G34" s="18">
        <f t="shared" si="29"/>
        <v>-5.5437412528359431E-2</v>
      </c>
      <c r="H34" s="18">
        <f t="shared" si="35"/>
        <v>-3.6516073124145509E-2</v>
      </c>
      <c r="I34" s="18">
        <f t="shared" si="35"/>
        <v>-8.0733739319110986E-3</v>
      </c>
      <c r="J34" s="18">
        <f t="shared" si="35"/>
        <v>-5.4149141556223412E-2</v>
      </c>
      <c r="K34" s="18">
        <f t="shared" ref="K34:Q34" si="36">$S14/K14-1</f>
        <v>-9.6574855410420879E-2</v>
      </c>
      <c r="L34" s="18">
        <f t="shared" si="36"/>
        <v>-4.1460501728906141E-2</v>
      </c>
      <c r="M34" s="18">
        <f t="shared" si="36"/>
        <v>-6.1771396617993357E-4</v>
      </c>
      <c r="N34" s="18">
        <f t="shared" si="36"/>
        <v>-0.1544063097474796</v>
      </c>
      <c r="O34" s="18">
        <f t="shared" si="36"/>
        <v>3.688145889841854E-2</v>
      </c>
      <c r="P34" s="18">
        <f t="shared" si="36"/>
        <v>-5.2005843510989802E-2</v>
      </c>
      <c r="Q34" s="18">
        <f t="shared" si="36"/>
        <v>-5.5513869479462019E-2</v>
      </c>
      <c r="R34" s="40">
        <f t="shared" si="23"/>
        <v>-1.7563117453347932E-2</v>
      </c>
    </row>
    <row r="35" spans="1:18" x14ac:dyDescent="0.2">
      <c r="A35" s="9" t="str">
        <f t="shared" ref="A35:D35" si="37">A15</f>
        <v>LIVN_NEUROMOD</v>
      </c>
      <c r="B35" s="9" t="str">
        <f t="shared" si="37"/>
        <v>NEUROMODULATION</v>
      </c>
      <c r="C35" s="9" t="str">
        <f t="shared" si="37"/>
        <v>2020Q1</v>
      </c>
      <c r="D35" s="9">
        <f t="shared" si="37"/>
        <v>20200423</v>
      </c>
      <c r="E35" s="18">
        <f t="shared" si="10"/>
        <v>-0.15233315615207454</v>
      </c>
      <c r="F35" s="18">
        <f t="shared" ref="F35:J35" si="38">$S15/F15-1</f>
        <v>-0.11597151233274017</v>
      </c>
      <c r="G35" s="18">
        <f t="shared" si="29"/>
        <v>5.970382940532093E-2</v>
      </c>
      <c r="H35" s="18">
        <f t="shared" si="38"/>
        <v>-0.16507077101625078</v>
      </c>
      <c r="I35" s="18">
        <f t="shared" si="38"/>
        <v>-0.12009414824555353</v>
      </c>
      <c r="J35" s="18">
        <f t="shared" si="38"/>
        <v>-0.10534483084757174</v>
      </c>
      <c r="K35" s="18">
        <f t="shared" ref="K35:Q35" si="39">$S15/K15-1</f>
        <v>-6.5836075927006132E-2</v>
      </c>
      <c r="L35" s="18">
        <f t="shared" si="39"/>
        <v>-4.5714153284566184E-2</v>
      </c>
      <c r="M35" s="18">
        <f t="shared" si="39"/>
        <v>0.1218990074992119</v>
      </c>
      <c r="N35" s="18">
        <f t="shared" si="39"/>
        <v>-0.13342692525131217</v>
      </c>
      <c r="O35" s="18">
        <f t="shared" si="39"/>
        <v>-0.11293252078299687</v>
      </c>
      <c r="P35" s="18">
        <f t="shared" si="39"/>
        <v>-5.4126598114613289E-2</v>
      </c>
      <c r="Q35" s="18">
        <f t="shared" si="39"/>
        <v>-5.4854730431958543E-2</v>
      </c>
      <c r="R35" s="40">
        <f t="shared" si="23"/>
        <v>-4.0575916230366604E-2</v>
      </c>
    </row>
    <row r="36" spans="1:18" x14ac:dyDescent="0.2">
      <c r="A36" s="9" t="str">
        <f t="shared" ref="A36:D36" si="40">A16</f>
        <v>LIVN_NEUROMOD</v>
      </c>
      <c r="B36" s="9" t="str">
        <f t="shared" si="40"/>
        <v>NEUROMODULATION</v>
      </c>
      <c r="C36" s="9" t="str">
        <f t="shared" si="40"/>
        <v>2020Q2</v>
      </c>
      <c r="D36" s="9">
        <f t="shared" si="40"/>
        <v>20200723</v>
      </c>
      <c r="E36" s="18">
        <f t="shared" si="11"/>
        <v>-0.29782810129747861</v>
      </c>
      <c r="F36" s="18">
        <f t="shared" ref="F36:J36" si="41">$S16/F16-1</f>
        <v>-0.26920114872981782</v>
      </c>
      <c r="G36" s="18">
        <f t="shared" si="29"/>
        <v>6.5583121317650983E-2</v>
      </c>
      <c r="H36" s="18">
        <f t="shared" si="41"/>
        <v>-0.27152198472483791</v>
      </c>
      <c r="I36" s="18">
        <f t="shared" si="41"/>
        <v>-0.26138380512804837</v>
      </c>
      <c r="J36" s="18">
        <f t="shared" si="41"/>
        <v>-0.22571610259372343</v>
      </c>
      <c r="K36" s="18">
        <f t="shared" ref="K36:Q36" si="42">$S16/K16-1</f>
        <v>-0.17164166110938073</v>
      </c>
      <c r="L36" s="18">
        <f t="shared" si="42"/>
        <v>-0.17333110701151044</v>
      </c>
      <c r="M36" s="18">
        <f t="shared" si="42"/>
        <v>5.5480519643202886E-3</v>
      </c>
      <c r="N36" s="18">
        <f t="shared" si="42"/>
        <v>-0.12749728960639717</v>
      </c>
      <c r="O36" s="18">
        <f t="shared" si="42"/>
        <v>-0.16057360750673166</v>
      </c>
      <c r="P36" s="18">
        <f t="shared" si="42"/>
        <v>-0.13454487929711312</v>
      </c>
      <c r="Q36" s="18">
        <f t="shared" si="42"/>
        <v>-0.13096918389932544</v>
      </c>
      <c r="R36" s="40">
        <f t="shared" si="23"/>
        <v>4.0000000000000036E-2</v>
      </c>
    </row>
    <row r="37" spans="1:18" x14ac:dyDescent="0.2">
      <c r="A37" s="9" t="str">
        <f t="shared" ref="A37:D37" si="43">A17</f>
        <v>LIVN_NEUROMOD</v>
      </c>
      <c r="B37" s="9" t="str">
        <f t="shared" si="43"/>
        <v>NEUROMODULATION</v>
      </c>
      <c r="C37" s="9" t="str">
        <f t="shared" si="43"/>
        <v>2020Q3</v>
      </c>
      <c r="D37" s="9">
        <f t="shared" si="43"/>
        <v>20201022</v>
      </c>
      <c r="E37" s="18">
        <f>$S17/E17-1</f>
        <v>0.28139113595195919</v>
      </c>
      <c r="F37" s="18">
        <f t="shared" ref="F37:J37" si="44">$S17/F17-1</f>
        <v>0.14367039413515514</v>
      </c>
      <c r="G37" s="18">
        <f t="shared" si="29"/>
        <v>0.22156131864777118</v>
      </c>
      <c r="H37" s="18">
        <f t="shared" si="44"/>
        <v>0.31568623205164803</v>
      </c>
      <c r="I37" s="18">
        <f t="shared" si="44"/>
        <v>0.1460477167509362</v>
      </c>
      <c r="J37" s="18">
        <f t="shared" si="44"/>
        <v>0.2177219145554925</v>
      </c>
      <c r="K37" s="18">
        <f t="shared" ref="K37:Q37" si="45">$S17/K17-1</f>
        <v>0.82489663616519482</v>
      </c>
      <c r="L37" s="18">
        <f t="shared" si="45"/>
        <v>0.56495921161804241</v>
      </c>
      <c r="M37" s="18">
        <f t="shared" si="45"/>
        <v>0.14637825450655106</v>
      </c>
      <c r="N37" s="18">
        <f t="shared" si="45"/>
        <v>0.80607541265975535</v>
      </c>
      <c r="O37" s="18">
        <f t="shared" si="45"/>
        <v>0.55161466091278677</v>
      </c>
      <c r="P37" s="18">
        <f t="shared" si="45"/>
        <v>0.57270727007840438</v>
      </c>
      <c r="Q37" s="18">
        <f t="shared" si="45"/>
        <v>0.54110676991662188</v>
      </c>
      <c r="R37" s="40">
        <f t="shared" ref="R37" si="46">$S17/R17-1</f>
        <v>0.27229299363057335</v>
      </c>
    </row>
    <row r="38" spans="1:18" x14ac:dyDescent="0.2">
      <c r="A38" s="9" t="str">
        <f t="shared" ref="A38:D38" si="47">A18</f>
        <v>LIVN_NEUROMOD</v>
      </c>
      <c r="B38" s="9" t="str">
        <f t="shared" si="47"/>
        <v>NEUROMODULATION</v>
      </c>
      <c r="C38" s="9" t="str">
        <f t="shared" si="47"/>
        <v>2020Q4</v>
      </c>
      <c r="D38" s="9">
        <f t="shared" si="47"/>
        <v>20210218</v>
      </c>
      <c r="E38" s="18">
        <f>$S18/E18-1</f>
        <v>0.15351514311528347</v>
      </c>
      <c r="F38" s="18">
        <f t="shared" ref="F38:I38" si="48">$S18/F18-1</f>
        <v>0.12345725880041836</v>
      </c>
      <c r="G38" s="18">
        <f t="shared" si="29"/>
        <v>-3.2214841762355784E-2</v>
      </c>
      <c r="H38" s="18">
        <f t="shared" si="48"/>
        <v>0.18402880225105567</v>
      </c>
      <c r="I38" s="18">
        <f t="shared" si="48"/>
        <v>0.11918865233082343</v>
      </c>
      <c r="J38" s="18">
        <f>$S18/J18-1</f>
        <v>0.10414505305965172</v>
      </c>
      <c r="K38" s="18">
        <f t="shared" ref="K38:Q38" si="49">$S18/K18-1</f>
        <v>-9.9794660075961272E-2</v>
      </c>
      <c r="L38" s="18">
        <f t="shared" si="49"/>
        <v>-1.767391674943386E-2</v>
      </c>
      <c r="M38" s="18">
        <f t="shared" si="49"/>
        <v>-0.20774737750459304</v>
      </c>
      <c r="N38" s="18">
        <f t="shared" si="49"/>
        <v>-0.10006749830868811</v>
      </c>
      <c r="O38" s="18">
        <f t="shared" si="49"/>
        <v>-2.343625315729303E-2</v>
      </c>
      <c r="P38" s="18">
        <f t="shared" si="49"/>
        <v>-9.3269949516593842E-2</v>
      </c>
      <c r="Q38" s="18">
        <f t="shared" si="49"/>
        <v>-9.4903916088371121E-2</v>
      </c>
      <c r="R38" s="40">
        <f>$S18/R18-1</f>
        <v>8.2840236686390067E-3</v>
      </c>
    </row>
    <row r="39" spans="1:18" x14ac:dyDescent="0.2">
      <c r="A39" s="9" t="str">
        <f t="shared" ref="A39:D39" si="50">A19</f>
        <v>LIVN_NEUROMOD</v>
      </c>
      <c r="B39" s="9" t="str">
        <f t="shared" si="50"/>
        <v>NEUROMODULATION</v>
      </c>
      <c r="C39" s="9" t="str">
        <f t="shared" si="50"/>
        <v>2021Q1</v>
      </c>
      <c r="D39" s="9">
        <f t="shared" si="50"/>
        <v>20210422</v>
      </c>
      <c r="E39" s="18">
        <f>$S19/E19-1</f>
        <v>-1.2183699840386586E-2</v>
      </c>
      <c r="F39" s="18">
        <f t="shared" ref="F39:I39" si="51">$S19/F19-1</f>
        <v>4.8540587572842187E-2</v>
      </c>
      <c r="G39" s="18">
        <f t="shared" ref="G39" si="52">$S19/G19-1</f>
        <v>2.8299579076874748E-2</v>
      </c>
      <c r="H39" s="18">
        <f t="shared" si="51"/>
        <v>3.8215305115204767E-2</v>
      </c>
      <c r="I39" s="18">
        <f t="shared" si="51"/>
        <v>-0.10108745590044832</v>
      </c>
      <c r="J39" s="18">
        <f>$S19/J19-1</f>
        <v>-2.8252686316028175E-3</v>
      </c>
      <c r="K39" s="18">
        <f t="shared" ref="K39:Q39" si="53">$S19/K19-1</f>
        <v>-0.1436468727304</v>
      </c>
      <c r="L39" s="18">
        <f t="shared" si="53"/>
        <v>-6.6684042174928182E-2</v>
      </c>
      <c r="M39" s="18">
        <f t="shared" si="53"/>
        <v>6.252877544581148E-2</v>
      </c>
      <c r="N39" s="18">
        <f t="shared" si="53"/>
        <v>-0.1231502957180034</v>
      </c>
      <c r="O39" s="18">
        <f t="shared" si="53"/>
        <v>-0.19681767481516577</v>
      </c>
      <c r="P39" s="18">
        <f t="shared" si="53"/>
        <v>-9.6880678308373991E-2</v>
      </c>
      <c r="Q39" s="18">
        <f t="shared" si="53"/>
        <v>-0.10086888652804471</v>
      </c>
      <c r="R39" s="40">
        <f>$S19/R19-1</f>
        <v>0.13049450549450547</v>
      </c>
    </row>
    <row r="40" spans="1:18" x14ac:dyDescent="0.2">
      <c r="A40" s="9" t="str">
        <f t="shared" ref="A40:D40" si="54">A20</f>
        <v>LIVN_NEUROMOD</v>
      </c>
      <c r="B40" s="9" t="str">
        <f t="shared" si="54"/>
        <v>NEUROMODULATION</v>
      </c>
      <c r="C40" s="9" t="str">
        <f t="shared" si="54"/>
        <v>2021Q2</v>
      </c>
      <c r="D40" s="9">
        <f t="shared" si="54"/>
        <v>20210722</v>
      </c>
      <c r="E40" s="18">
        <f>$S20/E20-1</f>
        <v>0.12597352554134789</v>
      </c>
      <c r="F40" s="18">
        <f t="shared" ref="F40:J40" si="55">$S20/F20-1</f>
        <v>0.17710878847116551</v>
      </c>
      <c r="G40" s="18">
        <f>$S20/G20-1</f>
        <v>6.5777500185437265E-2</v>
      </c>
      <c r="H40" s="18">
        <f t="shared" si="55"/>
        <v>0.11648351573507765</v>
      </c>
      <c r="I40" s="18">
        <f t="shared" si="55"/>
        <v>5.5647600820038168E-2</v>
      </c>
      <c r="J40" s="18">
        <f t="shared" si="55"/>
        <v>0.10646475730640526</v>
      </c>
      <c r="K40" s="18">
        <f t="shared" ref="K40:Q40" si="56">$S20/K20-1</f>
        <v>0.13986125290644713</v>
      </c>
      <c r="L40" s="18">
        <f t="shared" si="56"/>
        <v>0.12261633209252554</v>
      </c>
      <c r="M40" s="18">
        <f t="shared" si="56"/>
        <v>3.6446500485983968E-2</v>
      </c>
      <c r="N40" s="18">
        <f t="shared" si="56"/>
        <v>7.5387263349183442E-2</v>
      </c>
      <c r="O40" s="18">
        <f t="shared" si="56"/>
        <v>0.17436074037379168</v>
      </c>
      <c r="P40" s="18">
        <f t="shared" si="56"/>
        <v>0.1095996744602945</v>
      </c>
      <c r="Q40" s="18">
        <f t="shared" si="56"/>
        <v>0.10791830092687626</v>
      </c>
      <c r="R40" s="40">
        <f>$S20/R20-1</f>
        <v>0.1333333333333333</v>
      </c>
    </row>
    <row r="41" spans="1:18" x14ac:dyDescent="0.2">
      <c r="A41" s="168" t="s">
        <v>77</v>
      </c>
      <c r="B41" s="168"/>
      <c r="C41" s="164"/>
      <c r="D41" s="165"/>
      <c r="E41" s="73" cm="1">
        <f t="array" ref="E41">SUM(ABS(E26:E40))/COUNT(E26:E40)</f>
        <v>0.10865030464841632</v>
      </c>
      <c r="F41" s="73" cm="1">
        <f t="array" ref="F41">SUM(ABS(F26:F40))/COUNT(F26:F40)</f>
        <v>9.1343385374691638E-2</v>
      </c>
      <c r="G41" s="73" cm="1">
        <f t="array" ref="G41">SUM(ABS(G26:G40))/COUNT(G26:G40)</f>
        <v>8.9646602149957691E-2</v>
      </c>
      <c r="H41" s="73" cm="1">
        <f t="array" ref="H41">SUM(ABS(H26:H40))/COUNT(H26:H40)</f>
        <v>0.12034866866690133</v>
      </c>
      <c r="I41" s="73" cm="1">
        <f t="array" ref="I41">SUM(ABS(I26:I40))/COUNT(I26:I40)</f>
        <v>0.12325774128256181</v>
      </c>
      <c r="J41" s="75" cm="1">
        <f t="array" ref="J41">SUM(ABS(J26:J40))/COUNT(J26:J40)</f>
        <v>8.1753620154067133E-2</v>
      </c>
      <c r="K41" s="73" cm="1">
        <f t="array" ref="K41">SUM(ABS(K26:K40))/COUNT(K26:K40)</f>
        <v>0.15518504372598771</v>
      </c>
      <c r="L41" s="73" cm="1">
        <f t="array" ref="L41">SUM(ABS(L26:L40))/COUNT(L26:L40)</f>
        <v>0.10743011463620733</v>
      </c>
      <c r="M41" s="73" cm="1">
        <f t="array" ref="M41">SUM(ABS(M26:M40))/COUNT(M26:M40)</f>
        <v>0.10419381129669718</v>
      </c>
      <c r="N41" s="73" cm="1">
        <f t="array" ref="N41">SUM(ABS(N26:N40))/COUNT(N26:N40)</f>
        <v>0.15854878673519424</v>
      </c>
      <c r="O41" s="73" cm="1">
        <f t="array" ref="O41">SUM(ABS(O26:O40))/COUNT(O26:O40)</f>
        <v>0.12551370660514358</v>
      </c>
      <c r="P41" s="73" cm="1">
        <f t="array" ref="P41">SUM(ABS(P26:P40))/COUNT(P26:P40)</f>
        <v>0.1056107796302241</v>
      </c>
      <c r="Q41" s="73" cm="1">
        <f t="array" ref="Q41">SUM(ABS(Q26:Q40))/COUNT(Q26:Q40)</f>
        <v>0.10224112412136377</v>
      </c>
      <c r="R41" s="75" cm="1">
        <f t="array" ref="R41">SUM(ABS(R26:R40))/COUNT(R26:R40)</f>
        <v>6.384304762717212E-2</v>
      </c>
    </row>
    <row r="42" spans="1:18" x14ac:dyDescent="0.2">
      <c r="A42" s="169" t="s">
        <v>78</v>
      </c>
      <c r="B42" s="169"/>
      <c r="C42" s="166"/>
      <c r="D42" s="167"/>
      <c r="E42" s="74" cm="1">
        <f t="array" ref="E42">SQRT(SUM(POWER(E26:E40,2))/COUNT(E26:E40))</f>
        <v>0.13884859173156336</v>
      </c>
      <c r="F42" s="74" cm="1">
        <f t="array" ref="F42">SQRT(SUM(POWER(F26:F40,2))/COUNT(F26:F40))</f>
        <v>0.11327819642819065</v>
      </c>
      <c r="G42" s="74" cm="1">
        <f t="array" ref="G42">SQRT(SUM(POWER(G26:G40,2))/COUNT(G26:G40))</f>
        <v>0.1141378840296345</v>
      </c>
      <c r="H42" s="74" cm="1">
        <f t="array" ref="H42">SQRT(SUM(POWER(H26:H40,2))/COUNT(H26:H40))</f>
        <v>0.14752405195890986</v>
      </c>
      <c r="I42" s="74" cm="1">
        <f t="array" ref="I42">SQRT(SUM(POWER(I26:I40,2))/COUNT(I26:I40))</f>
        <v>0.13977636589994705</v>
      </c>
      <c r="J42" s="76" cm="1">
        <f t="array" ref="J42">SQRT(SUM(POWER(J26:J40,2))/COUNT(J26:J40))</f>
        <v>0.10396184226246387</v>
      </c>
      <c r="K42" s="74" cm="1">
        <f t="array" ref="K42">SQRT(SUM(POWER(K26:K40,2))/COUNT(K26:K40))</f>
        <v>0.24488672817949578</v>
      </c>
      <c r="L42" s="74" cm="1">
        <f t="array" ref="L42">SQRT(SUM(POWER(L26:L40,2))/COUNT(L26:L40))</f>
        <v>0.17155103878132469</v>
      </c>
      <c r="M42" s="74" cm="1">
        <f t="array" ref="M42">SQRT(SUM(POWER(M26:M40,2))/COUNT(M26:M40))</f>
        <v>0.12185101325000215</v>
      </c>
      <c r="N42" s="74" cm="1">
        <f t="array" ref="N42">SQRT(SUM(POWER(N26:N40,2))/COUNT(N26:N40))</f>
        <v>0.24365889227094889</v>
      </c>
      <c r="O42" s="74" cm="1">
        <f t="array" ref="O42">SQRT(SUM(POWER(O26:O40,2))/COUNT(O26:O40))</f>
        <v>0.18221503788475837</v>
      </c>
      <c r="P42" s="74" cm="1">
        <f t="array" ref="P42">SQRT(SUM(POWER(P26:P40,2))/COUNT(P26:P40))</f>
        <v>0.17085496563346206</v>
      </c>
      <c r="Q42" s="74" cm="1">
        <f t="array" ref="Q42">SQRT(SUM(POWER(Q26:Q40,2))/COUNT(Q26:Q40))</f>
        <v>0.16302145698203011</v>
      </c>
      <c r="R42" s="76" cm="1">
        <f t="array" ref="R42">SQRT(SUM(POWER(R26:R40,2))/COUNT(R26:R40))</f>
        <v>9.4448643808669963E-2</v>
      </c>
    </row>
    <row r="43" spans="1:18" x14ac:dyDescent="0.2">
      <c r="G43" s="3">
        <f>AVERAGE(G26:G40)</f>
        <v>5.8200311052608193E-2</v>
      </c>
      <c r="J43" s="3"/>
    </row>
    <row r="44" spans="1:18" x14ac:dyDescent="0.2">
      <c r="B44" t="s">
        <v>158</v>
      </c>
      <c r="G44" s="3"/>
      <c r="J44" s="3"/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K9" sqref="K9:K10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0" t="s">
        <v>82</v>
      </c>
      <c r="C7" s="170"/>
      <c r="D7" s="170" t="s">
        <v>112</v>
      </c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6"/>
      <c r="P7" s="6"/>
      <c r="Q7" s="6"/>
    </row>
    <row r="8" spans="1:17" ht="15" x14ac:dyDescent="0.2">
      <c r="A8" s="67" t="s">
        <v>95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6.1717200830499468E-2</v>
      </c>
      <c r="D9" s="2">
        <v>6.5614168181140423E-2</v>
      </c>
      <c r="E9" s="2">
        <v>6.1937107262600211E-2</v>
      </c>
      <c r="F9" s="2">
        <v>6.3749653372924389E-2</v>
      </c>
      <c r="G9" s="2">
        <v>6.6662368578721973E-2</v>
      </c>
      <c r="H9" s="2">
        <v>6.1585824758153468E-2</v>
      </c>
      <c r="I9" s="2">
        <v>6.3081048697791228E-2</v>
      </c>
      <c r="J9" s="2">
        <v>6.5896913721279676E-2</v>
      </c>
      <c r="K9" s="2">
        <v>5.9916205553901661E-2</v>
      </c>
      <c r="L9" s="2">
        <v>6.3769196824162419E-2</v>
      </c>
      <c r="M9" s="2">
        <v>7.3491595770018597E-2</v>
      </c>
      <c r="O9" s="6"/>
      <c r="P9" s="6"/>
      <c r="Q9" s="6"/>
    </row>
    <row r="10" spans="1:17" ht="15" x14ac:dyDescent="0.2">
      <c r="B10" s="71" t="s">
        <v>96</v>
      </c>
      <c r="C10" s="2">
        <v>7.4699909116146698E-2</v>
      </c>
      <c r="D10" s="2">
        <v>7.8327182857419228E-2</v>
      </c>
      <c r="E10" s="2">
        <v>7.638127477012191E-2</v>
      </c>
      <c r="F10" s="2">
        <v>7.2854571322224546E-2</v>
      </c>
      <c r="G10" s="2">
        <v>7.0992447304457681E-2</v>
      </c>
      <c r="H10" s="2">
        <v>7.5992053031733744E-2</v>
      </c>
      <c r="I10" s="2">
        <v>7.6639397282231334E-2</v>
      </c>
      <c r="J10" s="2">
        <v>7.03171695612754E-2</v>
      </c>
      <c r="K10" s="2">
        <v>6.7612087304641522E-2</v>
      </c>
      <c r="L10" s="2">
        <v>7.7937016978025173E-2</v>
      </c>
      <c r="M10" s="2">
        <v>8.8247639400847538E-2</v>
      </c>
      <c r="O10" s="6"/>
      <c r="P10" s="6"/>
      <c r="Q10" s="6"/>
    </row>
    <row r="11" spans="1:17" ht="15" x14ac:dyDescent="0.2">
      <c r="B11" s="71" t="s">
        <v>97</v>
      </c>
      <c r="C11" s="2">
        <v>-3.6986393131327289E-2</v>
      </c>
      <c r="D11" s="2">
        <v>2.4693840168963699E-2</v>
      </c>
      <c r="E11" s="2">
        <v>-4.3807533618918648E-3</v>
      </c>
      <c r="F11" s="2">
        <v>-4.0266649349104337E-2</v>
      </c>
      <c r="G11" s="2">
        <v>-6.0280244471082101E-2</v>
      </c>
      <c r="H11" s="2">
        <v>-4.1148382813246398E-3</v>
      </c>
      <c r="I11" s="2">
        <v>-8.2463912995370259E-3</v>
      </c>
      <c r="J11" s="2">
        <v>-5.962840073337794E-2</v>
      </c>
      <c r="K11" s="2">
        <v>-3.3737289130648267E-2</v>
      </c>
      <c r="L11" s="2">
        <v>-6.8177160148450988E-3</v>
      </c>
      <c r="M11" s="2">
        <v>-1.6004831718400669E-2</v>
      </c>
      <c r="O11" s="6"/>
      <c r="P11" s="6"/>
      <c r="Q11" s="6"/>
    </row>
    <row r="12" spans="1:17" ht="15" x14ac:dyDescent="0.2">
      <c r="B12" s="9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1" t="s">
        <v>108</v>
      </c>
      <c r="C20" s="171"/>
      <c r="D20" s="171"/>
      <c r="E20" s="171"/>
      <c r="F20" s="66" t="e">
        <f>#REF!+#REF!*'2. Past Proj &amp; Candidate Model'!R21</f>
        <v>#REF!</v>
      </c>
      <c r="G20" s="69" t="s">
        <v>109</v>
      </c>
      <c r="H20" s="2" t="e">
        <f>'2. Past Proj &amp; Candidate Model'!S21/'3.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2" t="s">
        <v>159</v>
      </c>
      <c r="C24" s="172"/>
      <c r="D24" s="172"/>
      <c r="E24" s="3">
        <f>C9</f>
        <v>6.1717200830499468E-2</v>
      </c>
      <c r="F24" t="s">
        <v>110</v>
      </c>
      <c r="G24" s="172" t="s">
        <v>111</v>
      </c>
      <c r="H24" s="172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="85" zoomScaleNormal="85" workbookViewId="0">
      <selection activeCell="W19" sqref="W19:W26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104" t="str">
        <f>K5</f>
        <v>LASSO_CON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95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5.4859734071555089E-2</v>
      </c>
      <c r="D6" s="2">
        <v>6.1262597646615E-2</v>
      </c>
      <c r="E6" s="2">
        <v>6.057876942884715E-2</v>
      </c>
      <c r="F6" s="2">
        <v>5.7533949050736582E-2</v>
      </c>
      <c r="G6" s="2">
        <v>5.9722170407493357E-2</v>
      </c>
      <c r="H6" s="2">
        <v>6.0266530680251923E-2</v>
      </c>
      <c r="I6" s="2">
        <v>6.1637442851986253E-2</v>
      </c>
      <c r="J6" s="2">
        <v>5.919118708364543E-2</v>
      </c>
      <c r="K6" s="2">
        <v>5.4684308946149278E-2</v>
      </c>
      <c r="L6" s="2">
        <v>6.2948259541877244E-2</v>
      </c>
      <c r="M6" s="2">
        <v>7.158791844319759E-2</v>
      </c>
    </row>
    <row r="7" spans="1:25" ht="15" x14ac:dyDescent="0.2">
      <c r="B7" s="71" t="s">
        <v>96</v>
      </c>
      <c r="C7" s="2">
        <v>7.0427749720061508E-2</v>
      </c>
      <c r="D7" s="2">
        <v>7.4372026446875406E-2</v>
      </c>
      <c r="E7" s="2">
        <v>7.3894882295734821E-2</v>
      </c>
      <c r="F7" s="2">
        <v>6.8737243887521685E-2</v>
      </c>
      <c r="G7" s="2">
        <v>6.6946965335644815E-2</v>
      </c>
      <c r="H7" s="2">
        <v>7.3537320562039543E-2</v>
      </c>
      <c r="I7" s="2">
        <v>7.4160220831574086E-2</v>
      </c>
      <c r="J7" s="2">
        <v>6.6321427619569218E-2</v>
      </c>
      <c r="K7" s="2">
        <v>6.3888567513365593E-2</v>
      </c>
      <c r="L7" s="2">
        <v>7.5845031454042075E-2</v>
      </c>
      <c r="M7" s="2">
        <v>8.5295204620651821E-2</v>
      </c>
    </row>
    <row r="8" spans="1:25" ht="15" x14ac:dyDescent="0.2">
      <c r="B8" s="71" t="s">
        <v>97</v>
      </c>
      <c r="C8" s="2">
        <v>-8.2159624413146171E-3</v>
      </c>
      <c r="D8" s="2">
        <v>2.833273390036473E-3</v>
      </c>
      <c r="E8" s="2">
        <v>-6.0845530741292508E-3</v>
      </c>
      <c r="F8" s="2">
        <v>6.8087781087780019E-3</v>
      </c>
      <c r="G8" s="2">
        <v>-4.5785987158064027E-2</v>
      </c>
      <c r="H8" s="2">
        <v>-5.5515414960707332E-3</v>
      </c>
      <c r="I8" s="2">
        <v>-1.041846465129914E-2</v>
      </c>
      <c r="J8" s="2">
        <v>-4.6992256939999089E-2</v>
      </c>
      <c r="K8" s="2">
        <v>-2.3284680016500969E-2</v>
      </c>
      <c r="L8" s="2">
        <v>-1.0030839606639639E-2</v>
      </c>
      <c r="M8" s="2">
        <v>-2.396012387664315E-2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167</v>
      </c>
      <c r="C14">
        <v>85.6</v>
      </c>
      <c r="D14">
        <v>84.6</v>
      </c>
      <c r="E14">
        <v>89.334963799999997</v>
      </c>
    </row>
    <row r="15" spans="1:25" x14ac:dyDescent="0.2">
      <c r="B15" t="s">
        <v>42</v>
      </c>
      <c r="C15">
        <v>78</v>
      </c>
      <c r="D15">
        <v>79.599999999999994</v>
      </c>
      <c r="E15">
        <v>76.473251599999998</v>
      </c>
    </row>
    <row r="16" spans="1:25" x14ac:dyDescent="0.2">
      <c r="B16" t="s">
        <v>43</v>
      </c>
      <c r="C16">
        <v>89.4</v>
      </c>
      <c r="D16">
        <v>88.6</v>
      </c>
      <c r="E16">
        <v>84.054636400000007</v>
      </c>
    </row>
    <row r="17" spans="2:25" x14ac:dyDescent="0.2">
      <c r="B17" t="s">
        <v>44</v>
      </c>
      <c r="C17">
        <v>87.2</v>
      </c>
      <c r="D17">
        <v>84.1</v>
      </c>
      <c r="E17">
        <v>93.348532399999996</v>
      </c>
    </row>
    <row r="18" spans="2:25" x14ac:dyDescent="0.2">
      <c r="B18" t="s">
        <v>45</v>
      </c>
      <c r="C18">
        <v>94.4</v>
      </c>
      <c r="D18">
        <v>91.7</v>
      </c>
      <c r="E18">
        <v>102.022689</v>
      </c>
    </row>
    <row r="19" spans="2:25" x14ac:dyDescent="0.2">
      <c r="B19" t="s">
        <v>46</v>
      </c>
      <c r="C19">
        <v>76.900000000000006</v>
      </c>
      <c r="D19">
        <v>78.8</v>
      </c>
      <c r="E19">
        <v>85.183583400000003</v>
      </c>
      <c r="F19">
        <v>84.856081336525506</v>
      </c>
      <c r="G19">
        <v>78.208975500070352</v>
      </c>
      <c r="H19">
        <v>79.494896106571318</v>
      </c>
      <c r="I19">
        <v>84.856137120034106</v>
      </c>
      <c r="J19">
        <v>85.176122562885482</v>
      </c>
      <c r="K19">
        <v>79.496240297902261</v>
      </c>
      <c r="L19">
        <v>82.428393204088451</v>
      </c>
      <c r="M19">
        <v>85.209517641751859</v>
      </c>
      <c r="N19">
        <v>88.551239049540982</v>
      </c>
      <c r="O19" s="2">
        <v>2.470741222366701E-2</v>
      </c>
      <c r="P19" s="2">
        <v>0.107718899869961</v>
      </c>
      <c r="Q19" s="2">
        <v>0.10346009540345261</v>
      </c>
      <c r="R19" s="2">
        <v>1.7021788037325791E-2</v>
      </c>
      <c r="S19" s="2">
        <v>3.3743772517182302E-2</v>
      </c>
      <c r="T19" s="2">
        <v>0.10346082080668539</v>
      </c>
      <c r="U19" s="2">
        <v>0.1076218798814756</v>
      </c>
      <c r="V19" s="2">
        <v>3.3761252248403872E-2</v>
      </c>
      <c r="W19" s="2">
        <v>7.1890678856806778E-2</v>
      </c>
      <c r="X19" s="2">
        <v>0.10805614618663011</v>
      </c>
      <c r="Y19" s="2">
        <v>0.1515115611123663</v>
      </c>
    </row>
    <row r="20" spans="2:25" x14ac:dyDescent="0.2">
      <c r="B20" t="s">
        <v>47</v>
      </c>
      <c r="C20">
        <v>80.599999999999994</v>
      </c>
      <c r="D20">
        <v>75.3</v>
      </c>
      <c r="E20">
        <v>84.352285199999997</v>
      </c>
      <c r="F20">
        <v>82.814643208724263</v>
      </c>
      <c r="G20">
        <v>73.026668085559251</v>
      </c>
      <c r="H20">
        <v>74.012203206435359</v>
      </c>
      <c r="I20">
        <v>82.814706890773536</v>
      </c>
      <c r="J20">
        <v>83.449546860662764</v>
      </c>
      <c r="K20">
        <v>74.083616123100029</v>
      </c>
      <c r="L20">
        <v>78.723254790670012</v>
      </c>
      <c r="M20">
        <v>82.549427223520752</v>
      </c>
      <c r="N20">
        <v>83.371020845469502</v>
      </c>
      <c r="O20" s="2">
        <v>-6.575682382133996E-2</v>
      </c>
      <c r="P20" s="2">
        <v>4.6554406947890932E-2</v>
      </c>
      <c r="Q20" s="2">
        <v>2.7476962887397871E-2</v>
      </c>
      <c r="R20" s="2">
        <v>-9.3961934422341686E-2</v>
      </c>
      <c r="S20" s="2">
        <v>-8.1734451533060026E-2</v>
      </c>
      <c r="T20" s="2">
        <v>2.747775298726474E-2</v>
      </c>
      <c r="U20" s="2">
        <v>3.5354179412689479E-2</v>
      </c>
      <c r="V20" s="2">
        <v>-8.084843519727003E-2</v>
      </c>
      <c r="W20" s="2">
        <v>-2.3284680016500969E-2</v>
      </c>
      <c r="X20" s="2">
        <v>2.4186441979165751E-2</v>
      </c>
      <c r="Y20" s="2">
        <v>3.4379911234112992E-2</v>
      </c>
    </row>
    <row r="21" spans="2:25" x14ac:dyDescent="0.2">
      <c r="B21" t="s">
        <v>48</v>
      </c>
      <c r="C21">
        <v>88.4</v>
      </c>
      <c r="D21">
        <v>79.400000000000006</v>
      </c>
      <c r="E21">
        <v>88.600314400000002</v>
      </c>
      <c r="F21">
        <v>85.06733747590593</v>
      </c>
      <c r="G21">
        <v>80.678960410262377</v>
      </c>
      <c r="H21">
        <v>81.789934042285552</v>
      </c>
      <c r="I21">
        <v>85.067325328691453</v>
      </c>
      <c r="J21">
        <v>85.002804483082286</v>
      </c>
      <c r="K21">
        <v>82.011814263834708</v>
      </c>
      <c r="L21">
        <v>82.3455966927162</v>
      </c>
      <c r="M21">
        <v>84.542731142140397</v>
      </c>
      <c r="N21">
        <v>84.412778131204391</v>
      </c>
      <c r="O21" s="2">
        <v>-0.10180995475113119</v>
      </c>
      <c r="P21" s="2">
        <v>2.2659999999998788E-3</v>
      </c>
      <c r="Q21" s="2">
        <v>-3.7699802308756469E-2</v>
      </c>
      <c r="R21" s="2">
        <v>-8.734207680698669E-2</v>
      </c>
      <c r="S21" s="2">
        <v>-7.4774501784100167E-2</v>
      </c>
      <c r="T21" s="2">
        <v>-3.7699939720684972E-2</v>
      </c>
      <c r="U21" s="2">
        <v>-3.8429813539793238E-2</v>
      </c>
      <c r="V21" s="2">
        <v>-7.2264544526756791E-2</v>
      </c>
      <c r="W21" s="2">
        <v>-6.8488725195518185E-2</v>
      </c>
      <c r="X21" s="2">
        <v>-4.3634263097959369E-2</v>
      </c>
      <c r="Y21" s="2">
        <v>-4.5104319782755857E-2</v>
      </c>
    </row>
    <row r="22" spans="2:25" x14ac:dyDescent="0.2">
      <c r="B22" t="s">
        <v>49</v>
      </c>
      <c r="C22">
        <v>89.5</v>
      </c>
      <c r="D22">
        <v>91.1</v>
      </c>
      <c r="E22">
        <v>94.623797400000001</v>
      </c>
      <c r="F22">
        <v>89.260412648355924</v>
      </c>
      <c r="G22">
        <v>92.516728334956156</v>
      </c>
      <c r="H22">
        <v>92.315578870607396</v>
      </c>
      <c r="I22">
        <v>89.260306911541221</v>
      </c>
      <c r="J22">
        <v>88.567547413708724</v>
      </c>
      <c r="K22">
        <v>92.094485552414866</v>
      </c>
      <c r="L22">
        <v>90.469126929056301</v>
      </c>
      <c r="M22">
        <v>89.177388978136975</v>
      </c>
      <c r="N22">
        <v>88.779566209365839</v>
      </c>
      <c r="O22" s="2">
        <v>1.787709497206702E-2</v>
      </c>
      <c r="P22" s="2">
        <v>5.7249132960893963E-2</v>
      </c>
      <c r="Q22" s="2">
        <v>-2.6769536496544788E-3</v>
      </c>
      <c r="R22" s="2">
        <v>3.3706461843085567E-2</v>
      </c>
      <c r="S22" s="2">
        <v>3.1458981794496133E-2</v>
      </c>
      <c r="T22" s="2">
        <v>-2.678135066578546E-3</v>
      </c>
      <c r="U22" s="2">
        <v>-1.041846465129914E-2</v>
      </c>
      <c r="V22" s="2">
        <v>2.8988665390110139E-2</v>
      </c>
      <c r="W22" s="2">
        <v>1.0828233844204499E-2</v>
      </c>
      <c r="X22" s="2">
        <v>-3.604592423050557E-3</v>
      </c>
      <c r="Y22" s="2">
        <v>-8.0495395601581921E-3</v>
      </c>
    </row>
    <row r="23" spans="2:25" x14ac:dyDescent="0.2">
      <c r="B23" t="s">
        <v>50</v>
      </c>
      <c r="C23">
        <v>73.3</v>
      </c>
      <c r="D23">
        <v>76.400000000000006</v>
      </c>
      <c r="E23">
        <v>81.931008199999994</v>
      </c>
      <c r="F23">
        <v>81.31529631795712</v>
      </c>
      <c r="G23">
        <v>79.634443325427895</v>
      </c>
      <c r="H23">
        <v>79.458428762928222</v>
      </c>
      <c r="I23">
        <v>81.315393360791944</v>
      </c>
      <c r="J23">
        <v>82.432047574581816</v>
      </c>
      <c r="K23">
        <v>79.586475693321205</v>
      </c>
      <c r="L23">
        <v>81.187015754306827</v>
      </c>
      <c r="M23">
        <v>81.335211427830131</v>
      </c>
      <c r="N23">
        <v>81.45485303064558</v>
      </c>
      <c r="O23" s="2">
        <v>4.2291950886766738E-2</v>
      </c>
      <c r="P23" s="2">
        <v>0.11774908867667121</v>
      </c>
      <c r="Q23" s="2">
        <v>0.1093491994264273</v>
      </c>
      <c r="R23" s="2">
        <v>8.6418053552904439E-2</v>
      </c>
      <c r="S23" s="2">
        <v>8.401676347787479E-2</v>
      </c>
      <c r="T23" s="2">
        <v>0.1093505233395899</v>
      </c>
      <c r="U23" s="2">
        <v>0.1245845508128489</v>
      </c>
      <c r="V23" s="2">
        <v>8.5763652023481685E-2</v>
      </c>
      <c r="W23" s="2">
        <v>0.10759912352396769</v>
      </c>
      <c r="X23" s="2">
        <v>0.1096208926034126</v>
      </c>
      <c r="Y23" s="2">
        <v>0.11125311092285919</v>
      </c>
    </row>
    <row r="24" spans="2:25" x14ac:dyDescent="0.2">
      <c r="B24" t="s">
        <v>53</v>
      </c>
      <c r="C24">
        <v>85.2</v>
      </c>
      <c r="D24">
        <v>84.5</v>
      </c>
      <c r="E24">
        <v>77.163774599999996</v>
      </c>
      <c r="F24">
        <v>76.411185031337823</v>
      </c>
      <c r="G24">
        <v>85.780107894867882</v>
      </c>
      <c r="H24">
        <v>81.299033894132947</v>
      </c>
      <c r="I24">
        <v>76.573376066593454</v>
      </c>
      <c r="J24">
        <v>78.675473206897621</v>
      </c>
      <c r="K24">
        <v>81.196259708712077</v>
      </c>
      <c r="L24">
        <v>81.43502066954342</v>
      </c>
      <c r="M24">
        <v>76.557714717585128</v>
      </c>
      <c r="N24">
        <v>77.113766630259533</v>
      </c>
      <c r="O24" s="2">
        <v>-8.2159624413146171E-3</v>
      </c>
      <c r="P24" s="2">
        <v>-9.4321894366197201E-2</v>
      </c>
      <c r="Q24" s="2">
        <v>-0.10315510526598801</v>
      </c>
      <c r="R24" s="2">
        <v>6.8087781087780019E-3</v>
      </c>
      <c r="S24" s="2">
        <v>-4.5785987158064027E-2</v>
      </c>
      <c r="T24" s="2">
        <v>-0.10125145461744781</v>
      </c>
      <c r="U24" s="2">
        <v>-7.6578952970685177E-2</v>
      </c>
      <c r="V24" s="2">
        <v>-4.6992256939999089E-2</v>
      </c>
      <c r="W24" s="2">
        <v>-4.4189898244795578E-2</v>
      </c>
      <c r="X24" s="2">
        <v>-0.10143527326778019</v>
      </c>
      <c r="Y24" s="2">
        <v>-9.4908842367845914E-2</v>
      </c>
    </row>
    <row r="25" spans="2:25" x14ac:dyDescent="0.2">
      <c r="B25" t="s">
        <v>54</v>
      </c>
      <c r="C25">
        <v>82.3</v>
      </c>
      <c r="D25">
        <v>72.8</v>
      </c>
      <c r="E25">
        <v>82.533178399999997</v>
      </c>
      <c r="F25">
        <v>81.799241281999159</v>
      </c>
      <c r="G25">
        <v>74.736169220482225</v>
      </c>
      <c r="H25">
        <v>75.723727566582298</v>
      </c>
      <c r="I25">
        <v>81.843108134873376</v>
      </c>
      <c r="J25">
        <v>81.800083632898122</v>
      </c>
      <c r="K25">
        <v>75.98089843436037</v>
      </c>
      <c r="L25">
        <v>77.658872212764578</v>
      </c>
      <c r="M25">
        <v>81.474461900373555</v>
      </c>
      <c r="N25">
        <v>80.328081804952262</v>
      </c>
      <c r="O25" s="2">
        <v>-0.1154313487241798</v>
      </c>
      <c r="P25" s="2">
        <v>2.833273390036473E-3</v>
      </c>
      <c r="Q25" s="2">
        <v>-6.0845530741292508E-3</v>
      </c>
      <c r="R25" s="2">
        <v>-9.1905598779073783E-2</v>
      </c>
      <c r="S25" s="2">
        <v>-7.9906104901794617E-2</v>
      </c>
      <c r="T25" s="2">
        <v>-5.5515414960707332E-3</v>
      </c>
      <c r="U25" s="2">
        <v>-6.0743179477749099E-3</v>
      </c>
      <c r="V25" s="2">
        <v>-7.6781306994406218E-2</v>
      </c>
      <c r="W25" s="2">
        <v>-5.6392804219142389E-2</v>
      </c>
      <c r="X25" s="2">
        <v>-1.0030839606639639E-2</v>
      </c>
      <c r="Y25" s="2">
        <v>-2.396012387664315E-2</v>
      </c>
    </row>
    <row r="26" spans="2:25" x14ac:dyDescent="0.2">
      <c r="B26" t="s">
        <v>55</v>
      </c>
      <c r="C26">
        <v>91.8</v>
      </c>
      <c r="D26">
        <v>81</v>
      </c>
      <c r="E26">
        <v>82.966944400000003</v>
      </c>
      <c r="F26">
        <v>82.106453717397386</v>
      </c>
      <c r="G26">
        <v>83.277973247259851</v>
      </c>
      <c r="H26">
        <v>82.447564214477893</v>
      </c>
      <c r="I26">
        <v>82.141131723162857</v>
      </c>
      <c r="J26">
        <v>82.107184052422923</v>
      </c>
      <c r="K26">
        <v>82.457036965907477</v>
      </c>
      <c r="L26">
        <v>82.927025051320555</v>
      </c>
      <c r="M26">
        <v>81.740085485648905</v>
      </c>
      <c r="N26">
        <v>80.897340199547216</v>
      </c>
      <c r="O26" s="2">
        <v>-0.1176470588235294</v>
      </c>
      <c r="P26" s="2">
        <v>-9.6220649237472755E-2</v>
      </c>
      <c r="Q26" s="2">
        <v>-0.1055941860849957</v>
      </c>
      <c r="R26" s="2">
        <v>-9.2832535432899155E-2</v>
      </c>
      <c r="S26" s="2">
        <v>-0.1018783854632037</v>
      </c>
      <c r="T26" s="2">
        <v>-0.1052164300309056</v>
      </c>
      <c r="U26" s="2">
        <v>-0.1055862303657633</v>
      </c>
      <c r="V26" s="2">
        <v>-0.1017751964498096</v>
      </c>
      <c r="W26" s="2">
        <v>-9.6655500530277161E-2</v>
      </c>
      <c r="X26" s="2">
        <v>-0.1095851254286612</v>
      </c>
      <c r="Y26" s="2">
        <v>-0.1187653573034072</v>
      </c>
    </row>
    <row r="27" spans="2:25" x14ac:dyDescent="0.2">
      <c r="B27" t="s">
        <v>71</v>
      </c>
      <c r="C27">
        <v>89.9</v>
      </c>
      <c r="D27">
        <v>89.9</v>
      </c>
      <c r="E27">
        <v>87.522142000000002</v>
      </c>
      <c r="F27">
        <v>85.430885198381844</v>
      </c>
      <c r="G27">
        <v>90.601967471143766</v>
      </c>
      <c r="H27">
        <v>89.522367405113968</v>
      </c>
      <c r="I27">
        <v>85.430875192672147</v>
      </c>
      <c r="J27">
        <v>85.397035211909383</v>
      </c>
      <c r="K27">
        <v>89.401470878966833</v>
      </c>
      <c r="L27">
        <v>88.746660666036689</v>
      </c>
      <c r="M27">
        <v>84.831369560604742</v>
      </c>
      <c r="N27">
        <v>84.833370865406209</v>
      </c>
      <c r="O27" s="2">
        <v>0</v>
      </c>
      <c r="P27" s="2">
        <v>-2.645003337041163E-2</v>
      </c>
      <c r="Q27" s="2">
        <v>-4.9712066758822671E-2</v>
      </c>
      <c r="R27" s="2">
        <v>7.8083144732341569E-3</v>
      </c>
      <c r="S27" s="2">
        <v>-4.2005850376645171E-3</v>
      </c>
      <c r="T27" s="2">
        <v>-4.9712178057039542E-2</v>
      </c>
      <c r="U27" s="2">
        <v>-5.0088596085546389E-2</v>
      </c>
      <c r="V27" s="2">
        <v>-5.5453739825714887E-3</v>
      </c>
      <c r="W27" s="2">
        <v>-1.2829136084130281E-2</v>
      </c>
      <c r="X27" s="2">
        <v>-5.6380761283595808E-2</v>
      </c>
      <c r="Y27" s="2">
        <v>-5.6358499828629498E-2</v>
      </c>
    </row>
    <row r="28" spans="2:25" x14ac:dyDescent="0.2">
      <c r="I28" s="105" t="s">
        <v>148</v>
      </c>
      <c r="J28" s="105"/>
      <c r="K28" s="105"/>
      <c r="L28">
        <f>$L$27/(1+W28)</f>
        <v>89.855176709849431</v>
      </c>
      <c r="Q28" s="2"/>
      <c r="R28" s="2"/>
      <c r="S28" s="105" t="s">
        <v>141</v>
      </c>
      <c r="T28" s="105"/>
      <c r="U28" s="105"/>
      <c r="V28" s="105"/>
      <c r="W28" s="1">
        <f>AVERAGE(W19:W26)</f>
        <v>-1.2336696497656913E-2</v>
      </c>
      <c r="X28" s="2"/>
      <c r="Y28" s="2"/>
    </row>
    <row r="29" spans="2:25" x14ac:dyDescent="0.2">
      <c r="I29" s="92" t="s">
        <v>149</v>
      </c>
      <c r="J29" s="92"/>
      <c r="K29" s="92"/>
      <c r="L29">
        <f t="shared" ref="L29:L33" si="0">$L$27/(1+W29)</f>
        <v>91.845271133552117</v>
      </c>
      <c r="S29" s="92" t="s">
        <v>143</v>
      </c>
      <c r="T29" s="92"/>
      <c r="U29" s="92"/>
      <c r="V29" s="92"/>
      <c r="W29" s="1">
        <f>MEDIAN(W19:W26)</f>
        <v>-3.3737289130648274E-2</v>
      </c>
    </row>
    <row r="30" spans="2:25" x14ac:dyDescent="0.2">
      <c r="I30" s="93" t="s">
        <v>150</v>
      </c>
      <c r="J30" s="93"/>
      <c r="K30" s="93"/>
      <c r="L30">
        <f t="shared" si="0"/>
        <v>94.191126453025845</v>
      </c>
      <c r="S30" s="93" t="s">
        <v>142</v>
      </c>
      <c r="T30" s="93"/>
      <c r="U30" s="93"/>
      <c r="V30" s="93"/>
      <c r="W30" s="1">
        <f>AVERAGE(W24:W26,W20:W21)</f>
        <v>-5.7802321641246858E-2</v>
      </c>
    </row>
    <row r="31" spans="2:25" x14ac:dyDescent="0.2">
      <c r="I31" s="94" t="s">
        <v>151</v>
      </c>
      <c r="J31" s="94"/>
      <c r="K31" s="94"/>
      <c r="L31">
        <f t="shared" si="0"/>
        <v>94.05042804129603</v>
      </c>
      <c r="S31" s="94" t="s">
        <v>144</v>
      </c>
      <c r="T31" s="94"/>
      <c r="U31" s="94"/>
      <c r="V31" s="94"/>
      <c r="W31" s="1">
        <f>MEDIAN(W24:W26,W20:W21)</f>
        <v>-5.6392804219142389E-2</v>
      </c>
    </row>
    <row r="32" spans="2:25" x14ac:dyDescent="0.2">
      <c r="I32" s="95" t="s">
        <v>152</v>
      </c>
      <c r="J32" s="95"/>
      <c r="K32" s="95"/>
      <c r="L32">
        <f t="shared" si="0"/>
        <v>83.45248936784526</v>
      </c>
      <c r="S32" s="95" t="s">
        <v>145</v>
      </c>
      <c r="T32" s="95"/>
      <c r="U32" s="95"/>
      <c r="V32" s="95"/>
      <c r="W32" s="1">
        <f>AVERAGE(W22:W23,W19)</f>
        <v>6.3439345408326325E-2</v>
      </c>
    </row>
    <row r="33" spans="1:23" x14ac:dyDescent="0.2">
      <c r="H33" s="99"/>
      <c r="I33" s="96" t="s">
        <v>153</v>
      </c>
      <c r="J33" s="96"/>
      <c r="K33" s="96"/>
      <c r="L33">
        <f t="shared" si="0"/>
        <v>82.794507328570859</v>
      </c>
      <c r="M33">
        <f>L27/(1+MAX(W19:W26))</f>
        <v>80.125253605905613</v>
      </c>
      <c r="S33" s="96" t="s">
        <v>146</v>
      </c>
      <c r="T33" s="96"/>
      <c r="U33" s="96"/>
      <c r="V33" s="96"/>
      <c r="W33" s="1">
        <f>MEDIAN(W22:W23,W19)</f>
        <v>7.1890678856806778E-2</v>
      </c>
    </row>
    <row r="36" spans="1:23" x14ac:dyDescent="0.2">
      <c r="A36" s="67" t="s">
        <v>102</v>
      </c>
      <c r="B36" t="s">
        <v>154</v>
      </c>
    </row>
    <row r="37" spans="1:23" x14ac:dyDescent="0.2">
      <c r="B37" t="s">
        <v>155</v>
      </c>
    </row>
    <row r="43" spans="1:23" x14ac:dyDescent="0.2">
      <c r="A43" s="67" t="s">
        <v>104</v>
      </c>
      <c r="B43" s="78" t="s">
        <v>156</v>
      </c>
      <c r="C43" s="79">
        <f>M33</f>
        <v>80.125253605905613</v>
      </c>
      <c r="D43" t="s">
        <v>168</v>
      </c>
    </row>
    <row r="45" spans="1:23" x14ac:dyDescent="0.2">
      <c r="B45" s="173" t="s">
        <v>164</v>
      </c>
      <c r="C45" s="173"/>
      <c r="D45" s="2">
        <f>C43/D27-1</f>
        <v>-0.10872910338258501</v>
      </c>
    </row>
    <row r="46" spans="1:23" x14ac:dyDescent="0.2">
      <c r="B46" s="161" t="s">
        <v>163</v>
      </c>
      <c r="C46" s="161"/>
      <c r="D46" s="2">
        <f>'1. Data &amp; Confidence Interval'!S24</f>
        <v>4.0000000000000036E-2</v>
      </c>
    </row>
  </sheetData>
  <mergeCells count="2">
    <mergeCell ref="B46:C46"/>
    <mergeCell ref="B45:C45"/>
  </mergeCells>
  <conditionalFormatting sqref="W29:W33 R27:R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W2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2021-10-29T18:56:52Z</dcterms:modified>
</cp:coreProperties>
</file>