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LUNG\"/>
    </mc:Choice>
  </mc:AlternateContent>
  <xr:revisionPtr revIDLastSave="0" documentId="13_ncr:1_{3528B810-DB95-486B-885A-93AF43CB3AFB}" xr6:coauthVersionLast="46" xr6:coauthVersionMax="46" xr10:uidLastSave="{00000000-0000-0000-0000-000000000000}"/>
  <bookViews>
    <workbookView xWindow="8475" yWindow="1230" windowWidth="21600" windowHeight="11385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4" i="1" l="1"/>
  <c r="G37" i="2"/>
  <c r="G38" i="2" s="1"/>
  <c r="S38" i="2"/>
  <c r="S37" i="2"/>
  <c r="R37" i="2"/>
  <c r="R38" i="2"/>
  <c r="C43" i="4" s="1"/>
  <c r="D45" i="4" s="1"/>
  <c r="G34" i="2"/>
  <c r="K19" i="2"/>
  <c r="Q17" i="2"/>
  <c r="P17" i="2"/>
  <c r="O17" i="2"/>
  <c r="N17" i="2"/>
  <c r="M17" i="2"/>
  <c r="L17" i="2"/>
  <c r="K17" i="2"/>
  <c r="Q16" i="2"/>
  <c r="L19" i="2"/>
  <c r="M34" i="2"/>
  <c r="N19" i="2"/>
  <c r="O19" i="2"/>
  <c r="L16" i="2"/>
  <c r="K15" i="2"/>
  <c r="L15" i="2"/>
  <c r="M15" i="2"/>
  <c r="N15" i="2"/>
  <c r="O15" i="2"/>
  <c r="P15" i="2"/>
  <c r="K16" i="2"/>
  <c r="M16" i="2"/>
  <c r="N16" i="2"/>
  <c r="O16" i="2"/>
  <c r="P16" i="2"/>
  <c r="L14" i="2"/>
  <c r="M14" i="2"/>
  <c r="N14" i="2"/>
  <c r="O14" i="2"/>
  <c r="P14" i="2"/>
  <c r="K14" i="2"/>
  <c r="J16" i="2"/>
  <c r="J17" i="2"/>
  <c r="P19" i="2" s="1"/>
  <c r="J18" i="2"/>
  <c r="J15" i="2"/>
  <c r="G19" i="2"/>
  <c r="I19" i="2"/>
  <c r="H19" i="2"/>
  <c r="F19" i="2"/>
  <c r="E19" i="2"/>
  <c r="J14" i="2"/>
  <c r="J13" i="2"/>
  <c r="L31" i="2"/>
  <c r="M31" i="2"/>
  <c r="L32" i="2"/>
  <c r="L34" i="2"/>
  <c r="R19" i="2"/>
  <c r="U26" i="1"/>
  <c r="U25" i="1"/>
  <c r="U23" i="1"/>
  <c r="U22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P34" i="4"/>
  <c r="E34" i="4" s="1"/>
  <c r="P33" i="4"/>
  <c r="E33" i="4" s="1"/>
  <c r="P32" i="4"/>
  <c r="E32" i="4" s="1"/>
  <c r="P31" i="4"/>
  <c r="P30" i="4"/>
  <c r="E30" i="4" s="1"/>
  <c r="P29" i="4"/>
  <c r="E29" i="4" s="1"/>
  <c r="E31" i="4"/>
  <c r="A23" i="2"/>
  <c r="B23" i="2"/>
  <c r="C23" i="2"/>
  <c r="D23" i="2"/>
  <c r="A24" i="2"/>
  <c r="B24" i="2"/>
  <c r="C24" i="2"/>
  <c r="D24" i="2"/>
  <c r="R33" i="2"/>
  <c r="R32" i="2"/>
  <c r="K18" i="2"/>
  <c r="L33" i="2"/>
  <c r="M18" i="2"/>
  <c r="N18" i="2"/>
  <c r="O18" i="2"/>
  <c r="L18" i="2"/>
  <c r="R18" i="2"/>
  <c r="M19" i="2" l="1"/>
  <c r="Q19" i="2"/>
  <c r="J19" i="2"/>
  <c r="Q15" i="2"/>
  <c r="M32" i="2"/>
  <c r="M36" i="2" s="1" a="1"/>
  <c r="M36" i="2" s="1"/>
  <c r="Q14" i="2"/>
  <c r="P18" i="2"/>
  <c r="Q18" i="2" s="1"/>
  <c r="L36" i="2" a="1"/>
  <c r="L36" i="2" s="1"/>
  <c r="M33" i="2"/>
  <c r="U18" i="1"/>
  <c r="T18" i="1"/>
  <c r="M35" i="2" l="1" a="1"/>
  <c r="M35" i="2" s="1"/>
  <c r="L35" i="2" a="1"/>
  <c r="L35" i="2" s="1"/>
  <c r="R20" i="1"/>
  <c r="S20" i="1"/>
  <c r="R22" i="1"/>
  <c r="S22" i="1"/>
  <c r="A25" i="2" l="1"/>
  <c r="B25" i="2"/>
  <c r="C25" i="2"/>
  <c r="D25" i="2"/>
  <c r="G33" i="2" l="1"/>
  <c r="G32" i="2"/>
  <c r="E34" i="2"/>
  <c r="E33" i="2"/>
  <c r="E32" i="2"/>
  <c r="E31" i="2"/>
  <c r="E30" i="2"/>
  <c r="T13" i="1" l="1"/>
  <c r="L13" i="1"/>
  <c r="M13" i="1"/>
  <c r="N13" i="1"/>
  <c r="O13" i="1"/>
  <c r="P13" i="1"/>
  <c r="Q13" i="1"/>
  <c r="R13" i="1"/>
  <c r="S13" i="1"/>
  <c r="A26" i="2"/>
  <c r="B26" i="2"/>
  <c r="C26" i="2"/>
  <c r="D26" i="2"/>
  <c r="Q20" i="1"/>
  <c r="S18" i="1"/>
  <c r="R18" i="1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B27" i="2"/>
  <c r="C27" i="2"/>
  <c r="D27" i="2"/>
  <c r="A27" i="2"/>
  <c r="I21" i="3"/>
  <c r="E21" i="3"/>
  <c r="E36" i="2" l="1" a="1"/>
  <c r="E36" i="2" s="1"/>
  <c r="E35" i="2" a="1"/>
  <c r="E35" i="2" s="1"/>
  <c r="Q21" i="1"/>
  <c r="R21" i="1"/>
  <c r="U20" i="1"/>
  <c r="S21" i="1"/>
  <c r="C7" i="1"/>
  <c r="T10" i="1"/>
  <c r="H10" i="1"/>
  <c r="Q22" i="1"/>
  <c r="M18" i="1"/>
  <c r="L18" i="1"/>
  <c r="K18" i="1"/>
  <c r="J18" i="1"/>
  <c r="I18" i="1"/>
  <c r="H18" i="1"/>
  <c r="G18" i="1"/>
  <c r="F18" i="1"/>
  <c r="F17" i="1"/>
  <c r="G17" i="1"/>
  <c r="F17" i="3"/>
  <c r="U21" i="1" l="1"/>
  <c r="R23" i="1"/>
  <c r="Q23" i="1"/>
  <c r="M24" i="1"/>
  <c r="P24" i="1"/>
  <c r="D46" i="4" s="1"/>
  <c r="S23" i="1"/>
  <c r="B7" i="1"/>
  <c r="R34" i="2"/>
  <c r="R35" i="2" l="1" a="1"/>
  <c r="R35" i="2" s="1"/>
  <c r="R36" i="2" a="1"/>
  <c r="R36" i="2" s="1"/>
  <c r="I2" i="1"/>
  <c r="H2" i="1"/>
  <c r="I3" i="1"/>
  <c r="H3" i="1"/>
  <c r="H17" i="3"/>
  <c r="J2" i="1" l="1"/>
  <c r="K2" i="1" s="1"/>
  <c r="J3" i="1"/>
  <c r="K3" i="1" s="1"/>
  <c r="K31" i="2"/>
  <c r="N31" i="2"/>
  <c r="O31" i="2"/>
  <c r="P31" i="2"/>
  <c r="Q31" i="2"/>
  <c r="K32" i="2"/>
  <c r="N32" i="2"/>
  <c r="O32" i="2"/>
  <c r="P32" i="2"/>
  <c r="Q32" i="2"/>
  <c r="K33" i="2"/>
  <c r="N33" i="2"/>
  <c r="O33" i="2"/>
  <c r="P33" i="2"/>
  <c r="Q33" i="2"/>
  <c r="K34" i="2"/>
  <c r="N34" i="2"/>
  <c r="O34" i="2"/>
  <c r="P34" i="2"/>
  <c r="Q34" i="2"/>
  <c r="F30" i="2"/>
  <c r="G30" i="2"/>
  <c r="H30" i="2"/>
  <c r="I30" i="2"/>
  <c r="J30" i="2"/>
  <c r="F31" i="2"/>
  <c r="G31" i="2"/>
  <c r="H31" i="2"/>
  <c r="I31" i="2"/>
  <c r="J31" i="2"/>
  <c r="F32" i="2"/>
  <c r="H32" i="2"/>
  <c r="I32" i="2"/>
  <c r="J32" i="2"/>
  <c r="F33" i="2"/>
  <c r="H33" i="2"/>
  <c r="I33" i="2"/>
  <c r="J33" i="2"/>
  <c r="F34" i="2"/>
  <c r="H34" i="2"/>
  <c r="I34" i="2"/>
  <c r="J34" i="2"/>
  <c r="G35" i="2" l="1" a="1"/>
  <c r="G35" i="2" s="1"/>
  <c r="G36" i="2" a="1"/>
  <c r="G36" i="2" s="1"/>
  <c r="H36" i="2" a="1"/>
  <c r="H36" i="2" s="1"/>
  <c r="H35" i="2" a="1"/>
  <c r="H35" i="2" s="1"/>
  <c r="K36" i="2" a="1"/>
  <c r="K36" i="2" s="1"/>
  <c r="K35" i="2" a="1"/>
  <c r="K35" i="2" s="1"/>
  <c r="N36" i="2" a="1"/>
  <c r="N36" i="2" s="1"/>
  <c r="N35" i="2" a="1"/>
  <c r="N35" i="2" s="1"/>
  <c r="Q36" i="2" a="1"/>
  <c r="Q36" i="2" s="1"/>
  <c r="Q35" i="2" a="1"/>
  <c r="Q35" i="2" s="1"/>
  <c r="F36" i="2" a="1"/>
  <c r="F36" i="2" s="1"/>
  <c r="F35" i="2" a="1"/>
  <c r="F35" i="2" s="1"/>
  <c r="P36" i="2" a="1"/>
  <c r="P36" i="2" s="1"/>
  <c r="P35" i="2" a="1"/>
  <c r="P35" i="2" s="1"/>
  <c r="J35" i="2" a="1"/>
  <c r="J35" i="2" s="1"/>
  <c r="J36" i="2" a="1"/>
  <c r="J36" i="2" s="1"/>
  <c r="O36" i="2" a="1"/>
  <c r="O36" i="2" s="1"/>
  <c r="O35" i="2" a="1"/>
  <c r="O35" i="2" s="1"/>
  <c r="I35" i="2" a="1"/>
  <c r="I35" i="2" s="1"/>
  <c r="I36" i="2" a="1"/>
  <c r="I36" i="2" s="1"/>
  <c r="J4" i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<sst xmlns="http://schemas.openxmlformats.org/spreadsheetml/2006/main" count="251" uniqueCount="169">
  <si>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</si>
  <si>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</si>
  <si>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</si>
  <si>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</si>
  <si>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</si>
  <si>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</si>
  <si>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</si>
  <si>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</si>
  <si>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</si>
  <si>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</si>
  <si>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</si>
  <si>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</si>
  <si>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</si>
  <si>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</si>
  <si>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</si>
  <si>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</si>
  <si>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</si>
  <si>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</si>
  <si>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</si>
  <si>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</si>
  <si>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</si>
  <si>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</si>
  <si>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</si>
  <si>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</si>
  <si>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</si>
  <si>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</si>
  <si>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</si>
  <si>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</si>
  <si>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</si>
  <si>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</si>
  <si>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</si>
  <si>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</si>
  <si>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</si>
  <si>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</si>
  <si>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</si>
  <si>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</si>
  <si>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</si>
  <si>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</si>
  <si>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</si>
  <si>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</si>
  <si>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</si>
  <si>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</si>
  <si>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</si>
  <si>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</si>
  <si>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</si>
  <si>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</si>
  <si>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</si>
  <si>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</si>
  <si>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</si>
  <si>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</si>
  <si>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</si>
  <si>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</si>
  <si>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</si>
  <si>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</si>
  <si>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</si>
  <si>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</si>
  <si>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</si>
  <si>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</si>
  <si>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</si>
  <si>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</si>
  <si>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</si>
  <si>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</si>
  <si>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</si>
  <si>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</si>
  <si>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</si>
  <si>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</si>
  <si>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</si>
  <si>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</si>
  <si>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</si>
  <si>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</si>
  <si>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</si>
  <si>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</si>
  <si>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</si>
  <si>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</si>
  <si>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</si>
  <si>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</si>
  <si>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</si>
  <si>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</si>
  <si>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</si>
  <si>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</si>
  <si>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</si>
  <si>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</si>
  <si>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</si>
  <si>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</si>
  <si>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</si>
  <si>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</si>
  <si>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</si>
  <si>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</si>
  <si>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</si>
  <si>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</si>
  <si>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</si>
  <si>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</si>
  <si>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</si>
  <si>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</si>
  <si>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</si>
  <si>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</si>
  <si>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</si>
  <si>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</si>
  <si>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</si>
  <si>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</si>
  <si>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</si>
  <si>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</si>
  <si>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</si>
  <si>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</si>
  <si>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</si>
  <si>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</si>
  <si>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</si>
  <si>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</si>
  <si>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</si>
  <si>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</si>
  <si>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</si>
  <si>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</si>
  <si>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</si>
  <si>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</si>
  <si>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</si>
  <si>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</si>
  <si>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</si>
  <si>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</si>
  <si>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</si>
  <si>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</si>
  <si>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</si>
  <si>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</si>
  <si>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</si>
  <si>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</si>
  <si>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</si>
  <si>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</si>
  <si>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</si>
  <si>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</si>
  <si>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</si>
  <si>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</si>
  <si>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</si>
  <si>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</si>
  <si>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</si>
  <si>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</si>
  <si>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</si>
  <si>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</si>
  <si>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</si>
  <si>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</si>
  <si>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</si>
  <si>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</si>
  <si>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</si>
  <si>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</si>
  <si>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</si>
  <si>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</si>
  <si>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</si>
  <si>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</si>
  <si>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</si>
  <si>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</si>
  <si>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</si>
  <si>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</si>
  <si>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</si>
  <si>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</si>
  <si>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</si>
  <si>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</si>
  <si>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</si>
  <si>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</si>
  <si>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</si>
  <si>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</si>
  <si>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</si>
  <si>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</si>
  <si>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</si>
  <si>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</si>
  <si>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</si>
  <si>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</si>
  <si>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</si>
  <si>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If this value is unsatisfactory, use confidence interval.</t>
  </si>
  <si>
    <t>LUNG</t>
  </si>
  <si>
    <t>U.S. SALES</t>
  </si>
  <si>
    <t>NOT ENOUGH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</si>
</sst>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7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V29"/>
  <sheetViews>
    <sheetView tabSelected="1" topLeftCell="F1" zoomScale="70" zoomScaleNormal="70" workbookViewId="0">
      <selection activeCell="U25" sqref="U25"/>
    </sheetView>
  </sheetViews>
  <sheetFormatPr defaultRowHeight="12.75" x14ac:dyDescent="0.2"/>
  <cols>
    <col min="1" max="1" width="17.85546875" bestFit="1" customWidth="1"/>
    <col min="2" max="5" width="17.85546875" customWidth="1"/>
    <col min="6" max="19" width="10.7109375" customWidth="1"/>
    <col min="20" max="20" width="17.85546875" customWidth="1"/>
    <col min="21" max="22" width="10.7109375" customWidth="1"/>
  </cols>
  <sheetData>
    <row r="1" spans="1:21" x14ac:dyDescent="0.2">
      <c r="A1" s="129" t="s">
        <v>166</v>
      </c>
      <c r="B1" s="130"/>
      <c r="C1" s="131"/>
      <c r="F1" s="138" t="s">
        <v>35</v>
      </c>
      <c r="G1" s="139"/>
      <c r="H1" s="56" t="s">
        <v>31</v>
      </c>
      <c r="I1" s="56" t="s">
        <v>32</v>
      </c>
      <c r="J1" s="4" t="s">
        <v>39</v>
      </c>
      <c r="K1" s="140" t="s">
        <v>41</v>
      </c>
      <c r="L1" s="141"/>
    </row>
    <row r="2" spans="1:21" x14ac:dyDescent="0.2">
      <c r="A2" s="132"/>
      <c r="B2" s="133"/>
      <c r="C2" s="134"/>
      <c r="F2" s="54" t="s">
        <v>37</v>
      </c>
      <c r="G2" s="55"/>
      <c r="H2" s="57">
        <f>$B$7*($U$25-2*$U$26)</f>
        <v>5.6421065956993157</v>
      </c>
      <c r="I2" s="57">
        <f>$B$7*($U$25+2*$U$26)</f>
        <v>9.0408463252880491</v>
      </c>
      <c r="J2" s="59">
        <f>AVERAGE(H2:I2)</f>
        <v>7.3414764604936824</v>
      </c>
      <c r="K2" s="142">
        <f>$J$2/P14-1</f>
        <v>0.38518423782899669</v>
      </c>
      <c r="L2" s="143"/>
    </row>
    <row r="3" spans="1:21" x14ac:dyDescent="0.2">
      <c r="A3" s="135"/>
      <c r="B3" s="136"/>
      <c r="C3" s="137"/>
      <c r="F3" s="40" t="s">
        <v>38</v>
      </c>
      <c r="G3" s="18"/>
      <c r="H3" s="58">
        <f>$C$7*($U$25-2*$U$26)</f>
        <v>5.8723966608298994</v>
      </c>
      <c r="I3" s="58">
        <f>$C$7*($U$25+2*$U$26)</f>
        <v>9.409860461014091</v>
      </c>
      <c r="J3" s="60">
        <f>AVERAGE(H3:I3)</f>
        <v>7.6411285609219952</v>
      </c>
      <c r="K3" s="102">
        <f>$J$3/P15-1</f>
        <v>0.44172236998528214</v>
      </c>
      <c r="L3" s="103"/>
    </row>
    <row r="4" spans="1:21" x14ac:dyDescent="0.2">
      <c r="A4" s="45"/>
      <c r="B4" s="45"/>
      <c r="C4" s="45"/>
      <c r="I4" s="4" t="s">
        <v>40</v>
      </c>
      <c r="J4" s="60">
        <f>AVERAGE(J2:J3)</f>
        <v>7.4913025107078388</v>
      </c>
      <c r="K4" s="102">
        <f>$J$4/P15-1</f>
        <v>0.41345330390713952</v>
      </c>
      <c r="L4" s="103"/>
    </row>
    <row r="5" spans="1:21" x14ac:dyDescent="0.2">
      <c r="A5" s="53" t="s">
        <v>34</v>
      </c>
      <c r="B5" s="43" t="s">
        <v>31</v>
      </c>
      <c r="C5" s="44" t="s">
        <v>32</v>
      </c>
    </row>
    <row r="6" spans="1:21" ht="15.75" x14ac:dyDescent="0.25">
      <c r="A6" s="47" t="s">
        <v>33</v>
      </c>
      <c r="B6" s="51">
        <v>49</v>
      </c>
      <c r="C6" s="52">
        <v>51</v>
      </c>
    </row>
    <row r="7" spans="1:21" ht="14.25" x14ac:dyDescent="0.2">
      <c r="A7" s="48" t="s">
        <v>36</v>
      </c>
      <c r="B7" s="49">
        <f>B6*$U$24</f>
        <v>26.88567730802416</v>
      </c>
      <c r="C7" s="50">
        <f>C6*$U$24</f>
        <v>27.983051892025145</v>
      </c>
    </row>
    <row r="10" spans="1:21" x14ac:dyDescent="0.2">
      <c r="F10" s="104" t="s">
        <v>15</v>
      </c>
      <c r="G10" s="104"/>
      <c r="H10" s="30">
        <f>AVERAGE(F13:T13)</f>
        <v>6.5790546694315957</v>
      </c>
      <c r="Q10" s="104" t="s">
        <v>16</v>
      </c>
      <c r="R10" s="104"/>
      <c r="S10" s="104"/>
      <c r="T10" s="74">
        <f>AVERAGE(P13:T13)</f>
        <v>1.8706317383102042</v>
      </c>
    </row>
    <row r="11" spans="1:21" x14ac:dyDescent="0.2">
      <c r="A11" s="46" t="s">
        <v>6</v>
      </c>
      <c r="B11" s="144">
        <v>2012</v>
      </c>
      <c r="C11" s="145"/>
      <c r="D11" s="145"/>
      <c r="E11" s="146"/>
      <c r="F11" s="125">
        <v>2018</v>
      </c>
      <c r="G11" s="126"/>
      <c r="H11" s="126"/>
      <c r="I11" s="127"/>
      <c r="J11" s="113">
        <v>2019</v>
      </c>
      <c r="K11" s="114"/>
      <c r="L11" s="114"/>
      <c r="M11" s="115"/>
      <c r="N11" s="116">
        <v>2020</v>
      </c>
      <c r="O11" s="117"/>
      <c r="P11" s="117"/>
      <c r="Q11" s="118"/>
      <c r="R11" s="119">
        <v>2021</v>
      </c>
      <c r="S11" s="120"/>
      <c r="T11" s="120"/>
      <c r="U11" s="121"/>
    </row>
    <row r="12" spans="1:21" x14ac:dyDescent="0.2">
      <c r="A12" s="13" t="s">
        <v>19</v>
      </c>
      <c r="B12" s="95" t="s">
        <v>20</v>
      </c>
      <c r="C12" s="95" t="s">
        <v>3</v>
      </c>
      <c r="D12" s="95" t="s">
        <v>4</v>
      </c>
      <c r="E12" s="98" t="s">
        <v>5</v>
      </c>
      <c r="F12" s="20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4" t="s">
        <v>20</v>
      </c>
      <c r="O12" s="19" t="s">
        <v>3</v>
      </c>
      <c r="P12" s="19" t="s">
        <v>4</v>
      </c>
      <c r="Q12" s="19" t="s">
        <v>5</v>
      </c>
      <c r="R12" s="32" t="s">
        <v>20</v>
      </c>
      <c r="S12" s="33" t="s">
        <v>3</v>
      </c>
      <c r="T12" s="34" t="s">
        <v>21</v>
      </c>
      <c r="U12" s="25" t="s">
        <v>22</v>
      </c>
    </row>
    <row r="13" spans="1:21" x14ac:dyDescent="0.2">
      <c r="A13" s="29" t="s">
        <v>2</v>
      </c>
      <c r="F13" s="77"/>
      <c r="G13" s="77"/>
      <c r="H13" s="77"/>
      <c r="I13" s="77"/>
      <c r="J13" s="77"/>
      <c r="K13" s="77"/>
      <c r="L13" s="77">
        <f t="shared" ref="L13:S13" si="0">L15/H15</f>
        <v>34</v>
      </c>
      <c r="M13" s="77">
        <f t="shared" si="0"/>
        <v>9.4</v>
      </c>
      <c r="N13" s="77">
        <f t="shared" si="0"/>
        <v>5.625</v>
      </c>
      <c r="O13" s="77">
        <f t="shared" si="0"/>
        <v>0.83333333333333326</v>
      </c>
      <c r="P13" s="77">
        <f t="shared" si="0"/>
        <v>1.5588235294117647</v>
      </c>
      <c r="Q13" s="77">
        <f t="shared" si="0"/>
        <v>1.0425531914893618</v>
      </c>
      <c r="R13" s="77">
        <f t="shared" si="0"/>
        <v>0.95555555555555549</v>
      </c>
      <c r="S13" s="77">
        <f t="shared" si="0"/>
        <v>4.3999999999999995</v>
      </c>
      <c r="T13" s="77">
        <f>T14/P14</f>
        <v>1.3962264150943398</v>
      </c>
      <c r="U13" s="26"/>
    </row>
    <row r="14" spans="1:21" x14ac:dyDescent="0.2">
      <c r="A14" s="14" t="s">
        <v>0</v>
      </c>
      <c r="B14" s="6"/>
      <c r="C14" s="6"/>
      <c r="D14" s="6"/>
      <c r="E14" s="6"/>
      <c r="F14" s="9"/>
      <c r="G14" s="6"/>
      <c r="H14" s="6">
        <v>0.1</v>
      </c>
      <c r="I14" s="6">
        <v>0.5</v>
      </c>
      <c r="J14" s="9">
        <v>0.8</v>
      </c>
      <c r="K14" s="6">
        <v>1.8</v>
      </c>
      <c r="L14" s="6">
        <v>3.4</v>
      </c>
      <c r="M14" s="6">
        <v>4.7</v>
      </c>
      <c r="N14" s="9">
        <v>4.5</v>
      </c>
      <c r="O14" s="6">
        <v>1.5</v>
      </c>
      <c r="P14" s="6">
        <v>5.3</v>
      </c>
      <c r="Q14" s="6">
        <v>4.9000000000000004</v>
      </c>
      <c r="R14" s="6">
        <v>4.3</v>
      </c>
      <c r="S14" s="6">
        <v>6.6</v>
      </c>
      <c r="T14" s="97">
        <v>7.4</v>
      </c>
      <c r="U14" s="97">
        <v>8.8000000000000007</v>
      </c>
    </row>
    <row r="15" spans="1:21" x14ac:dyDescent="0.2">
      <c r="A15" s="14" t="s">
        <v>1</v>
      </c>
      <c r="B15" s="6"/>
      <c r="C15" s="6"/>
      <c r="D15" s="6"/>
      <c r="E15" s="6"/>
      <c r="F15" s="9"/>
      <c r="G15" s="6"/>
      <c r="H15" s="6">
        <v>0.1</v>
      </c>
      <c r="I15" s="6">
        <v>0.5</v>
      </c>
      <c r="J15" s="9">
        <v>0.8</v>
      </c>
      <c r="K15" s="6">
        <v>1.8</v>
      </c>
      <c r="L15" s="6">
        <v>3.4</v>
      </c>
      <c r="M15" s="6">
        <v>4.7</v>
      </c>
      <c r="N15" s="9">
        <v>4.5</v>
      </c>
      <c r="O15" s="6">
        <v>1.5</v>
      </c>
      <c r="P15" s="6">
        <v>5.3</v>
      </c>
      <c r="Q15" s="6">
        <v>4.9000000000000004</v>
      </c>
      <c r="R15" s="9">
        <v>4.3</v>
      </c>
      <c r="S15" s="6">
        <v>6.6</v>
      </c>
      <c r="T15" s="9"/>
      <c r="U15" s="10"/>
    </row>
    <row r="16" spans="1:21" x14ac:dyDescent="0.2">
      <c r="A16" s="14" t="s">
        <v>155</v>
      </c>
      <c r="B16" s="9"/>
      <c r="C16" s="9"/>
      <c r="D16" s="9"/>
      <c r="E16" s="9"/>
      <c r="F16" s="9">
        <v>4.3</v>
      </c>
      <c r="G16" s="6">
        <v>5.3</v>
      </c>
      <c r="H16" s="6">
        <v>5</v>
      </c>
      <c r="I16" s="10">
        <v>5.4</v>
      </c>
      <c r="J16" s="9">
        <v>5.8</v>
      </c>
      <c r="K16" s="6">
        <v>7.4</v>
      </c>
      <c r="L16" s="6">
        <v>9.1</v>
      </c>
      <c r="M16" s="10">
        <v>10.3</v>
      </c>
      <c r="N16" s="9">
        <v>8.6</v>
      </c>
      <c r="O16" s="6">
        <v>3.7</v>
      </c>
      <c r="P16" s="6">
        <v>10.6</v>
      </c>
      <c r="Q16" s="10">
        <v>9.8000000000000007</v>
      </c>
      <c r="R16" s="9">
        <v>9.1999999999999993</v>
      </c>
      <c r="S16">
        <v>12.2</v>
      </c>
      <c r="T16" s="96">
        <v>13.3</v>
      </c>
      <c r="U16" s="10"/>
    </row>
    <row r="17" spans="1:22" x14ac:dyDescent="0.2">
      <c r="A17" s="78" t="s">
        <v>18</v>
      </c>
      <c r="B17" s="79"/>
      <c r="C17" s="79"/>
      <c r="D17" s="79"/>
      <c r="E17" s="79"/>
      <c r="F17" s="79">
        <f t="shared" ref="F17:G17" si="1">F15/F16</f>
        <v>0</v>
      </c>
      <c r="G17" s="79">
        <f t="shared" si="1"/>
        <v>0</v>
      </c>
      <c r="H17" s="79">
        <f t="shared" ref="H17:S17" si="2">H15/H16</f>
        <v>0.02</v>
      </c>
      <c r="I17" s="79">
        <f t="shared" si="2"/>
        <v>9.2592592592592587E-2</v>
      </c>
      <c r="J17" s="79">
        <f t="shared" si="2"/>
        <v>0.13793103448275862</v>
      </c>
      <c r="K17" s="79">
        <f t="shared" si="2"/>
        <v>0.24324324324324323</v>
      </c>
      <c r="L17" s="79">
        <f t="shared" si="2"/>
        <v>0.37362637362637363</v>
      </c>
      <c r="M17" s="79">
        <f t="shared" si="2"/>
        <v>0.45631067961165045</v>
      </c>
      <c r="N17" s="79">
        <f t="shared" si="2"/>
        <v>0.52325581395348841</v>
      </c>
      <c r="O17" s="79">
        <f t="shared" si="2"/>
        <v>0.40540540540540537</v>
      </c>
      <c r="P17" s="79">
        <f t="shared" si="2"/>
        <v>0.5</v>
      </c>
      <c r="Q17" s="79">
        <f t="shared" si="2"/>
        <v>0.5</v>
      </c>
      <c r="R17" s="79">
        <f t="shared" si="2"/>
        <v>0.46739130434782611</v>
      </c>
      <c r="S17" s="79">
        <f t="shared" si="2"/>
        <v>0.54098360655737709</v>
      </c>
      <c r="T17" s="99">
        <f>T14/T16</f>
        <v>0.55639097744360899</v>
      </c>
      <c r="U17" s="80"/>
    </row>
    <row r="18" spans="1:22" x14ac:dyDescent="0.2">
      <c r="A18" s="78" t="s">
        <v>24</v>
      </c>
      <c r="B18" s="79"/>
      <c r="C18" s="79"/>
      <c r="D18" s="79"/>
      <c r="E18" s="81"/>
      <c r="F18" s="79">
        <f>F15/SUM(F15:I15)</f>
        <v>0</v>
      </c>
      <c r="G18" s="79">
        <f>G15/SUM(F15:I15)</f>
        <v>0</v>
      </c>
      <c r="H18" s="79">
        <f>H15/SUM(F15:I15)</f>
        <v>0.16666666666666669</v>
      </c>
      <c r="I18" s="81">
        <f>I15/SUM(F15:I15)</f>
        <v>0.83333333333333337</v>
      </c>
      <c r="J18" s="79">
        <f>J15/SUM(J15:M15)</f>
        <v>7.4766355140186924E-2</v>
      </c>
      <c r="K18" s="79">
        <f>K15/SUM(J15:M15)</f>
        <v>0.16822429906542058</v>
      </c>
      <c r="L18" s="79">
        <f>L15/SUM(J15:M15)</f>
        <v>0.31775700934579443</v>
      </c>
      <c r="M18" s="81">
        <f>M15/SUM(J15:M15)</f>
        <v>0.43925233644859818</v>
      </c>
      <c r="N18" s="79"/>
      <c r="O18" s="79"/>
      <c r="P18" s="79"/>
      <c r="Q18" s="81"/>
      <c r="R18" s="79">
        <f>R15/SUM(R15:S15,T14:U14)</f>
        <v>0.15867158671586717</v>
      </c>
      <c r="S18" s="79">
        <f>S15/SUM(R15:S15,T14:U14)</f>
        <v>0.24354243542435425</v>
      </c>
      <c r="T18" s="79">
        <f>T14/SUM(R15:S15,T14:U14)</f>
        <v>0.27306273062730629</v>
      </c>
      <c r="U18" s="81">
        <f>U14/SUM(R15:S15,T14:U14)</f>
        <v>0.32472324723247237</v>
      </c>
      <c r="V18" s="3"/>
    </row>
    <row r="19" spans="1:22" x14ac:dyDescent="0.2">
      <c r="A19" s="15" t="s">
        <v>17</v>
      </c>
      <c r="B19" s="11"/>
      <c r="C19" s="11"/>
      <c r="D19" s="11"/>
      <c r="E19" s="11"/>
      <c r="F19" s="75"/>
      <c r="G19" s="58"/>
      <c r="H19" s="58"/>
      <c r="I19" s="58"/>
      <c r="J19" s="75"/>
      <c r="K19" s="58"/>
      <c r="L19" s="58"/>
      <c r="M19" s="58"/>
      <c r="N19" s="75"/>
      <c r="O19" s="58"/>
      <c r="P19" s="58"/>
      <c r="Q19" s="58">
        <v>4.5</v>
      </c>
      <c r="R19" s="75">
        <v>3.9</v>
      </c>
      <c r="S19" s="58">
        <v>5.8</v>
      </c>
      <c r="T19" s="76"/>
      <c r="U19" s="12"/>
    </row>
    <row r="20" spans="1:22" x14ac:dyDescent="0.2">
      <c r="K20" s="107" t="s">
        <v>7</v>
      </c>
      <c r="L20" s="122"/>
      <c r="M20" s="7"/>
      <c r="N20" s="7"/>
      <c r="O20" s="7"/>
      <c r="P20" s="7"/>
      <c r="Q20" s="7">
        <f t="shared" ref="Q20:S20" si="3">IF(Q15&gt;Q19,1,0)</f>
        <v>1</v>
      </c>
      <c r="R20" s="7">
        <f>IF(R15&gt;R19,1,0)</f>
        <v>1</v>
      </c>
      <c r="S20" s="8">
        <f t="shared" si="3"/>
        <v>1</v>
      </c>
      <c r="T20" s="40" t="s">
        <v>8</v>
      </c>
      <c r="U20" s="37">
        <f>AVERAGE(K20:S20)</f>
        <v>1</v>
      </c>
    </row>
    <row r="21" spans="1:22" x14ac:dyDescent="0.2">
      <c r="K21" s="123" t="s">
        <v>9</v>
      </c>
      <c r="L21" s="124"/>
      <c r="N21" s="6"/>
      <c r="O21" s="6"/>
      <c r="P21" s="6"/>
      <c r="Q21" s="6">
        <f>AVERAGE(Q20:Q20)</f>
        <v>1</v>
      </c>
      <c r="R21" s="6">
        <f>AVERAGE(Q20:R20)</f>
        <v>1</v>
      </c>
      <c r="S21" s="10">
        <f>AVERAGE(Q20:S20)</f>
        <v>1</v>
      </c>
      <c r="T21" s="36" t="s">
        <v>10</v>
      </c>
      <c r="U21" s="37">
        <f>AVERAGE(N21:S21)</f>
        <v>1</v>
      </c>
    </row>
    <row r="22" spans="1:22" x14ac:dyDescent="0.2">
      <c r="K22" s="111" t="s">
        <v>11</v>
      </c>
      <c r="L22" s="112"/>
      <c r="M22" s="17"/>
      <c r="N22" s="17"/>
      <c r="O22" s="17"/>
      <c r="P22" s="17"/>
      <c r="Q22" s="17">
        <f t="shared" ref="Q22:S22" si="4">Q15/Q19-1</f>
        <v>8.8888888888889017E-2</v>
      </c>
      <c r="R22" s="17">
        <f t="shared" si="4"/>
        <v>0.10256410256410264</v>
      </c>
      <c r="S22" s="35">
        <f t="shared" si="4"/>
        <v>0.13793103448275867</v>
      </c>
      <c r="T22" s="36" t="s">
        <v>13</v>
      </c>
      <c r="U22" s="38">
        <f>MEDIAN(M22:S22)</f>
        <v>0.10256410256410264</v>
      </c>
    </row>
    <row r="23" spans="1:22" x14ac:dyDescent="0.2">
      <c r="K23" s="123" t="s">
        <v>12</v>
      </c>
      <c r="L23" s="124"/>
      <c r="N23" s="27"/>
      <c r="O23" s="27"/>
      <c r="P23" s="27"/>
      <c r="Q23" s="27">
        <f>AVERAGE(Q22:Q22)</f>
        <v>8.8888888888889017E-2</v>
      </c>
      <c r="R23" s="27">
        <f>AVERAGE(Q22:R22)</f>
        <v>9.572649572649583E-2</v>
      </c>
      <c r="S23" s="28">
        <f>AVERAGE(Q22:S22)</f>
        <v>0.10979467531191678</v>
      </c>
      <c r="T23" s="18" t="s">
        <v>14</v>
      </c>
      <c r="U23" s="28">
        <f>MEDIAN(N23:S23)</f>
        <v>9.572649572649583E-2</v>
      </c>
    </row>
    <row r="24" spans="1:22" x14ac:dyDescent="0.2">
      <c r="K24" s="107" t="s">
        <v>25</v>
      </c>
      <c r="L24" s="122"/>
      <c r="M24" s="90">
        <f>AVERAGE(M22:S22)</f>
        <v>0.10979467531191678</v>
      </c>
      <c r="N24" s="107" t="s">
        <v>29</v>
      </c>
      <c r="O24" s="108"/>
      <c r="P24" s="41">
        <f>MEDIAN(M22:S22)</f>
        <v>0.10256410256410264</v>
      </c>
      <c r="Q24" s="147" t="s">
        <v>23</v>
      </c>
      <c r="R24" s="148"/>
      <c r="S24" s="148"/>
      <c r="T24" s="149"/>
      <c r="U24" s="39">
        <f>AVERAGE(S17:T17)</f>
        <v>0.54868729200049304</v>
      </c>
    </row>
    <row r="25" spans="1:22" x14ac:dyDescent="0.2">
      <c r="K25" s="109" t="s">
        <v>26</v>
      </c>
      <c r="L25" s="128"/>
      <c r="M25" s="89">
        <v>0</v>
      </c>
      <c r="N25" s="109" t="s">
        <v>30</v>
      </c>
      <c r="O25" s="110"/>
      <c r="P25" s="28">
        <v>0</v>
      </c>
      <c r="Q25" s="150" t="s">
        <v>27</v>
      </c>
      <c r="R25" s="151"/>
      <c r="S25" s="151"/>
      <c r="T25" s="151"/>
      <c r="U25" s="41">
        <f>T18</f>
        <v>0.27306273062730629</v>
      </c>
    </row>
    <row r="26" spans="1:22" x14ac:dyDescent="0.2">
      <c r="Q26" s="105" t="s">
        <v>28</v>
      </c>
      <c r="R26" s="106"/>
      <c r="S26" s="106"/>
      <c r="T26" s="106"/>
      <c r="U26" s="42">
        <f>_xlfn.STDEV.S(T18,L18)</f>
        <v>3.1603627562084555E-2</v>
      </c>
    </row>
    <row r="29" spans="1:22" ht="18" customHeight="1" x14ac:dyDescent="0.2"/>
  </sheetData>
  <mergeCells count="24">
    <mergeCell ref="B11:E11"/>
    <mergeCell ref="K23:L23"/>
    <mergeCell ref="Q24:T24"/>
    <mergeCell ref="Q25:T25"/>
    <mergeCell ref="Q10:S10"/>
    <mergeCell ref="A1:C3"/>
    <mergeCell ref="F1:G1"/>
    <mergeCell ref="K1:L1"/>
    <mergeCell ref="K2:L2"/>
    <mergeCell ref="K3:L3"/>
    <mergeCell ref="K4:L4"/>
    <mergeCell ref="F10:G10"/>
    <mergeCell ref="Q26:T26"/>
    <mergeCell ref="N24:O24"/>
    <mergeCell ref="N25:O25"/>
    <mergeCell ref="K22:L22"/>
    <mergeCell ref="J11:M11"/>
    <mergeCell ref="N11:Q11"/>
    <mergeCell ref="R11:U11"/>
    <mergeCell ref="K20:L20"/>
    <mergeCell ref="K21:L21"/>
    <mergeCell ref="F11:I11"/>
    <mergeCell ref="K24:L24"/>
    <mergeCell ref="K25:L25"/>
  </mergeCells>
  <conditionalFormatting sqref="U22:U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U20:U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U20:U21 U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conditionalFormatting sqref="M20:S20 U2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S22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1:S21 U2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:S23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U22:U23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U20:U21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U20:U21 U24</xm:sqref>
        </x14:conditionalFormatting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M22:S22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N23:S23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38"/>
  <sheetViews>
    <sheetView topLeftCell="A5" zoomScale="85" zoomScaleNormal="85" workbookViewId="0">
      <selection activeCell="G38" sqref="G38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9.7109375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78</v>
      </c>
      <c r="B1" t="s">
        <v>79</v>
      </c>
    </row>
    <row r="4" spans="1:21" x14ac:dyDescent="0.2">
      <c r="A4" s="154" t="s">
        <v>74</v>
      </c>
      <c r="B4" s="154"/>
      <c r="T4" s="65" t="s">
        <v>163</v>
      </c>
    </row>
    <row r="5" spans="1:21" x14ac:dyDescent="0.2">
      <c r="A5" s="16" t="s">
        <v>54</v>
      </c>
      <c r="B5" s="16" t="s">
        <v>55</v>
      </c>
      <c r="C5" s="16" t="s">
        <v>66</v>
      </c>
      <c r="D5" s="16" t="s">
        <v>56</v>
      </c>
      <c r="E5" s="16" t="s">
        <v>57</v>
      </c>
      <c r="F5" s="16" t="s">
        <v>67</v>
      </c>
      <c r="G5" s="16" t="s">
        <v>58</v>
      </c>
      <c r="H5" s="16" t="s">
        <v>59</v>
      </c>
      <c r="I5" s="16" t="s">
        <v>68</v>
      </c>
      <c r="J5" s="16" t="s">
        <v>60</v>
      </c>
      <c r="K5" s="16" t="s">
        <v>61</v>
      </c>
      <c r="L5" s="16" t="s">
        <v>71</v>
      </c>
      <c r="M5" s="16" t="s">
        <v>62</v>
      </c>
      <c r="N5" s="16" t="s">
        <v>63</v>
      </c>
      <c r="O5" s="16" t="s">
        <v>72</v>
      </c>
      <c r="P5" s="16" t="s">
        <v>64</v>
      </c>
      <c r="Q5" s="16" t="s">
        <v>65</v>
      </c>
      <c r="R5" s="16" t="s">
        <v>0</v>
      </c>
      <c r="S5" s="16" t="s">
        <v>70</v>
      </c>
      <c r="T5" s="31" t="s">
        <v>0</v>
      </c>
      <c r="U5" s="31" t="s">
        <v>70</v>
      </c>
    </row>
    <row r="6" spans="1:21" x14ac:dyDescent="0.2">
      <c r="A6" t="s">
        <v>166</v>
      </c>
      <c r="B6" t="s">
        <v>167</v>
      </c>
      <c r="C6" t="s">
        <v>42</v>
      </c>
      <c r="D6">
        <v>20181101</v>
      </c>
      <c r="R6" s="6"/>
      <c r="S6" s="6">
        <v>0.1</v>
      </c>
      <c r="T6" s="83"/>
      <c r="U6" s="82"/>
    </row>
    <row r="7" spans="1:21" x14ac:dyDescent="0.2">
      <c r="A7" t="s">
        <v>166</v>
      </c>
      <c r="B7" t="s">
        <v>167</v>
      </c>
      <c r="C7" t="s">
        <v>43</v>
      </c>
      <c r="D7">
        <v>20190228</v>
      </c>
      <c r="R7" s="10"/>
      <c r="S7" s="6">
        <v>0.5</v>
      </c>
      <c r="T7" s="83"/>
      <c r="U7" s="82"/>
    </row>
    <row r="8" spans="1:21" x14ac:dyDescent="0.2">
      <c r="A8" t="s">
        <v>166</v>
      </c>
      <c r="B8" t="s">
        <v>167</v>
      </c>
      <c r="C8" t="s">
        <v>44</v>
      </c>
      <c r="D8">
        <v>20190502</v>
      </c>
      <c r="R8" s="9"/>
      <c r="S8" s="9">
        <v>0.8</v>
      </c>
      <c r="T8" s="83"/>
      <c r="U8" s="82"/>
    </row>
    <row r="9" spans="1:21" x14ac:dyDescent="0.2">
      <c r="A9" t="s">
        <v>166</v>
      </c>
      <c r="B9" t="s">
        <v>167</v>
      </c>
      <c r="C9" t="s">
        <v>45</v>
      </c>
      <c r="D9">
        <v>20190801</v>
      </c>
      <c r="R9" s="6"/>
      <c r="S9" s="6">
        <v>1.8</v>
      </c>
      <c r="T9" s="83"/>
      <c r="U9" s="82"/>
    </row>
    <row r="10" spans="1:21" x14ac:dyDescent="0.2">
      <c r="A10" t="s">
        <v>166</v>
      </c>
      <c r="B10" t="s">
        <v>167</v>
      </c>
      <c r="C10" t="s">
        <v>46</v>
      </c>
      <c r="D10">
        <v>20191031</v>
      </c>
      <c r="R10" s="6"/>
      <c r="S10" s="6">
        <v>3.4</v>
      </c>
      <c r="T10" s="9"/>
      <c r="U10" s="57"/>
    </row>
    <row r="11" spans="1:21" x14ac:dyDescent="0.2">
      <c r="A11" t="s">
        <v>166</v>
      </c>
      <c r="B11" t="s">
        <v>167</v>
      </c>
      <c r="C11" t="s">
        <v>47</v>
      </c>
      <c r="D11">
        <v>20200227</v>
      </c>
      <c r="R11" s="10"/>
      <c r="S11" s="6">
        <v>4.7</v>
      </c>
      <c r="T11" s="9"/>
      <c r="U11" s="57"/>
    </row>
    <row r="12" spans="1:21" x14ac:dyDescent="0.2">
      <c r="A12" t="s">
        <v>166</v>
      </c>
      <c r="B12" t="s">
        <v>167</v>
      </c>
      <c r="C12" t="s">
        <v>48</v>
      </c>
      <c r="D12">
        <v>20200430</v>
      </c>
      <c r="R12" s="9"/>
      <c r="S12" s="9">
        <v>4.5</v>
      </c>
      <c r="T12" s="9"/>
      <c r="U12" s="57"/>
    </row>
    <row r="13" spans="1:21" x14ac:dyDescent="0.2">
      <c r="A13" t="s">
        <v>166</v>
      </c>
      <c r="B13" t="s">
        <v>167</v>
      </c>
      <c r="C13" t="s">
        <v>49</v>
      </c>
      <c r="D13">
        <v>20200730</v>
      </c>
      <c r="E13">
        <v>4.6444840000000003</v>
      </c>
      <c r="F13">
        <v>4.5331460000000003</v>
      </c>
      <c r="G13">
        <v>2.2729300000000001</v>
      </c>
      <c r="H13">
        <v>4.6200460000000003</v>
      </c>
      <c r="I13">
        <v>3.6416409999999999</v>
      </c>
      <c r="J13">
        <f>AVERAGE(E13:I13)</f>
        <v>3.9424494000000001</v>
      </c>
      <c r="R13" s="6"/>
      <c r="S13" s="6">
        <v>1.5</v>
      </c>
      <c r="T13" s="9"/>
      <c r="U13" s="57"/>
    </row>
    <row r="14" spans="1:21" x14ac:dyDescent="0.2">
      <c r="A14" t="s">
        <v>166</v>
      </c>
      <c r="B14" t="s">
        <v>167</v>
      </c>
      <c r="C14" t="s">
        <v>50</v>
      </c>
      <c r="D14">
        <v>20201105</v>
      </c>
      <c r="E14">
        <v>4.0087000000000002</v>
      </c>
      <c r="F14">
        <v>4.3361460000000003</v>
      </c>
      <c r="G14">
        <v>4.4502550000000003</v>
      </c>
      <c r="H14">
        <v>4.0471750000000002</v>
      </c>
      <c r="I14">
        <v>3.5571570000000001</v>
      </c>
      <c r="J14">
        <f>AVERAGE(E14:I14)</f>
        <v>4.0798866</v>
      </c>
      <c r="K14">
        <f>(E14/E13)*$S13</f>
        <v>1.2946648109886911</v>
      </c>
      <c r="L14">
        <f t="shared" ref="L14:P14" si="0">(F14/F13)*$S13</f>
        <v>1.4348134827336247</v>
      </c>
      <c r="M14">
        <f t="shared" si="0"/>
        <v>2.9369063279555467</v>
      </c>
      <c r="N14">
        <f t="shared" si="0"/>
        <v>1.3140047739784408</v>
      </c>
      <c r="O14">
        <f t="shared" si="0"/>
        <v>1.4652008531318712</v>
      </c>
      <c r="P14">
        <f t="shared" si="0"/>
        <v>1.552291298906715</v>
      </c>
      <c r="Q14">
        <f t="shared" ref="Q14:Q18" si="1">AVERAGE(K14:P14)</f>
        <v>1.6663135912824816</v>
      </c>
      <c r="R14" s="6"/>
      <c r="S14" s="6">
        <v>5.3</v>
      </c>
      <c r="T14" s="9"/>
      <c r="U14" s="57"/>
    </row>
    <row r="15" spans="1:21" x14ac:dyDescent="0.2">
      <c r="A15" t="s">
        <v>166</v>
      </c>
      <c r="B15" t="s">
        <v>167</v>
      </c>
      <c r="C15" t="s">
        <v>51</v>
      </c>
      <c r="D15">
        <v>20210225</v>
      </c>
      <c r="E15">
        <v>8.8975050000000007</v>
      </c>
      <c r="F15">
        <v>9.3207920000000009</v>
      </c>
      <c r="G15">
        <v>9.8276260000000004</v>
      </c>
      <c r="H15">
        <v>7.9507320000000004</v>
      </c>
      <c r="I15">
        <v>6.2035140000000002</v>
      </c>
      <c r="J15">
        <f>AVERAGE(E15:I15)</f>
        <v>8.4400338000000001</v>
      </c>
      <c r="K15">
        <f t="shared" ref="K15:K16" si="2">(E15/E14)*$S14</f>
        <v>11.76360827699753</v>
      </c>
      <c r="L15">
        <f t="shared" ref="L15" si="3">(F15/F14)*$S14</f>
        <v>11.392650893212544</v>
      </c>
      <c r="M15">
        <f t="shared" ref="M15:M16" si="4">(G15/G14)*$S14</f>
        <v>11.704142301957978</v>
      </c>
      <c r="N15">
        <f t="shared" ref="N15:N16" si="5">(H15/H14)*$S14</f>
        <v>10.411924268162361</v>
      </c>
      <c r="O15">
        <f t="shared" ref="O15:O16" si="6">(I15/I14)*$S14</f>
        <v>9.2429499738133565</v>
      </c>
      <c r="P15">
        <f t="shared" ref="P15:P16" si="7">(J15/J14)*$S14</f>
        <v>10.964074133825189</v>
      </c>
      <c r="Q15">
        <f t="shared" si="1"/>
        <v>10.913224974661494</v>
      </c>
      <c r="R15">
        <v>4.5</v>
      </c>
      <c r="S15" s="6">
        <v>4.9000000000000004</v>
      </c>
      <c r="T15" s="9"/>
      <c r="U15" s="57"/>
    </row>
    <row r="16" spans="1:21" x14ac:dyDescent="0.2">
      <c r="A16" t="s">
        <v>166</v>
      </c>
      <c r="B16" t="s">
        <v>167</v>
      </c>
      <c r="C16" t="s">
        <v>52</v>
      </c>
      <c r="D16">
        <v>20210429</v>
      </c>
      <c r="E16">
        <v>5.9529379999999996</v>
      </c>
      <c r="F16">
        <v>5.8692209999999996</v>
      </c>
      <c r="G16">
        <v>4.7308760000000003</v>
      </c>
      <c r="H16">
        <v>5.9541310000000003</v>
      </c>
      <c r="I16">
        <v>4.7498750000000003</v>
      </c>
      <c r="J16">
        <f t="shared" ref="J16:J18" si="8">AVERAGE(E16:I16)</f>
        <v>5.4514082000000004</v>
      </c>
      <c r="K16">
        <f t="shared" si="2"/>
        <v>3.2783792984662554</v>
      </c>
      <c r="L16">
        <f>(F16/F15)*$S15</f>
        <v>3.0854870380113621</v>
      </c>
      <c r="M16">
        <f t="shared" si="4"/>
        <v>2.3587886230102777</v>
      </c>
      <c r="N16">
        <f t="shared" si="5"/>
        <v>3.6695038771272888</v>
      </c>
      <c r="O16">
        <f t="shared" si="6"/>
        <v>3.7518070403323023</v>
      </c>
      <c r="P16">
        <f t="shared" si="7"/>
        <v>3.1649044083212092</v>
      </c>
      <c r="Q16">
        <f>AVERAGE(K16:P16)</f>
        <v>3.2181450475447821</v>
      </c>
      <c r="R16">
        <v>3.9</v>
      </c>
      <c r="S16" s="9">
        <v>4.3</v>
      </c>
      <c r="T16" s="9"/>
      <c r="U16" s="57"/>
    </row>
    <row r="17" spans="1:22" x14ac:dyDescent="0.2">
      <c r="A17" t="s">
        <v>166</v>
      </c>
      <c r="B17" t="s">
        <v>167</v>
      </c>
      <c r="C17" t="s">
        <v>53</v>
      </c>
      <c r="D17">
        <v>20210729</v>
      </c>
      <c r="E17">
        <v>4.9702260000000003</v>
      </c>
      <c r="F17">
        <v>4.6489010000000004</v>
      </c>
      <c r="G17">
        <v>5.4673059999999998</v>
      </c>
      <c r="H17">
        <v>5.4605980000000001</v>
      </c>
      <c r="I17">
        <v>4.4674250000000004</v>
      </c>
      <c r="J17">
        <f t="shared" si="8"/>
        <v>5.0028912000000005</v>
      </c>
      <c r="K17">
        <f>(E17/E16)*$S16</f>
        <v>3.5901552813081543</v>
      </c>
      <c r="L17">
        <f>(F17/F16)*$S16</f>
        <v>3.4059501763521944</v>
      </c>
      <c r="M17">
        <f>(G17/G16)*$S16</f>
        <v>4.9693578525414734</v>
      </c>
      <c r="N17">
        <f>(H17/H16)*$S16</f>
        <v>3.9435765521450565</v>
      </c>
      <c r="O17">
        <f>(I17/I16)*$S16</f>
        <v>4.0443016921497934</v>
      </c>
      <c r="P17">
        <f>(J17/J16)*$S16</f>
        <v>3.9462156145269032</v>
      </c>
      <c r="Q17">
        <f>AVERAGE(K17:P17)</f>
        <v>3.983259528170596</v>
      </c>
      <c r="R17">
        <v>5.8</v>
      </c>
      <c r="S17" s="6">
        <v>6.6</v>
      </c>
      <c r="T17" s="9"/>
      <c r="U17" s="57"/>
    </row>
    <row r="18" spans="1:22" x14ac:dyDescent="0.2">
      <c r="A18" t="s">
        <v>166</v>
      </c>
      <c r="B18" t="s">
        <v>167</v>
      </c>
      <c r="C18" t="s">
        <v>69</v>
      </c>
      <c r="D18" s="11">
        <v>20211028</v>
      </c>
      <c r="E18">
        <v>7.1056629999999998</v>
      </c>
      <c r="F18">
        <v>6.610112</v>
      </c>
      <c r="G18">
        <v>6.4963319999999998</v>
      </c>
      <c r="H18">
        <v>8.1462350000000008</v>
      </c>
      <c r="I18">
        <v>6.6948970000000001</v>
      </c>
      <c r="J18">
        <f t="shared" si="8"/>
        <v>7.0106477999999992</v>
      </c>
      <c r="K18">
        <f>(E18/E17)*S17</f>
        <v>9.4356626439119662</v>
      </c>
      <c r="L18">
        <f>(F18/F17)*$S17</f>
        <v>9.3843123783449016</v>
      </c>
      <c r="M18">
        <f t="shared" ref="M18:P18" si="9">(G18/G17)*$S17</f>
        <v>7.8422153799330054</v>
      </c>
      <c r="N18">
        <f t="shared" si="9"/>
        <v>9.8460188792509538</v>
      </c>
      <c r="O18">
        <f t="shared" si="9"/>
        <v>9.8907805279327565</v>
      </c>
      <c r="P18">
        <f t="shared" si="9"/>
        <v>9.2487071235928511</v>
      </c>
      <c r="Q18">
        <f t="shared" si="1"/>
        <v>9.2746161554944049</v>
      </c>
      <c r="R18" s="96">
        <f>'1. Data &amp; Confidence Interval'!T14</f>
        <v>7.4</v>
      </c>
      <c r="T18" s="9"/>
      <c r="U18" s="57"/>
    </row>
    <row r="19" spans="1:22" x14ac:dyDescent="0.2">
      <c r="A19" s="152" t="s">
        <v>73</v>
      </c>
      <c r="B19" s="153"/>
      <c r="C19" s="153"/>
      <c r="D19" s="153"/>
      <c r="E19" s="91">
        <f>CORREL(E$6:E$17,$S$6:$S$17)</f>
        <v>0.10399647465641286</v>
      </c>
      <c r="F19" s="91">
        <f>CORREL(F$6:F$17,$S$6:$S$17)</f>
        <v>0.10224402512883338</v>
      </c>
      <c r="G19" s="92">
        <f>CORREL(G$13:G$17,$S$13:$S$17)</f>
        <v>0.51010048224104254</v>
      </c>
      <c r="H19" s="91">
        <f>CORREL(H$6:H$17,$S$6:$S$17)</f>
        <v>0.20031566183009758</v>
      </c>
      <c r="I19" s="91">
        <f>CORREL(I$6:I$17,$S$6:$S$17)</f>
        <v>0.29453313627549749</v>
      </c>
      <c r="J19" s="91">
        <f t="shared" ref="J19" si="10">CORREL(J$6:J$17,$S$6:$S$17)</f>
        <v>0.26838104917016736</v>
      </c>
      <c r="K19" s="91">
        <f>CORREL(K$14:K$17,$S$14:$S$17)</f>
        <v>-0.20808811367773974</v>
      </c>
      <c r="L19" s="91">
        <f t="shared" ref="L19:Q19" si="11">CORREL(L$14:L$17,$S$14:$S$17)</f>
        <v>-0.20958322511945854</v>
      </c>
      <c r="M19" s="91">
        <f t="shared" si="11"/>
        <v>-2.4764507343314527E-3</v>
      </c>
      <c r="N19" s="91">
        <f t="shared" si="11"/>
        <v>-0.19507411977678094</v>
      </c>
      <c r="O19" s="91">
        <f t="shared" si="11"/>
        <v>-0.17995919040827291</v>
      </c>
      <c r="P19" s="91">
        <f t="shared" si="11"/>
        <v>-0.1587407108785493</v>
      </c>
      <c r="Q19" s="91">
        <f t="shared" si="11"/>
        <v>-0.15968803266586543</v>
      </c>
      <c r="R19" s="92">
        <f>CORREL(R$6:R$17,$S$6:$S$17)</f>
        <v>0.99821092681373758</v>
      </c>
      <c r="S19" s="5"/>
    </row>
    <row r="21" spans="1:22" x14ac:dyDescent="0.2">
      <c r="A21" s="155" t="s">
        <v>75</v>
      </c>
      <c r="B21" s="156"/>
    </row>
    <row r="22" spans="1:22" x14ac:dyDescent="0.2">
      <c r="A22" s="16" t="s">
        <v>54</v>
      </c>
      <c r="B22" s="16" t="s">
        <v>55</v>
      </c>
      <c r="C22" s="16" t="s">
        <v>66</v>
      </c>
      <c r="D22" s="16" t="s">
        <v>56</v>
      </c>
      <c r="E22" s="16" t="s">
        <v>57</v>
      </c>
      <c r="F22" s="16" t="s">
        <v>67</v>
      </c>
      <c r="G22" s="16" t="s">
        <v>58</v>
      </c>
      <c r="H22" s="16" t="s">
        <v>59</v>
      </c>
      <c r="I22" s="16" t="s">
        <v>68</v>
      </c>
      <c r="J22" s="16" t="s">
        <v>60</v>
      </c>
      <c r="K22" s="16" t="s">
        <v>61</v>
      </c>
      <c r="L22" s="16" t="s">
        <v>71</v>
      </c>
      <c r="M22" s="16" t="s">
        <v>62</v>
      </c>
      <c r="N22" s="16" t="s">
        <v>63</v>
      </c>
      <c r="O22" s="16" t="s">
        <v>72</v>
      </c>
      <c r="P22" s="16" t="s">
        <v>64</v>
      </c>
      <c r="Q22" s="16" t="s">
        <v>65</v>
      </c>
      <c r="R22" s="16" t="s">
        <v>0</v>
      </c>
    </row>
    <row r="23" spans="1:22" x14ac:dyDescent="0.2">
      <c r="A23" s="9" t="str">
        <f t="shared" ref="A23:D23" si="12">A6</f>
        <v>LUNG</v>
      </c>
      <c r="B23" s="9" t="str">
        <f t="shared" si="12"/>
        <v>U.S. SALES</v>
      </c>
      <c r="C23" s="9" t="str">
        <f t="shared" si="12"/>
        <v>2018Q3</v>
      </c>
      <c r="D23" s="9">
        <f t="shared" si="12"/>
        <v>20181101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35"/>
    </row>
    <row r="24" spans="1:22" x14ac:dyDescent="0.2">
      <c r="A24" s="9" t="str">
        <f t="shared" ref="A24:D24" si="13">A7</f>
        <v>LUNG</v>
      </c>
      <c r="B24" s="9" t="str">
        <f t="shared" si="13"/>
        <v>U.S. SALES</v>
      </c>
      <c r="C24" s="9" t="str">
        <f t="shared" si="13"/>
        <v>2018Q4</v>
      </c>
      <c r="D24" s="9">
        <f t="shared" si="13"/>
        <v>20190228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35"/>
    </row>
    <row r="25" spans="1:22" x14ac:dyDescent="0.2">
      <c r="A25" s="9" t="str">
        <f t="shared" ref="A25:D34" si="14">A8</f>
        <v>LUNG</v>
      </c>
      <c r="B25" s="9" t="str">
        <f t="shared" si="14"/>
        <v>U.S. SALES</v>
      </c>
      <c r="C25" s="9" t="str">
        <f t="shared" si="14"/>
        <v>2019Q1</v>
      </c>
      <c r="D25" s="9">
        <f t="shared" si="14"/>
        <v>20190502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35"/>
    </row>
    <row r="26" spans="1:22" x14ac:dyDescent="0.2">
      <c r="A26" s="9" t="str">
        <f t="shared" si="14"/>
        <v>LUNG</v>
      </c>
      <c r="B26" s="9" t="str">
        <f t="shared" si="14"/>
        <v>U.S. SALES</v>
      </c>
      <c r="C26" s="9" t="str">
        <f t="shared" si="14"/>
        <v>2019Q2</v>
      </c>
      <c r="D26" s="9">
        <f t="shared" si="14"/>
        <v>20190801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35"/>
      <c r="V26" s="96"/>
    </row>
    <row r="27" spans="1:22" x14ac:dyDescent="0.2">
      <c r="A27" s="9" t="str">
        <f t="shared" si="14"/>
        <v>LUNG</v>
      </c>
      <c r="B27" s="9" t="str">
        <f t="shared" si="14"/>
        <v>U.S. SALES</v>
      </c>
      <c r="C27" s="9" t="str">
        <f t="shared" si="14"/>
        <v>2019Q3</v>
      </c>
      <c r="D27" s="9">
        <f t="shared" si="14"/>
        <v>20191031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35"/>
    </row>
    <row r="28" spans="1:22" x14ac:dyDescent="0.2">
      <c r="A28" s="9" t="str">
        <f t="shared" si="14"/>
        <v>LUNG</v>
      </c>
      <c r="B28" s="9" t="str">
        <f t="shared" si="14"/>
        <v>U.S. SALES</v>
      </c>
      <c r="C28" s="9" t="str">
        <f t="shared" si="14"/>
        <v>2019Q4</v>
      </c>
      <c r="D28" s="9">
        <f t="shared" si="14"/>
        <v>20200227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35"/>
    </row>
    <row r="29" spans="1:22" x14ac:dyDescent="0.2">
      <c r="A29" s="9" t="str">
        <f t="shared" si="14"/>
        <v>LUNG</v>
      </c>
      <c r="B29" s="9" t="str">
        <f t="shared" si="14"/>
        <v>U.S. SALES</v>
      </c>
      <c r="C29" s="9" t="str">
        <f t="shared" si="14"/>
        <v>2020Q1</v>
      </c>
      <c r="D29" s="9">
        <f t="shared" si="14"/>
        <v>20200430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35"/>
    </row>
    <row r="30" spans="1:22" x14ac:dyDescent="0.2">
      <c r="A30" s="9" t="str">
        <f t="shared" si="14"/>
        <v>LUNG</v>
      </c>
      <c r="B30" s="9" t="str">
        <f t="shared" si="14"/>
        <v>U.S. SALES</v>
      </c>
      <c r="C30" s="9" t="str">
        <f t="shared" si="14"/>
        <v>2020Q2</v>
      </c>
      <c r="D30" s="9">
        <f t="shared" si="14"/>
        <v>20200730</v>
      </c>
      <c r="E30" s="17">
        <f t="shared" ref="E30:E34" si="15">$S13/E13-1</f>
        <v>-0.67703624342338142</v>
      </c>
      <c r="F30" s="17">
        <f t="shared" ref="F30:J34" si="16">$S13/F13-1</f>
        <v>-0.66910397326713067</v>
      </c>
      <c r="G30" s="17">
        <f t="shared" si="16"/>
        <v>-0.34005886674908603</v>
      </c>
      <c r="H30" s="17">
        <f t="shared" si="16"/>
        <v>-0.67532790799052655</v>
      </c>
      <c r="I30" s="17">
        <f t="shared" si="16"/>
        <v>-0.58809778338941154</v>
      </c>
      <c r="J30" s="17">
        <f t="shared" si="16"/>
        <v>-0.61952587140370152</v>
      </c>
      <c r="K30" s="17"/>
      <c r="L30" s="17"/>
      <c r="M30" s="17"/>
      <c r="N30" s="17"/>
      <c r="O30" s="17"/>
      <c r="P30" s="17"/>
      <c r="Q30" s="17"/>
      <c r="R30" s="35"/>
    </row>
    <row r="31" spans="1:22" x14ac:dyDescent="0.2">
      <c r="A31" s="9" t="str">
        <f t="shared" si="14"/>
        <v>LUNG</v>
      </c>
      <c r="B31" s="9" t="str">
        <f t="shared" si="14"/>
        <v>U.S. SALES</v>
      </c>
      <c r="C31" s="9" t="str">
        <f t="shared" si="14"/>
        <v>2020Q3</v>
      </c>
      <c r="D31" s="9">
        <f t="shared" si="14"/>
        <v>20201105</v>
      </c>
      <c r="E31" s="17">
        <f t="shared" si="15"/>
        <v>0.32212437947464245</v>
      </c>
      <c r="F31" s="17">
        <f t="shared" si="16"/>
        <v>0.22228356702011398</v>
      </c>
      <c r="G31" s="17">
        <f t="shared" si="16"/>
        <v>0.19094299090726241</v>
      </c>
      <c r="H31" s="17">
        <f t="shared" si="16"/>
        <v>0.30955543063989066</v>
      </c>
      <c r="I31" s="17">
        <f t="shared" si="16"/>
        <v>0.4899539154442718</v>
      </c>
      <c r="J31" s="17">
        <f t="shared" si="16"/>
        <v>0.29905571395048081</v>
      </c>
      <c r="K31" s="17">
        <f t="shared" ref="K31:K34" si="17">$S14/K14-1</f>
        <v>3.0937236843199374</v>
      </c>
      <c r="L31" s="17">
        <f t="shared" ref="L31:M31" si="18">$S14/L14-1</f>
        <v>2.6938599084686414</v>
      </c>
      <c r="M31" s="17">
        <f t="shared" si="18"/>
        <v>0.80462003488189593</v>
      </c>
      <c r="N31" s="17">
        <f t="shared" ref="N31:N34" si="19">$S14/N14-1</f>
        <v>3.0334708860707362</v>
      </c>
      <c r="O31" s="17">
        <f t="shared" ref="O31:R34" si="20">$S14/O14-1</f>
        <v>2.6172515110615953</v>
      </c>
      <c r="P31" s="17">
        <f t="shared" si="20"/>
        <v>2.4143076133537638</v>
      </c>
      <c r="Q31" s="17">
        <f t="shared" si="20"/>
        <v>2.1806738105765819</v>
      </c>
      <c r="R31" s="35"/>
    </row>
    <row r="32" spans="1:22" x14ac:dyDescent="0.2">
      <c r="A32" s="9" t="str">
        <f t="shared" si="14"/>
        <v>LUNG</v>
      </c>
      <c r="B32" s="9" t="str">
        <f t="shared" si="14"/>
        <v>U.S. SALES</v>
      </c>
      <c r="C32" s="9" t="str">
        <f t="shared" si="14"/>
        <v>2020Q4</v>
      </c>
      <c r="D32" s="9">
        <f t="shared" si="14"/>
        <v>20210225</v>
      </c>
      <c r="E32" s="17">
        <f t="shared" si="15"/>
        <v>-0.44928381608102497</v>
      </c>
      <c r="F32" s="17">
        <f t="shared" si="16"/>
        <v>-0.47429360080130534</v>
      </c>
      <c r="G32" s="17">
        <f t="shared" si="16"/>
        <v>-0.50140552764217927</v>
      </c>
      <c r="H32" s="17">
        <f t="shared" si="16"/>
        <v>-0.38370454443691471</v>
      </c>
      <c r="I32" s="17">
        <f t="shared" si="16"/>
        <v>-0.21012510006425389</v>
      </c>
      <c r="J32" s="17">
        <f t="shared" si="16"/>
        <v>-0.419433604637934</v>
      </c>
      <c r="K32" s="17">
        <f t="shared" si="17"/>
        <v>-0.58346113840075553</v>
      </c>
      <c r="L32" s="17">
        <f t="shared" ref="L32:M32" si="21">$S15/L15-1</f>
        <v>-0.56989816980003338</v>
      </c>
      <c r="M32" s="17">
        <f t="shared" si="21"/>
        <v>-0.58134480309759362</v>
      </c>
      <c r="N32" s="17">
        <f t="shared" si="19"/>
        <v>-0.52938574332669253</v>
      </c>
      <c r="O32" s="17">
        <f t="shared" si="20"/>
        <v>-0.46986622086212471</v>
      </c>
      <c r="P32" s="17">
        <f t="shared" si="20"/>
        <v>-0.5530858383305669</v>
      </c>
      <c r="Q32" s="17">
        <f t="shared" si="20"/>
        <v>-0.55100348326210624</v>
      </c>
      <c r="R32" s="35">
        <f t="shared" si="20"/>
        <v>8.8888888888889017E-2</v>
      </c>
    </row>
    <row r="33" spans="1:19" x14ac:dyDescent="0.2">
      <c r="A33" s="9" t="str">
        <f t="shared" si="14"/>
        <v>LUNG</v>
      </c>
      <c r="B33" s="9" t="str">
        <f t="shared" si="14"/>
        <v>U.S. SALES</v>
      </c>
      <c r="C33" s="9" t="str">
        <f t="shared" si="14"/>
        <v>2021Q1</v>
      </c>
      <c r="D33" s="9">
        <f t="shared" si="14"/>
        <v>20210429</v>
      </c>
      <c r="E33" s="17">
        <f t="shared" si="15"/>
        <v>-0.27766759875543801</v>
      </c>
      <c r="F33" s="17">
        <f t="shared" si="16"/>
        <v>-0.26736444240215185</v>
      </c>
      <c r="G33" s="17">
        <f t="shared" si="16"/>
        <v>-9.107742413878539E-2</v>
      </c>
      <c r="H33" s="17">
        <f t="shared" si="16"/>
        <v>-0.27781232895278929</v>
      </c>
      <c r="I33" s="17">
        <f t="shared" si="16"/>
        <v>-9.4713018763651791E-2</v>
      </c>
      <c r="J33" s="17">
        <f t="shared" si="16"/>
        <v>-0.2112129852980007</v>
      </c>
      <c r="K33" s="17">
        <f t="shared" si="17"/>
        <v>0.31162370443581544</v>
      </c>
      <c r="L33" s="17">
        <f t="shared" ref="L33:M33" si="22">$S16/L16-1</f>
        <v>0.39362115187215552</v>
      </c>
      <c r="M33" s="17">
        <f t="shared" si="22"/>
        <v>0.82296962010625396</v>
      </c>
      <c r="N33" s="17">
        <f t="shared" si="19"/>
        <v>0.17182053595929214</v>
      </c>
      <c r="O33" s="17">
        <f t="shared" si="20"/>
        <v>0.14611438002396393</v>
      </c>
      <c r="P33" s="17">
        <f t="shared" si="20"/>
        <v>0.35865082960938155</v>
      </c>
      <c r="Q33" s="17">
        <f t="shared" si="20"/>
        <v>0.33617345908028495</v>
      </c>
      <c r="R33" s="35">
        <f t="shared" si="20"/>
        <v>0.10256410256410264</v>
      </c>
    </row>
    <row r="34" spans="1:19" x14ac:dyDescent="0.2">
      <c r="A34" s="9" t="str">
        <f t="shared" si="14"/>
        <v>LUNG</v>
      </c>
      <c r="B34" s="9" t="str">
        <f t="shared" si="14"/>
        <v>U.S. SALES</v>
      </c>
      <c r="C34" s="9" t="str">
        <f t="shared" si="14"/>
        <v>2021Q2</v>
      </c>
      <c r="D34" s="9">
        <f t="shared" si="14"/>
        <v>20210729</v>
      </c>
      <c r="E34" s="17">
        <f t="shared" si="15"/>
        <v>0.32790742312321397</v>
      </c>
      <c r="F34" s="17">
        <f t="shared" si="16"/>
        <v>0.41969037413358534</v>
      </c>
      <c r="G34" s="17">
        <f>$S17/G17-1</f>
        <v>0.20717589247794077</v>
      </c>
      <c r="H34" s="17">
        <f t="shared" si="16"/>
        <v>0.20865883187152745</v>
      </c>
      <c r="I34" s="17">
        <f t="shared" si="16"/>
        <v>0.47736111966065442</v>
      </c>
      <c r="J34" s="17">
        <f t="shared" si="16"/>
        <v>0.31923716430211369</v>
      </c>
      <c r="K34" s="17">
        <f t="shared" si="17"/>
        <v>0.83836059525401363</v>
      </c>
      <c r="L34" s="17">
        <f t="shared" ref="L34:M34" si="23">$S17/L17-1</f>
        <v>0.93778524589830137</v>
      </c>
      <c r="M34" s="17">
        <f t="shared" si="23"/>
        <v>0.32813940872150482</v>
      </c>
      <c r="N34" s="17">
        <f t="shared" si="19"/>
        <v>0.67360767890001183</v>
      </c>
      <c r="O34" s="17">
        <f t="shared" si="20"/>
        <v>0.631925732150733</v>
      </c>
      <c r="P34" s="17">
        <f t="shared" si="20"/>
        <v>0.67248844074913738</v>
      </c>
      <c r="Q34" s="17">
        <f t="shared" si="20"/>
        <v>0.65693446618859963</v>
      </c>
      <c r="R34" s="35">
        <f t="shared" si="20"/>
        <v>0.13793103448275867</v>
      </c>
    </row>
    <row r="35" spans="1:19" x14ac:dyDescent="0.2">
      <c r="A35" s="161" t="s">
        <v>76</v>
      </c>
      <c r="B35" s="161"/>
      <c r="C35" s="157"/>
      <c r="D35" s="158"/>
      <c r="E35" s="68" cm="1">
        <f t="array" ref="E35">SUM(ABS(E23:E34))/COUNT(E23:E34)</f>
        <v>0.41080389217154012</v>
      </c>
      <c r="F35" s="68" cm="1">
        <f t="array" ref="F35">SUM(ABS(F23:F34))/COUNT(F23:F34)</f>
        <v>0.41054719152485752</v>
      </c>
      <c r="G35" s="100" cm="1">
        <f t="array" ref="G35">SUM(ABS(G23:G34))/COUNT(G23:G34)</f>
        <v>0.26613214038305077</v>
      </c>
      <c r="H35" s="68" cm="1">
        <f t="array" ref="H35">SUM(ABS(H23:H34))/COUNT(H23:H34)</f>
        <v>0.37101180877832973</v>
      </c>
      <c r="I35" s="68" cm="1">
        <f t="array" ref="I35">SUM(ABS(I23:I34))/COUNT(I23:I34)</f>
        <v>0.37205018746444868</v>
      </c>
      <c r="J35" s="68" cm="1">
        <f t="array" ref="J35">SUM(ABS(J23:J34))/COUNT(J23:J34)</f>
        <v>0.37369306791844614</v>
      </c>
      <c r="K35" s="68" cm="1">
        <f t="array" ref="K35">SUM(ABS(K23:K34))/COUNT(K23:K34)</f>
        <v>1.2067922806026306</v>
      </c>
      <c r="L35" s="68" cm="1">
        <f t="array" ref="L35">SUM(ABS(L23:L34))/COUNT(L23:L34)</f>
        <v>1.148791119009783</v>
      </c>
      <c r="M35" s="68" cm="1">
        <f t="array" ref="M35">SUM(ABS(M23:M34))/COUNT(M23:M34)</f>
        <v>0.63426846670181214</v>
      </c>
      <c r="N35" s="68" cm="1">
        <f t="array" ref="N35">SUM(ABS(N23:N34))/COUNT(N23:N34)</f>
        <v>1.102071211064183</v>
      </c>
      <c r="O35" s="68" cm="1">
        <f t="array" ref="O35">SUM(ABS(O23:O34))/COUNT(O23:O34)</f>
        <v>0.96628946102460422</v>
      </c>
      <c r="P35" s="68" cm="1">
        <f t="array" ref="P35">SUM(ABS(P23:P34))/COUNT(P23:P34)</f>
        <v>0.99963318051071237</v>
      </c>
      <c r="Q35" s="68" cm="1">
        <f t="array" ref="Q35">SUM(ABS(Q23:Q34))/COUNT(Q23:Q34)</f>
        <v>0.93119630477689319</v>
      </c>
      <c r="R35" s="68" cm="1">
        <f t="array" ref="R35">SUM(ABS(R23:R34))/COUNT(R23:R34)</f>
        <v>0.10979467531191678</v>
      </c>
    </row>
    <row r="36" spans="1:19" x14ac:dyDescent="0.2">
      <c r="A36" s="162" t="s">
        <v>77</v>
      </c>
      <c r="B36" s="162"/>
      <c r="C36" s="159"/>
      <c r="D36" s="160"/>
      <c r="E36" s="69" cm="1">
        <f t="array" ref="E36">SQRT(SUM(POWER(E23:E34,2))/COUNT(E23:E34))</f>
        <v>0.4355733489760395</v>
      </c>
      <c r="F36" s="69" cm="1">
        <f t="array" ref="F36">SQRT(SUM(POWER(F23:F34,2))/COUNT(F23:F34))</f>
        <v>0.44038353424521154</v>
      </c>
      <c r="G36" s="101" cm="1">
        <f t="array" ref="G36">SQRT(SUM(POWER(G23:G34,2))/COUNT(G23:G34))</f>
        <v>0.30157045922742609</v>
      </c>
      <c r="H36" s="69" cm="1">
        <f t="array" ref="H36">SQRT(SUM(POWER(H23:H34,2))/COUNT(H23:H34))</f>
        <v>0.40492955525800106</v>
      </c>
      <c r="I36" s="69" cm="1">
        <f t="array" ref="I36">SQRT(SUM(POWER(I23:I34,2))/COUNT(I23:I34))</f>
        <v>0.41639178528177573</v>
      </c>
      <c r="J36" s="69" cm="1">
        <f t="array" ref="J36">SQRT(SUM(POWER(J23:J34,2))/COUNT(J23:J34))</f>
        <v>0.39892216441673595</v>
      </c>
      <c r="K36" s="69" cm="1">
        <f t="array" ref="K36">SQRT(SUM(POWER(K23:K34,2))/COUNT(K23:K34))</f>
        <v>1.6364222373662458</v>
      </c>
      <c r="L36" s="69" cm="1">
        <f t="array" ref="L36">SQRT(SUM(POWER(L23:L34,2))/COUNT(L23:L34))</f>
        <v>1.4676549244476547</v>
      </c>
      <c r="M36" s="69" cm="1">
        <f t="array" ref="M36">SQRT(SUM(POWER(M23:M34,2))/COUNT(M23:M34))</f>
        <v>0.66526867651270305</v>
      </c>
      <c r="N36" s="69" cm="1">
        <f t="array" ref="N36">SQRT(SUM(POWER(N23:N34,2))/COUNT(N23:N34))</f>
        <v>1.5784061964151317</v>
      </c>
      <c r="O36" s="69" cm="1">
        <f t="array" ref="O36">SQRT(SUM(POWER(O23:O34,2))/COUNT(O23:O34))</f>
        <v>1.3685265142357934</v>
      </c>
      <c r="P36" s="69" cm="1">
        <f t="array" ref="P36">SQRT(SUM(POWER(P23:P34,2))/COUNT(P23:P34))</f>
        <v>1.2957291689412256</v>
      </c>
      <c r="Q36" s="69" cm="1">
        <f t="array" ref="Q36">SQRT(SUM(POWER(Q23:Q34,2))/COUNT(Q23:Q34))</f>
        <v>1.1835876176014672</v>
      </c>
      <c r="R36" s="69" cm="1">
        <f t="array" ref="R36">SQRT(SUM(POWER(R23:R34,2))/COUNT(R23:R34))</f>
        <v>0.11172227467574075</v>
      </c>
    </row>
    <row r="37" spans="1:19" x14ac:dyDescent="0.2">
      <c r="G37" s="3">
        <f>AVERAGE(G34,G31)</f>
        <v>0.19905944169260159</v>
      </c>
      <c r="I37" s="3"/>
      <c r="J37" s="3"/>
      <c r="R37" s="3">
        <f>AVERAGE(R32:R34)</f>
        <v>0.10979467531191678</v>
      </c>
      <c r="S37">
        <f>$R$18*(1+R37)</f>
        <v>8.2124805973081845</v>
      </c>
    </row>
    <row r="38" spans="1:19" x14ac:dyDescent="0.2">
      <c r="B38" t="s">
        <v>156</v>
      </c>
      <c r="G38">
        <f>G18*(1+G37)</f>
        <v>7.7894882209697824</v>
      </c>
      <c r="J38" s="3"/>
      <c r="R38" s="3">
        <f>MEDIAN(R32:R34)</f>
        <v>0.10256410256410264</v>
      </c>
      <c r="S38">
        <f>$R$18*(1+R38)</f>
        <v>8.1589743589743602</v>
      </c>
    </row>
  </sheetData>
  <mergeCells count="7">
    <mergeCell ref="A19:D19"/>
    <mergeCell ref="A4:B4"/>
    <mergeCell ref="A21:B21"/>
    <mergeCell ref="C35:D35"/>
    <mergeCell ref="C36:D36"/>
    <mergeCell ref="A35:B35"/>
    <mergeCell ref="A36:B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37"/>
  <sheetViews>
    <sheetView zoomScale="85" zoomScaleNormal="85" workbookViewId="0">
      <selection activeCell="B9" sqref="B9"/>
    </sheetView>
  </sheetViews>
  <sheetFormatPr defaultRowHeight="12.75" x14ac:dyDescent="0.2"/>
  <cols>
    <col min="1" max="1" width="9.140625" style="62"/>
    <col min="3" max="3" width="13.140625" bestFit="1" customWidth="1"/>
    <col min="4" max="4" width="8.85546875" customWidth="1"/>
    <col min="5" max="5" width="8.42578125" customWidth="1"/>
    <col min="6" max="6" width="8.7109375" bestFit="1" customWidth="1"/>
    <col min="7" max="7" width="14.7109375" bestFit="1" customWidth="1"/>
    <col min="8" max="8" width="8.42578125" bestFit="1" customWidth="1"/>
    <col min="9" max="9" width="7.7109375" bestFit="1" customWidth="1"/>
    <col min="10" max="10" width="12.140625" bestFit="1" customWidth="1"/>
    <col min="11" max="11" width="12.7109375" bestFit="1" customWidth="1"/>
    <col min="12" max="12" width="7.5703125" bestFit="1" customWidth="1"/>
    <col min="13" max="13" width="8.42578125" bestFit="1" customWidth="1"/>
  </cols>
  <sheetData>
    <row r="1" spans="1:17" x14ac:dyDescent="0.2">
      <c r="A1" s="62" t="s">
        <v>102</v>
      </c>
      <c r="B1" t="s">
        <v>82</v>
      </c>
    </row>
    <row r="2" spans="1:17" x14ac:dyDescent="0.2">
      <c r="A2" s="62" t="s">
        <v>97</v>
      </c>
      <c r="B2" t="s">
        <v>80</v>
      </c>
    </row>
    <row r="3" spans="1:17" x14ac:dyDescent="0.2">
      <c r="A3" s="62" t="s">
        <v>98</v>
      </c>
      <c r="B3" t="s">
        <v>145</v>
      </c>
    </row>
    <row r="4" spans="1:17" x14ac:dyDescent="0.2">
      <c r="A4" s="62" t="s">
        <v>99</v>
      </c>
      <c r="B4" t="s">
        <v>164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2" t="s">
        <v>100</v>
      </c>
      <c r="B7" s="163" t="s">
        <v>81</v>
      </c>
      <c r="C7" s="163"/>
      <c r="D7" s="163" t="s">
        <v>110</v>
      </c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6"/>
      <c r="P7" s="6"/>
      <c r="Q7" s="6"/>
    </row>
    <row r="8" spans="1:17" x14ac:dyDescent="0.2">
      <c r="B8" t="s">
        <v>168</v>
      </c>
      <c r="O8" s="6"/>
      <c r="P8" s="6"/>
      <c r="Q8" s="6"/>
    </row>
    <row r="9" spans="1:17" x14ac:dyDescent="0.2">
      <c r="O9" s="6"/>
      <c r="P9" s="6"/>
      <c r="Q9" s="6"/>
    </row>
    <row r="10" spans="1:17" x14ac:dyDescent="0.2">
      <c r="O10" s="6"/>
      <c r="P10" s="6"/>
      <c r="Q10" s="6"/>
    </row>
    <row r="11" spans="1:17" x14ac:dyDescent="0.2">
      <c r="O11" s="6"/>
      <c r="P11" s="6"/>
      <c r="Q11" s="6"/>
    </row>
    <row r="12" spans="1:17" x14ac:dyDescent="0.2">
      <c r="A12" s="62" t="s">
        <v>101</v>
      </c>
      <c r="B12" t="s">
        <v>137</v>
      </c>
      <c r="O12" s="6"/>
      <c r="P12" s="6"/>
      <c r="Q12" s="6"/>
    </row>
    <row r="13" spans="1:17" x14ac:dyDescent="0.2">
      <c r="B13" t="s">
        <v>138</v>
      </c>
      <c r="H13" s="63" t="s">
        <v>104</v>
      </c>
      <c r="O13" s="6"/>
      <c r="P13" s="6"/>
      <c r="Q13" s="6"/>
    </row>
    <row r="14" spans="1:17" x14ac:dyDescent="0.2">
      <c r="H14" s="63"/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O16" s="6"/>
      <c r="P16" s="6"/>
      <c r="Q16" s="6"/>
    </row>
    <row r="17" spans="1:17" x14ac:dyDescent="0.2">
      <c r="A17" s="62" t="s">
        <v>103</v>
      </c>
      <c r="B17" s="164" t="s">
        <v>106</v>
      </c>
      <c r="C17" s="164"/>
      <c r="D17" s="164"/>
      <c r="E17" s="164"/>
      <c r="F17" s="61" t="e">
        <f>#REF!+#REF!*'2. Past Proj &amp; Candidate Model'!#REF!</f>
        <v>#REF!</v>
      </c>
      <c r="G17" s="64" t="s">
        <v>107</v>
      </c>
      <c r="H17" s="2" t="e">
        <f>'2. Past Proj &amp; Candidate Model'!#REF!/'3. Improved Alpha Model'!F17-1</f>
        <v>#REF!</v>
      </c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B21" s="165" t="s">
        <v>157</v>
      </c>
      <c r="C21" s="165"/>
      <c r="D21" s="165"/>
      <c r="E21" s="3" t="e">
        <f>#REF!</f>
        <v>#REF!</v>
      </c>
      <c r="F21" t="s">
        <v>108</v>
      </c>
      <c r="G21" s="165" t="s">
        <v>109</v>
      </c>
      <c r="H21" s="165"/>
      <c r="I21" s="3" t="e">
        <f>#REF!</f>
        <v>#REF!</v>
      </c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A24" s="62" t="s">
        <v>105</v>
      </c>
      <c r="B24" t="s">
        <v>111</v>
      </c>
      <c r="O24" s="6"/>
      <c r="P24" s="6"/>
      <c r="Q24" s="6"/>
    </row>
    <row r="25" spans="1:17" x14ac:dyDescent="0.2">
      <c r="B25" t="s">
        <v>112</v>
      </c>
      <c r="O25" s="6"/>
      <c r="P25" s="6"/>
      <c r="Q25" s="6"/>
    </row>
    <row r="26" spans="1:17" x14ac:dyDescent="0.2">
      <c r="B26" t="s">
        <v>113</v>
      </c>
      <c r="O26" s="6"/>
      <c r="P26" s="6"/>
      <c r="Q26" s="6"/>
    </row>
    <row r="27" spans="1:17" x14ac:dyDescent="0.2">
      <c r="B27" t="s">
        <v>114</v>
      </c>
      <c r="O27" s="6"/>
      <c r="P27" s="6"/>
      <c r="Q27" s="6"/>
    </row>
    <row r="28" spans="1:17" x14ac:dyDescent="0.2">
      <c r="B28" t="s">
        <v>115</v>
      </c>
      <c r="O28" s="6"/>
      <c r="P28" s="6"/>
      <c r="Q28" s="6"/>
    </row>
    <row r="29" spans="1:17" x14ac:dyDescent="0.2">
      <c r="B29" t="s">
        <v>116</v>
      </c>
      <c r="O29" s="6"/>
      <c r="P29" s="6"/>
      <c r="Q29" s="6"/>
    </row>
    <row r="30" spans="1:17" x14ac:dyDescent="0.2">
      <c r="B30" t="s">
        <v>117</v>
      </c>
      <c r="O30" s="6"/>
      <c r="P30" s="6"/>
      <c r="Q30" s="6"/>
    </row>
    <row r="31" spans="1:17" x14ac:dyDescent="0.2">
      <c r="B31" t="s">
        <v>118</v>
      </c>
      <c r="O31" s="6"/>
      <c r="P31" s="6"/>
      <c r="Q31" s="6"/>
    </row>
    <row r="32" spans="1:17" x14ac:dyDescent="0.2">
      <c r="B32" t="s">
        <v>119</v>
      </c>
      <c r="O32" s="6"/>
      <c r="P32" s="6"/>
      <c r="Q32" s="6"/>
    </row>
    <row r="33" spans="2:17" x14ac:dyDescent="0.2">
      <c r="B33" t="s">
        <v>120</v>
      </c>
      <c r="O33" s="6"/>
      <c r="P33" s="6"/>
      <c r="Q33" s="6"/>
    </row>
    <row r="34" spans="2:17" x14ac:dyDescent="0.2">
      <c r="O34" s="6"/>
      <c r="P34" s="6"/>
      <c r="Q34" s="6"/>
    </row>
    <row r="35" spans="2:17" x14ac:dyDescent="0.2">
      <c r="O35" s="6"/>
      <c r="P35" s="6"/>
      <c r="Q35" s="6"/>
    </row>
    <row r="36" spans="2:17" x14ac:dyDescent="0.2">
      <c r="O36" s="6"/>
      <c r="P36" s="6"/>
    </row>
    <row r="37" spans="2:17" x14ac:dyDescent="0.2">
      <c r="O37" s="6"/>
      <c r="P37" s="6"/>
    </row>
  </sheetData>
  <mergeCells count="5">
    <mergeCell ref="D7:N7"/>
    <mergeCell ref="B7:C7"/>
    <mergeCell ref="B17:E17"/>
    <mergeCell ref="B21:D21"/>
    <mergeCell ref="G21:H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6"/>
  <sheetViews>
    <sheetView zoomScale="85" zoomScaleNormal="85" workbookViewId="0">
      <selection activeCell="D45" sqref="D45"/>
    </sheetView>
  </sheetViews>
  <sheetFormatPr defaultRowHeight="12.75" x14ac:dyDescent="0.2"/>
  <cols>
    <col min="1" max="1" width="9.140625" style="62"/>
    <col min="3" max="3" width="18.5703125" customWidth="1"/>
    <col min="4" max="13" width="14.7109375" customWidth="1"/>
    <col min="18" max="18" width="10.7109375" customWidth="1"/>
    <col min="19" max="19" width="12" customWidth="1"/>
    <col min="23" max="23" width="16.28515625" customWidth="1"/>
  </cols>
  <sheetData>
    <row r="1" spans="1:25" x14ac:dyDescent="0.2">
      <c r="A1" s="62" t="s">
        <v>122</v>
      </c>
      <c r="B1" t="s">
        <v>82</v>
      </c>
    </row>
    <row r="2" spans="1:25" x14ac:dyDescent="0.2">
      <c r="A2" s="62" t="s">
        <v>97</v>
      </c>
      <c r="B2" s="70" t="s">
        <v>158</v>
      </c>
      <c r="C2" s="71" t="s">
        <v>83</v>
      </c>
      <c r="D2" t="s">
        <v>159</v>
      </c>
    </row>
    <row r="4" spans="1:25" x14ac:dyDescent="0.2">
      <c r="A4" s="62" t="s">
        <v>98</v>
      </c>
      <c r="B4" t="s">
        <v>121</v>
      </c>
    </row>
    <row r="5" spans="1:25" ht="15" x14ac:dyDescent="0.2">
      <c r="A5" s="62" t="s">
        <v>168</v>
      </c>
      <c r="C5" s="66" t="s">
        <v>83</v>
      </c>
      <c r="D5" s="66" t="s">
        <v>84</v>
      </c>
      <c r="E5" s="66" t="s">
        <v>85</v>
      </c>
      <c r="F5" s="66" t="s">
        <v>86</v>
      </c>
      <c r="G5" s="66" t="s">
        <v>87</v>
      </c>
      <c r="H5" s="66" t="s">
        <v>88</v>
      </c>
      <c r="I5" s="66" t="s">
        <v>89</v>
      </c>
      <c r="J5" s="66" t="s">
        <v>90</v>
      </c>
      <c r="K5" s="66" t="s">
        <v>91</v>
      </c>
      <c r="L5" s="66" t="s">
        <v>92</v>
      </c>
      <c r="M5" s="66" t="s">
        <v>93</v>
      </c>
    </row>
    <row r="6" spans="1:25" ht="15" x14ac:dyDescent="0.2">
      <c r="B6" s="66" t="s">
        <v>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5" ht="15" x14ac:dyDescent="0.2">
      <c r="B7" s="66" t="s">
        <v>95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5" ht="15" x14ac:dyDescent="0.2">
      <c r="B8" s="66" t="s">
        <v>96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10" spans="1:25" ht="15" x14ac:dyDescent="0.2">
      <c r="A10" s="62" t="s">
        <v>99</v>
      </c>
      <c r="B10" s="67" t="s">
        <v>160</v>
      </c>
    </row>
    <row r="12" spans="1:25" x14ac:dyDescent="0.2">
      <c r="A12" s="62" t="s">
        <v>100</v>
      </c>
      <c r="B12" t="s">
        <v>136</v>
      </c>
    </row>
    <row r="13" spans="1:25" ht="15" x14ac:dyDescent="0.2">
      <c r="B13" s="66" t="s">
        <v>123</v>
      </c>
      <c r="C13" s="66" t="s">
        <v>124</v>
      </c>
      <c r="D13" s="66" t="s">
        <v>83</v>
      </c>
      <c r="E13" s="66" t="s">
        <v>84</v>
      </c>
      <c r="F13" s="66" t="s">
        <v>85</v>
      </c>
      <c r="G13" s="66" t="s">
        <v>86</v>
      </c>
      <c r="H13" s="66" t="s">
        <v>87</v>
      </c>
      <c r="I13" s="66" t="s">
        <v>88</v>
      </c>
      <c r="J13" s="66" t="s">
        <v>89</v>
      </c>
      <c r="K13" s="66" t="s">
        <v>90</v>
      </c>
      <c r="L13" s="66" t="s">
        <v>91</v>
      </c>
      <c r="M13" s="66" t="s">
        <v>92</v>
      </c>
      <c r="N13" s="66" t="s">
        <v>93</v>
      </c>
      <c r="O13" s="66" t="s">
        <v>125</v>
      </c>
      <c r="P13" s="66" t="s">
        <v>126</v>
      </c>
      <c r="Q13" s="66" t="s">
        <v>127</v>
      </c>
      <c r="R13" s="66" t="s">
        <v>128</v>
      </c>
      <c r="S13" s="66" t="s">
        <v>129</v>
      </c>
      <c r="T13" s="66" t="s">
        <v>130</v>
      </c>
      <c r="U13" s="66" t="s">
        <v>131</v>
      </c>
      <c r="V13" s="66" t="s">
        <v>132</v>
      </c>
      <c r="W13" s="66" t="s">
        <v>133</v>
      </c>
      <c r="X13" s="66" t="s">
        <v>134</v>
      </c>
      <c r="Y13" s="66" t="s">
        <v>135</v>
      </c>
    </row>
    <row r="20" spans="2:25" x14ac:dyDescent="0.2"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94" t="s">
        <v>146</v>
      </c>
      <c r="C29" s="94"/>
      <c r="D29" s="94"/>
      <c r="E29" t="e">
        <f t="shared" ref="E29:E34" si="0">E$28/(1+P29)</f>
        <v>#DIV/0!</v>
      </c>
      <c r="L29" s="93" t="s">
        <v>139</v>
      </c>
      <c r="M29" s="93"/>
      <c r="N29" s="93"/>
      <c r="O29" s="93"/>
      <c r="P29" s="3" t="e">
        <f>AVERAGE(P20:P27)</f>
        <v>#DIV/0!</v>
      </c>
    </row>
    <row r="30" spans="2:25" x14ac:dyDescent="0.2">
      <c r="B30" s="84" t="s">
        <v>147</v>
      </c>
      <c r="C30" s="84"/>
      <c r="D30" s="84"/>
      <c r="E30" t="e">
        <f t="shared" si="0"/>
        <v>#NUM!</v>
      </c>
      <c r="L30" s="84" t="s">
        <v>141</v>
      </c>
      <c r="M30" s="84"/>
      <c r="N30" s="84"/>
      <c r="O30" s="84"/>
      <c r="P30" s="1" t="e">
        <f>MEDIAN(P20:P27)</f>
        <v>#NUM!</v>
      </c>
    </row>
    <row r="31" spans="2:25" x14ac:dyDescent="0.2">
      <c r="B31" s="85" t="s">
        <v>148</v>
      </c>
      <c r="C31" s="85"/>
      <c r="D31" s="85"/>
      <c r="E31" t="e">
        <f t="shared" si="0"/>
        <v>#DIV/0!</v>
      </c>
      <c r="L31" s="85" t="s">
        <v>140</v>
      </c>
      <c r="M31" s="85"/>
      <c r="N31" s="85"/>
      <c r="O31" s="85"/>
      <c r="P31" s="1" t="e">
        <f>AVERAGE(P27,P26,P23:P24)</f>
        <v>#DIV/0!</v>
      </c>
    </row>
    <row r="32" spans="2:25" x14ac:dyDescent="0.2">
      <c r="B32" s="86" t="s">
        <v>149</v>
      </c>
      <c r="C32" s="86"/>
      <c r="D32" s="86"/>
      <c r="E32" t="e">
        <f t="shared" si="0"/>
        <v>#NUM!</v>
      </c>
      <c r="L32" s="86" t="s">
        <v>142</v>
      </c>
      <c r="M32" s="86"/>
      <c r="N32" s="86"/>
      <c r="O32" s="86"/>
      <c r="P32" s="1" t="e">
        <f>MEDIAN(P27,P26,P23:P24)</f>
        <v>#NUM!</v>
      </c>
    </row>
    <row r="33" spans="1:16" x14ac:dyDescent="0.2">
      <c r="B33" s="87" t="s">
        <v>150</v>
      </c>
      <c r="C33" s="87"/>
      <c r="D33" s="87"/>
      <c r="E33" t="e">
        <f t="shared" si="0"/>
        <v>#DIV/0!</v>
      </c>
      <c r="L33" s="87" t="s">
        <v>143</v>
      </c>
      <c r="M33" s="87"/>
      <c r="N33" s="87"/>
      <c r="O33" s="87"/>
      <c r="P33" s="1" t="e">
        <f>AVERAGE(P25,P20:P22)</f>
        <v>#DIV/0!</v>
      </c>
    </row>
    <row r="34" spans="1:16" x14ac:dyDescent="0.2">
      <c r="B34" s="88" t="s">
        <v>151</v>
      </c>
      <c r="C34" s="88"/>
      <c r="D34" s="88"/>
      <c r="E34" t="e">
        <f t="shared" si="0"/>
        <v>#NUM!</v>
      </c>
      <c r="L34" s="88" t="s">
        <v>144</v>
      </c>
      <c r="M34" s="88"/>
      <c r="N34" s="88"/>
      <c r="O34" s="88"/>
      <c r="P34" s="1" t="e">
        <f>MEDIAN(P25,P20:P22)</f>
        <v>#NUM!</v>
      </c>
    </row>
    <row r="36" spans="1:16" x14ac:dyDescent="0.2">
      <c r="A36" s="62" t="s">
        <v>101</v>
      </c>
      <c r="B36" t="s">
        <v>152</v>
      </c>
    </row>
    <row r="37" spans="1:16" x14ac:dyDescent="0.2">
      <c r="B37" t="s">
        <v>153</v>
      </c>
    </row>
    <row r="43" spans="1:16" x14ac:dyDescent="0.2">
      <c r="A43" s="62" t="s">
        <v>103</v>
      </c>
      <c r="B43" s="72" t="s">
        <v>154</v>
      </c>
      <c r="C43" s="73">
        <f>'2. Past Proj &amp; Candidate Model'!S38</f>
        <v>8.1589743589743602</v>
      </c>
      <c r="D43" t="s">
        <v>165</v>
      </c>
    </row>
    <row r="45" spans="1:16" x14ac:dyDescent="0.2">
      <c r="B45" s="166" t="s">
        <v>162</v>
      </c>
      <c r="C45" s="166"/>
      <c r="D45" s="2">
        <f>C43/'2. Past Proj &amp; Candidate Model'!R18-1</f>
        <v>0.10256410256410264</v>
      </c>
    </row>
    <row r="46" spans="1:16" x14ac:dyDescent="0.2">
      <c r="B46" s="154" t="s">
        <v>161</v>
      </c>
      <c r="C46" s="154"/>
      <c r="D46" s="2">
        <f>'1. Data &amp; Confidence Interval'!P24</f>
        <v>0.10256410256410264</v>
      </c>
    </row>
  </sheetData>
  <mergeCells count="2">
    <mergeCell ref="B46:C46"/>
    <mergeCell ref="B45:C45"/>
  </mergeCells>
  <conditionalFormatting sqref="P18:W2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0:P34 S2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9:P3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2021-10-29T18:06:06Z</dcterms:modified>
</cp:coreProperties>
</file>