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MMSI\"/>
    </mc:Choice>
  </mc:AlternateContent>
  <xr:revisionPtr revIDLastSave="0" documentId="13_ncr:1_{D9F8C8FE-F5A5-4644-BDA3-820F72F2086F}" xr6:coauthVersionLast="46" xr6:coauthVersionMax="46" xr10:uidLastSave="{00000000-0000-0000-0000-000000000000}"/>
  <bookViews>
    <workbookView xWindow="-28920" yWindow="-120" windowWidth="29040" windowHeight="15840" activeTab="3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4" i="4" l="1"/>
  <c r="E35" i="4"/>
  <c r="E34" i="4"/>
  <c r="E33" i="4"/>
  <c r="E32" i="4"/>
  <c r="E31" i="4"/>
  <c r="E30" i="4"/>
  <c r="P35" i="4"/>
  <c r="P34" i="4"/>
  <c r="P33" i="4"/>
  <c r="P32" i="4"/>
  <c r="P31" i="4"/>
  <c r="P30" i="4"/>
  <c r="P15" i="4"/>
  <c r="P16" i="4"/>
  <c r="P17" i="4"/>
  <c r="P18" i="4"/>
  <c r="P19" i="4"/>
  <c r="P20" i="4"/>
  <c r="P14" i="4"/>
  <c r="C2" i="4"/>
  <c r="J16" i="2"/>
  <c r="J23" i="2"/>
  <c r="K23" i="2"/>
  <c r="D47" i="4"/>
  <c r="AG26" i="1" l="1"/>
  <c r="AG25" i="1"/>
  <c r="AG24" i="1"/>
  <c r="AG23" i="1"/>
  <c r="AG22" i="1"/>
  <c r="AG21" i="1"/>
  <c r="AG20" i="1"/>
  <c r="R25" i="1"/>
  <c r="O25" i="1"/>
  <c r="R24" i="1"/>
  <c r="O24" i="1"/>
  <c r="R23" i="1"/>
  <c r="AE23" i="1"/>
  <c r="AD23" i="1"/>
  <c r="AC23" i="1"/>
  <c r="AB23" i="1"/>
  <c r="AA23" i="1"/>
  <c r="AA22" i="1"/>
  <c r="AB22" i="1"/>
  <c r="AC22" i="1"/>
  <c r="O22" i="1"/>
  <c r="R21" i="1"/>
  <c r="O20" i="1"/>
  <c r="AF10" i="1"/>
  <c r="I10" i="1"/>
  <c r="D46" i="4" l="1"/>
  <c r="P23" i="2"/>
  <c r="J38" i="2"/>
  <c r="J39" i="2"/>
  <c r="G38" i="2"/>
  <c r="G39" i="2"/>
  <c r="F38" i="2"/>
  <c r="Q23" i="2"/>
  <c r="L23" i="2"/>
  <c r="M23" i="2"/>
  <c r="N23" i="2"/>
  <c r="O23" i="2"/>
  <c r="AF18" i="1"/>
  <c r="R28" i="2" l="1"/>
  <c r="K29" i="2"/>
  <c r="L29" i="2"/>
  <c r="M29" i="2"/>
  <c r="N29" i="2"/>
  <c r="O29" i="2"/>
  <c r="P29" i="2"/>
  <c r="Q29" i="2"/>
  <c r="R29" i="2"/>
  <c r="A28" i="2"/>
  <c r="B28" i="2"/>
  <c r="C28" i="2"/>
  <c r="D28" i="2"/>
  <c r="E28" i="2"/>
  <c r="F28" i="2"/>
  <c r="G28" i="2"/>
  <c r="H28" i="2"/>
  <c r="I28" i="2"/>
  <c r="J28" i="2"/>
  <c r="J41" i="2" l="1"/>
  <c r="J40" i="2"/>
  <c r="R24" i="2"/>
  <c r="H38" i="2"/>
  <c r="H39" i="2"/>
  <c r="G43" i="2"/>
  <c r="G42" i="2"/>
  <c r="G41" i="2"/>
  <c r="G40" i="2"/>
  <c r="G36" i="2"/>
  <c r="G35" i="2"/>
  <c r="E40" i="2"/>
  <c r="E39" i="2"/>
  <c r="E38" i="2"/>
  <c r="E37" i="2"/>
  <c r="E36" i="2"/>
  <c r="E35" i="2"/>
  <c r="E34" i="2"/>
  <c r="E33" i="2"/>
  <c r="E32" i="2"/>
  <c r="E31" i="2"/>
  <c r="E30" i="2"/>
  <c r="AG18" i="1"/>
  <c r="F17" i="1"/>
  <c r="N17" i="1"/>
  <c r="M17" i="1"/>
  <c r="L17" i="1"/>
  <c r="K17" i="1"/>
  <c r="I18" i="1"/>
  <c r="H18" i="1"/>
  <c r="F18" i="1"/>
  <c r="J24" i="2" l="1"/>
  <c r="AF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Q30" i="2"/>
  <c r="P30" i="2"/>
  <c r="O30" i="2"/>
  <c r="N30" i="2"/>
  <c r="M30" i="2"/>
  <c r="L30" i="2"/>
  <c r="K30" i="2"/>
  <c r="R30" i="2"/>
  <c r="A29" i="2"/>
  <c r="B29" i="2"/>
  <c r="C29" i="2"/>
  <c r="D29" i="2"/>
  <c r="E29" i="2"/>
  <c r="F29" i="2"/>
  <c r="G29" i="2"/>
  <c r="H29" i="2"/>
  <c r="I29" i="2"/>
  <c r="J29" i="2"/>
  <c r="Q24" i="2"/>
  <c r="P24" i="2"/>
  <c r="O24" i="2"/>
  <c r="N24" i="2"/>
  <c r="M24" i="2"/>
  <c r="L24" i="2"/>
  <c r="K24" i="2"/>
  <c r="I24" i="2"/>
  <c r="H24" i="2"/>
  <c r="G24" i="2"/>
  <c r="F24" i="2"/>
  <c r="E24" i="2"/>
  <c r="AF17" i="1"/>
  <c r="AE17" i="1"/>
  <c r="AD17" i="1"/>
  <c r="AC17" i="1"/>
  <c r="AB17" i="1"/>
  <c r="AE20" i="1"/>
  <c r="AD20" i="1"/>
  <c r="AC20" i="1"/>
  <c r="AB20" i="1"/>
  <c r="AA20" i="1"/>
  <c r="V20" i="1"/>
  <c r="U20" i="1"/>
  <c r="T20" i="1"/>
  <c r="S20" i="1"/>
  <c r="R20" i="1"/>
  <c r="Q20" i="1"/>
  <c r="P20" i="1"/>
  <c r="AE18" i="1"/>
  <c r="AD18" i="1"/>
  <c r="O18" i="1"/>
  <c r="N18" i="1"/>
  <c r="M18" i="1"/>
  <c r="L18" i="1"/>
  <c r="K18" i="1"/>
  <c r="J18" i="1"/>
  <c r="G18" i="1"/>
  <c r="H17" i="1"/>
  <c r="G17" i="1"/>
  <c r="J30" i="2"/>
  <c r="I30" i="2"/>
  <c r="H30" i="2"/>
  <c r="G30" i="2"/>
  <c r="F30" i="2"/>
  <c r="A31" i="2"/>
  <c r="B31" i="2"/>
  <c r="C31" i="2"/>
  <c r="D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A43" i="2"/>
  <c r="B43" i="2"/>
  <c r="C43" i="2"/>
  <c r="D43" i="2"/>
  <c r="B30" i="2"/>
  <c r="C30" i="2"/>
  <c r="D30" i="2"/>
  <c r="A30" i="2"/>
  <c r="I35" i="3"/>
  <c r="E35" i="3"/>
  <c r="AA17" i="1"/>
  <c r="Z17" i="1"/>
  <c r="Y17" i="1"/>
  <c r="X17" i="1"/>
  <c r="C7" i="1" l="1"/>
  <c r="AE22" i="1"/>
  <c r="AD22" i="1"/>
  <c r="V22" i="1"/>
  <c r="U22" i="1"/>
  <c r="T22" i="1"/>
  <c r="S22" i="1"/>
  <c r="R22" i="1"/>
  <c r="Q22" i="1"/>
  <c r="P22" i="1"/>
  <c r="Y18" i="1"/>
  <c r="X18" i="1"/>
  <c r="W18" i="1"/>
  <c r="V18" i="1"/>
  <c r="U18" i="1"/>
  <c r="T18" i="1"/>
  <c r="S18" i="1"/>
  <c r="R18" i="1"/>
  <c r="Q18" i="1"/>
  <c r="P18" i="1"/>
  <c r="I17" i="1"/>
  <c r="J17" i="1"/>
  <c r="O17" i="1"/>
  <c r="P17" i="1"/>
  <c r="Q17" i="1"/>
  <c r="R17" i="1"/>
  <c r="S17" i="1"/>
  <c r="T17" i="1"/>
  <c r="U17" i="1"/>
  <c r="V17" i="1"/>
  <c r="W17" i="1"/>
  <c r="F31" i="3"/>
  <c r="B7" i="1" l="1"/>
  <c r="R43" i="2"/>
  <c r="R42" i="2"/>
  <c r="R41" i="2"/>
  <c r="R40" i="2"/>
  <c r="R38" i="2"/>
  <c r="R37" i="2"/>
  <c r="R36" i="2"/>
  <c r="R35" i="2"/>
  <c r="R34" i="2"/>
  <c r="R33" i="2"/>
  <c r="R32" i="2"/>
  <c r="R31" i="2"/>
  <c r="I2" i="1" l="1"/>
  <c r="J2" i="1"/>
  <c r="J3" i="1"/>
  <c r="I3" i="1"/>
  <c r="H31" i="3"/>
  <c r="K2" i="1" l="1"/>
  <c r="L2" i="1" s="1"/>
  <c r="K3" i="1"/>
  <c r="L3" i="1" s="1"/>
  <c r="R39" i="2"/>
  <c r="R44" i="2" s="1" a="1"/>
  <c r="R44" i="2" s="1"/>
  <c r="K31" i="2"/>
  <c r="L31" i="2"/>
  <c r="M31" i="2"/>
  <c r="N31" i="2"/>
  <c r="O31" i="2"/>
  <c r="P31" i="2"/>
  <c r="Q31" i="2"/>
  <c r="K32" i="2"/>
  <c r="L32" i="2"/>
  <c r="M32" i="2"/>
  <c r="N32" i="2"/>
  <c r="O32" i="2"/>
  <c r="P32" i="2"/>
  <c r="Q32" i="2"/>
  <c r="K33" i="2"/>
  <c r="L33" i="2"/>
  <c r="M33" i="2"/>
  <c r="N33" i="2"/>
  <c r="O33" i="2"/>
  <c r="P33" i="2"/>
  <c r="Q33" i="2"/>
  <c r="K34" i="2"/>
  <c r="L34" i="2"/>
  <c r="M34" i="2"/>
  <c r="N34" i="2"/>
  <c r="O34" i="2"/>
  <c r="P34" i="2"/>
  <c r="Q34" i="2"/>
  <c r="K35" i="2"/>
  <c r="L35" i="2"/>
  <c r="M35" i="2"/>
  <c r="N35" i="2"/>
  <c r="O35" i="2"/>
  <c r="P35" i="2"/>
  <c r="Q35" i="2"/>
  <c r="K36" i="2"/>
  <c r="L36" i="2"/>
  <c r="M36" i="2"/>
  <c r="N36" i="2"/>
  <c r="O36" i="2"/>
  <c r="P36" i="2"/>
  <c r="Q36" i="2"/>
  <c r="K37" i="2"/>
  <c r="L37" i="2"/>
  <c r="M37" i="2"/>
  <c r="N37" i="2"/>
  <c r="O37" i="2"/>
  <c r="P37" i="2"/>
  <c r="Q37" i="2"/>
  <c r="K38" i="2"/>
  <c r="L38" i="2"/>
  <c r="M38" i="2"/>
  <c r="N38" i="2"/>
  <c r="O38" i="2"/>
  <c r="P38" i="2"/>
  <c r="Q38" i="2"/>
  <c r="K39" i="2"/>
  <c r="L39" i="2"/>
  <c r="M39" i="2"/>
  <c r="N39" i="2"/>
  <c r="O39" i="2"/>
  <c r="P39" i="2"/>
  <c r="Q39" i="2"/>
  <c r="K40" i="2"/>
  <c r="L40" i="2"/>
  <c r="M40" i="2"/>
  <c r="N40" i="2"/>
  <c r="O40" i="2"/>
  <c r="P40" i="2"/>
  <c r="Q40" i="2"/>
  <c r="K41" i="2"/>
  <c r="L41" i="2"/>
  <c r="M41" i="2"/>
  <c r="N41" i="2"/>
  <c r="O41" i="2"/>
  <c r="P41" i="2"/>
  <c r="Q41" i="2"/>
  <c r="K42" i="2"/>
  <c r="L42" i="2"/>
  <c r="M42" i="2"/>
  <c r="N42" i="2"/>
  <c r="O42" i="2"/>
  <c r="P42" i="2"/>
  <c r="Q42" i="2"/>
  <c r="K43" i="2"/>
  <c r="L43" i="2"/>
  <c r="M43" i="2"/>
  <c r="N43" i="2"/>
  <c r="O43" i="2"/>
  <c r="P43" i="2"/>
  <c r="Q43" i="2"/>
  <c r="E43" i="2"/>
  <c r="F31" i="2"/>
  <c r="G31" i="2"/>
  <c r="H31" i="2"/>
  <c r="I31" i="2"/>
  <c r="J31" i="2"/>
  <c r="F32" i="2"/>
  <c r="G32" i="2"/>
  <c r="H32" i="2"/>
  <c r="I32" i="2"/>
  <c r="J32" i="2"/>
  <c r="F33" i="2"/>
  <c r="G33" i="2"/>
  <c r="H33" i="2"/>
  <c r="I33" i="2"/>
  <c r="J33" i="2"/>
  <c r="F34" i="2"/>
  <c r="G34" i="2"/>
  <c r="H34" i="2"/>
  <c r="I34" i="2"/>
  <c r="J34" i="2"/>
  <c r="F35" i="2"/>
  <c r="H35" i="2"/>
  <c r="I35" i="2"/>
  <c r="J35" i="2"/>
  <c r="F36" i="2"/>
  <c r="H36" i="2"/>
  <c r="I36" i="2"/>
  <c r="J36" i="2"/>
  <c r="F37" i="2"/>
  <c r="G37" i="2"/>
  <c r="H37" i="2"/>
  <c r="I37" i="2"/>
  <c r="J37" i="2"/>
  <c r="I38" i="2"/>
  <c r="F39" i="2"/>
  <c r="I39" i="2"/>
  <c r="F40" i="2"/>
  <c r="H40" i="2"/>
  <c r="I40" i="2"/>
  <c r="E41" i="2"/>
  <c r="F41" i="2"/>
  <c r="H41" i="2"/>
  <c r="I41" i="2"/>
  <c r="E42" i="2"/>
  <c r="F42" i="2"/>
  <c r="H42" i="2"/>
  <c r="I42" i="2"/>
  <c r="J42" i="2"/>
  <c r="F43" i="2"/>
  <c r="H43" i="2"/>
  <c r="I43" i="2"/>
  <c r="J43" i="2"/>
  <c r="E45" i="2" l="1" a="1"/>
  <c r="E45" i="2" s="1"/>
  <c r="E44" i="2" a="1"/>
  <c r="E44" i="2" s="1"/>
  <c r="H45" i="2" a="1"/>
  <c r="H45" i="2" s="1"/>
  <c r="H44" i="2" a="1"/>
  <c r="H44" i="2" s="1"/>
  <c r="Q45" i="2" a="1"/>
  <c r="Q45" i="2" s="1"/>
  <c r="Q44" i="2" a="1"/>
  <c r="Q44" i="2" s="1"/>
  <c r="P44" i="2" a="1"/>
  <c r="P44" i="2" s="1"/>
  <c r="P45" i="2" a="1"/>
  <c r="P45" i="2" s="1"/>
  <c r="F44" i="2" a="1"/>
  <c r="F44" i="2" s="1"/>
  <c r="F45" i="2" a="1"/>
  <c r="F45" i="2" s="1"/>
  <c r="N45" i="2" a="1"/>
  <c r="N45" i="2" s="1"/>
  <c r="N44" i="2" a="1"/>
  <c r="N44" i="2" s="1"/>
  <c r="M45" i="2" a="1"/>
  <c r="M45" i="2" s="1"/>
  <c r="M44" i="2" a="1"/>
  <c r="M44" i="2" s="1"/>
  <c r="O45" i="2" a="1"/>
  <c r="O45" i="2" s="1"/>
  <c r="O44" i="2" a="1"/>
  <c r="O44" i="2" s="1"/>
  <c r="L44" i="2" a="1"/>
  <c r="L44" i="2" s="1"/>
  <c r="L45" i="2" a="1"/>
  <c r="L45" i="2" s="1"/>
  <c r="J44" i="2" a="1"/>
  <c r="J44" i="2" s="1"/>
  <c r="J45" i="2" a="1"/>
  <c r="J45" i="2" s="1"/>
  <c r="K45" i="2" a="1"/>
  <c r="K45" i="2" s="1"/>
  <c r="K44" i="2" a="1"/>
  <c r="K44" i="2" s="1"/>
  <c r="G45" i="2" a="1"/>
  <c r="G45" i="2" s="1"/>
  <c r="G44" i="2" a="1"/>
  <c r="G44" i="2" s="1"/>
  <c r="I44" i="2" a="1"/>
  <c r="I44" i="2" s="1"/>
  <c r="I45" i="2" a="1"/>
  <c r="I45" i="2" s="1"/>
  <c r="R45" i="2" a="1"/>
  <c r="R45" i="2" s="1"/>
  <c r="AD21" i="1"/>
  <c r="S21" i="1"/>
  <c r="AE21" i="1"/>
  <c r="AA21" i="1"/>
  <c r="T21" i="1"/>
  <c r="U21" i="1"/>
  <c r="V21" i="1"/>
  <c r="U23" i="1"/>
  <c r="T23" i="1"/>
  <c r="S23" i="1"/>
  <c r="V23" i="1"/>
  <c r="AC21" i="1"/>
  <c r="AB21" i="1"/>
  <c r="K4" i="1" l="1"/>
  <c r="L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<sst xmlns="http://schemas.openxmlformats.org/spreadsheetml/2006/main" count="322" uniqueCount="175">
  <si>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</si>
  <si>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</si>
  <si>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</si>
  <si>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</si>
  <si>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</si>
  <si>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</si>
  <si>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</si>
  <si>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</si>
  <si>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</si>
  <si>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</si>
  <si>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</si>
  <si>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</si>
  <si>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</si>
  <si>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</si>
  <si>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</si>
  <si>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</si>
  <si>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</si>
  <si>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</si>
  <si>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</si>
  <si>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</si>
  <si>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</si>
  <si>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</si>
  <si>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</si>
  <si>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</si>
  <si>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</si>
  <si>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</si>
  <si>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</si>
  <si>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</si>
  <si>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</si>
  <si>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</si>
  <si>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</si>
  <si>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</si>
  <si>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</si>
  <si>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</si>
  <si>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</si>
  <si>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</si>
  <si>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</si>
  <si>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</si>
  <si>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</si>
  <si>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</si>
  <si>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</si>
  <si>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</si>
  <si>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</si>
  <si>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</si>
  <si>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</si>
  <si>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</si>
  <si>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</si>
  <si>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</si>
  <si>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</si>
  <si>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</si>
  <si>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</si>
  <si>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</si>
  <si>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</si>
  <si>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</si>
  <si>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</si>
  <si>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</si>
  <si>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</si>
  <si>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</si>
  <si>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</si>
  <si>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</si>
  <si>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</si>
  <si>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</si>
  <si>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</si>
  <si>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</si>
  <si>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</si>
  <si>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</si>
  <si>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</si>
  <si>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</si>
  <si>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</si>
  <si>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</si>
  <si>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</si>
  <si>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</si>
  <si>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</si>
  <si>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</si>
  <si>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</si>
  <si>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CORRELATION W/O 2021Q3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</si>
  <si>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</si>
  <si>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</si>
  <si>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</si>
  <si>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</si>
  <si>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</si>
  <si>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</si>
  <si>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</si>
  <si>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</si>
  <si>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</si>
  <si>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</si>
  <si>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</si>
  <si>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</si>
  <si>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</si>
  <si>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</si>
  <si>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</si>
  <si>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</si>
  <si>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</si>
  <si>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</si>
  <si>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</si>
  <si>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</si>
  <si>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</si>
  <si>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</si>
  <si>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</si>
  <si>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</si>
  <si>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</si>
  <si>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</si>
  <si>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</si>
  <si>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</si>
  <si>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</si>
  <si>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</si>
  <si>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</si>
  <si>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</si>
  <si>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</si>
  <si>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</si>
  <si>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</si>
  <si>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</si>
  <si>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</si>
  <si>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</si>
  <si>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</si>
  <si>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</si>
  <si>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</si>
  <si>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</si>
  <si>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</si>
  <si>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</si>
  <si>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</si>
  <si>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</si>
  <si>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</si>
  <si>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</si>
  <si>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</si>
  <si>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</si>
  <si>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</si>
  <si>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</si>
  <si>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</si>
  <si>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</si>
  <si>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</si>
  <si>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</si>
  <si>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</si>
  <si>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</si>
  <si>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</si>
  <si>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</si>
  <si>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</si>
  <si>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</si>
  <si>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</si>
  <si>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</si>
  <si>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</si>
  <si>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</si>
  <si>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</si>
  <si>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</si>
  <si>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</si>
  <si>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</si>
  <si>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</si>
  <si>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</si>
  <si>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</si>
  <si>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</si>
  <si>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</si>
  <si>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</si>
  <si>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</si>
  <si>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</si>
  <si>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</si>
  <si>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</si>
  <si>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</si>
  <si>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</si>
  <si>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</si>
  <si>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</si>
  <si>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</si>
  <si>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</si>
  <si>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</si>
  <si>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</si>
  <si>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</si>
  <si>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</si>
  <si>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t>2017Q4</t>
  </si>
  <si>
    <t>2017Q3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</si>
  <si>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C:\dev\da.research\personal\rxia\Alphas</t>
    </r>
    <r>
      <rPr>
        <sz val="10"/>
        <color theme="1"/>
        <rFont val="Arial"/>
        <family val="2"/>
      </rPr>
      <t>\{TICKER}</t>
    </r>
  </si>
  <si>
    <t>MMSI_CARDIO</t>
  </si>
  <si>
    <t>Cardiovascular</t>
  </si>
  <si>
    <t>2017Q2</t>
  </si>
  <si>
    <t>NSS_LR</t>
  </si>
  <si>
    <t>which is inline with the confidence interval in step1. If this value is unsatisfactory, use confidence interval.</t>
  </si>
  <si>
    <t>AVG RM 2019Q34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</si>
</sst>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0"/>
    <numFmt numFmtId="166" formatCode="0.0"/>
    <numFmt numFmtId="167" formatCode="0.000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1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6" fontId="6" fillId="0" borderId="11" xfId="0" applyNumberFormat="1" applyFont="1" applyFill="1" applyBorder="1" applyAlignment="1">
      <alignment horizontal="center" vertical="center"/>
    </xf>
    <xf numFmtId="166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6" fontId="0" fillId="0" borderId="0" xfId="0" applyNumberFormat="1" applyBorder="1"/>
    <xf numFmtId="166" fontId="0" fillId="0" borderId="11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0" fontId="4" fillId="0" borderId="5" xfId="1" applyNumberFormat="1" applyFont="1" applyBorder="1"/>
    <xf numFmtId="10" fontId="4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6" fontId="0" fillId="2" borderId="0" xfId="0" applyNumberFormat="1" applyFill="1"/>
    <xf numFmtId="164" fontId="0" fillId="0" borderId="1" xfId="0" applyNumberFormat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166" fontId="0" fillId="0" borderId="10" xfId="0" applyNumberFormat="1" applyBorder="1"/>
    <xf numFmtId="166" fontId="0" fillId="0" borderId="5" xfId="0" applyNumberFormat="1" applyBorder="1"/>
    <xf numFmtId="164" fontId="0" fillId="0" borderId="13" xfId="1" applyNumberFormat="1" applyFont="1" applyFill="1" applyBorder="1" applyAlignment="1">
      <alignment horizontal="center"/>
    </xf>
    <xf numFmtId="9" fontId="0" fillId="0" borderId="0" xfId="0" applyNumberFormat="1"/>
    <xf numFmtId="0" fontId="0" fillId="3" borderId="14" xfId="0" applyFill="1" applyBorder="1"/>
    <xf numFmtId="164" fontId="0" fillId="3" borderId="0" xfId="1" applyNumberFormat="1" applyFont="1" applyFill="1" applyBorder="1"/>
    <xf numFmtId="164" fontId="0" fillId="3" borderId="8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165" fontId="0" fillId="0" borderId="0" xfId="0" applyNumberFormat="1" applyBorder="1"/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164" fontId="0" fillId="0" borderId="15" xfId="0" applyNumberFormat="1" applyBorder="1"/>
    <xf numFmtId="164" fontId="0" fillId="0" borderId="13" xfId="0" applyNumberFormat="1" applyBorder="1"/>
    <xf numFmtId="166" fontId="0" fillId="0" borderId="0" xfId="0" applyNumberFormat="1"/>
    <xf numFmtId="167" fontId="4" fillId="0" borderId="3" xfId="0" applyNumberFormat="1" applyFont="1" applyBorder="1"/>
    <xf numFmtId="167" fontId="2" fillId="0" borderId="3" xfId="0" applyNumberFormat="1" applyFont="1" applyBorder="1"/>
    <xf numFmtId="3" fontId="0" fillId="0" borderId="0" xfId="0" applyNumberFormat="1"/>
    <xf numFmtId="0" fontId="0" fillId="10" borderId="0" xfId="0" applyFill="1" applyAlignment="1"/>
    <xf numFmtId="0" fontId="0" fillId="10" borderId="0" xfId="0" applyFill="1"/>
    <xf numFmtId="10" fontId="2" fillId="0" borderId="5" xfId="1" applyNumberFormat="1" applyFont="1" applyBorder="1"/>
    <xf numFmtId="10" fontId="2" fillId="0" borderId="10" xfId="1" applyNumberFormat="1" applyFont="1" applyBorder="1"/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H29"/>
  <sheetViews>
    <sheetView zoomScale="70" zoomScaleNormal="70" workbookViewId="0">
      <selection activeCell="L19" sqref="L19"/>
    </sheetView>
  </sheetViews>
  <sheetFormatPr defaultRowHeight="12.75" x14ac:dyDescent="0.2"/>
  <cols>
    <col min="1" max="1" width="17.85546875" bestFit="1" customWidth="1"/>
    <col min="2" max="31" width="10.7109375" customWidth="1"/>
    <col min="32" max="32" width="17.85546875" customWidth="1"/>
    <col min="33" max="34" width="10.7109375" customWidth="1"/>
  </cols>
  <sheetData>
    <row r="1" spans="1:33" x14ac:dyDescent="0.2">
      <c r="A1" s="119" t="s">
        <v>169</v>
      </c>
      <c r="B1" s="120"/>
      <c r="C1" s="121"/>
      <c r="G1" s="128" t="s">
        <v>35</v>
      </c>
      <c r="H1" s="129"/>
      <c r="I1" s="62" t="s">
        <v>31</v>
      </c>
      <c r="J1" s="62" t="s">
        <v>32</v>
      </c>
      <c r="K1" s="4" t="s">
        <v>39</v>
      </c>
      <c r="L1" s="130" t="s">
        <v>41</v>
      </c>
      <c r="M1" s="131"/>
    </row>
    <row r="2" spans="1:33" x14ac:dyDescent="0.2">
      <c r="A2" s="122"/>
      <c r="B2" s="123"/>
      <c r="C2" s="124"/>
      <c r="G2" s="60" t="s">
        <v>37</v>
      </c>
      <c r="H2" s="61"/>
      <c r="I2" s="63">
        <f>$B$7*($AG$25-2*$AG$26)</f>
        <v>133.45338619862576</v>
      </c>
      <c r="J2" s="63">
        <f>$B$7*($AG$25+2*$AG$26)</f>
        <v>142.61628402257969</v>
      </c>
      <c r="K2" s="65">
        <f>AVERAGE(I2:J2)</f>
        <v>138.03483511060273</v>
      </c>
      <c r="L2" s="132">
        <f>$K$2/AB14-1</f>
        <v>1.8707270188950131E-2</v>
      </c>
      <c r="M2" s="133"/>
    </row>
    <row r="3" spans="1:33" x14ac:dyDescent="0.2">
      <c r="A3" s="125"/>
      <c r="B3" s="126"/>
      <c r="C3" s="127"/>
      <c r="G3" s="46" t="s">
        <v>38</v>
      </c>
      <c r="H3" s="19"/>
      <c r="I3" s="64">
        <f>$C$7*($AG$25-2*$AG$26)</f>
        <v>136.1385649953788</v>
      </c>
      <c r="J3" s="64">
        <f>$C$7*($AG$25+2*$AG$26)</f>
        <v>145.48582696065978</v>
      </c>
      <c r="K3" s="66">
        <f>AVERAGE(I3:J3)</f>
        <v>140.8121959780193</v>
      </c>
      <c r="L3" s="134">
        <f>$K$3/AB15-1</f>
        <v>3.9204398361766035E-2</v>
      </c>
      <c r="M3" s="135"/>
    </row>
    <row r="4" spans="1:33" x14ac:dyDescent="0.2">
      <c r="A4" s="51"/>
      <c r="B4" s="51"/>
      <c r="C4" s="51"/>
      <c r="J4" s="4" t="s">
        <v>40</v>
      </c>
      <c r="K4" s="66">
        <f>AVERAGE(K2:K3)</f>
        <v>139.42351554431102</v>
      </c>
      <c r="L4" s="134">
        <f>$K$4/AB15-1</f>
        <v>2.8955834275357972E-2</v>
      </c>
      <c r="M4" s="135"/>
    </row>
    <row r="5" spans="1:33" x14ac:dyDescent="0.2">
      <c r="A5" s="59" t="s">
        <v>34</v>
      </c>
      <c r="B5" s="49" t="s">
        <v>31</v>
      </c>
      <c r="C5" s="50" t="s">
        <v>32</v>
      </c>
      <c r="D5" s="87"/>
      <c r="E5" s="87"/>
    </row>
    <row r="6" spans="1:33" ht="15.75" x14ac:dyDescent="0.25">
      <c r="A6" s="53" t="s">
        <v>33</v>
      </c>
      <c r="B6" s="57">
        <v>994</v>
      </c>
      <c r="C6" s="58">
        <v>1014</v>
      </c>
    </row>
    <row r="7" spans="1:33" ht="14.25" x14ac:dyDescent="0.2">
      <c r="A7" s="54" t="s">
        <v>36</v>
      </c>
      <c r="B7" s="55">
        <f>B6*$AG$24</f>
        <v>548.95583734122908</v>
      </c>
      <c r="C7" s="56">
        <f>C6*$AG$24</f>
        <v>560.00122642254155</v>
      </c>
    </row>
    <row r="10" spans="1:33" x14ac:dyDescent="0.2">
      <c r="G10" s="118" t="s">
        <v>15</v>
      </c>
      <c r="H10" s="118"/>
      <c r="I10" s="36">
        <f>AVERAGE(F13:AF13)</f>
        <v>1.1174939259138212</v>
      </c>
      <c r="AC10" s="118" t="s">
        <v>16</v>
      </c>
      <c r="AD10" s="118"/>
      <c r="AE10" s="118"/>
      <c r="AF10" s="80">
        <f>AVERAGE(AB13:AF13)</f>
        <v>1.08231517148509</v>
      </c>
    </row>
    <row r="11" spans="1:33" x14ac:dyDescent="0.2">
      <c r="A11" s="52" t="s">
        <v>6</v>
      </c>
      <c r="B11" s="136">
        <v>2013</v>
      </c>
      <c r="C11" s="137"/>
      <c r="D11" s="137"/>
      <c r="E11" s="138"/>
      <c r="F11" s="152">
        <v>2015</v>
      </c>
      <c r="G11" s="153"/>
      <c r="H11" s="153"/>
      <c r="I11" s="154"/>
      <c r="J11" s="152">
        <v>2016</v>
      </c>
      <c r="K11" s="153"/>
      <c r="L11" s="153"/>
      <c r="M11" s="154"/>
      <c r="N11" s="155">
        <v>2017</v>
      </c>
      <c r="O11" s="156"/>
      <c r="P11" s="156"/>
      <c r="Q11" s="157"/>
      <c r="R11" s="111">
        <v>2018</v>
      </c>
      <c r="S11" s="112"/>
      <c r="T11" s="112"/>
      <c r="U11" s="113"/>
      <c r="V11" s="158">
        <v>2019</v>
      </c>
      <c r="W11" s="159"/>
      <c r="X11" s="159"/>
      <c r="Y11" s="160"/>
      <c r="Z11" s="161">
        <v>2020</v>
      </c>
      <c r="AA11" s="162"/>
      <c r="AB11" s="162"/>
      <c r="AC11" s="163"/>
      <c r="AD11" s="152">
        <v>2021</v>
      </c>
      <c r="AE11" s="153"/>
      <c r="AF11" s="153"/>
      <c r="AG11" s="154"/>
    </row>
    <row r="12" spans="1:33" x14ac:dyDescent="0.2">
      <c r="A12" s="14" t="s">
        <v>19</v>
      </c>
      <c r="B12" s="81" t="s">
        <v>20</v>
      </c>
      <c r="C12" s="82" t="s">
        <v>3</v>
      </c>
      <c r="D12" s="82" t="s">
        <v>4</v>
      </c>
      <c r="E12" s="83" t="s">
        <v>5</v>
      </c>
      <c r="F12" s="21" t="s">
        <v>20</v>
      </c>
      <c r="G12" s="22" t="s">
        <v>3</v>
      </c>
      <c r="H12" s="22" t="s">
        <v>4</v>
      </c>
      <c r="I12" s="22" t="s">
        <v>5</v>
      </c>
      <c r="J12" s="21" t="s">
        <v>20</v>
      </c>
      <c r="K12" s="22" t="s">
        <v>3</v>
      </c>
      <c r="L12" s="22" t="s">
        <v>4</v>
      </c>
      <c r="M12" s="22" t="s">
        <v>5</v>
      </c>
      <c r="N12" s="23" t="s">
        <v>20</v>
      </c>
      <c r="O12" s="24" t="s">
        <v>3</v>
      </c>
      <c r="P12" s="24" t="s">
        <v>4</v>
      </c>
      <c r="Q12" s="24" t="s">
        <v>5</v>
      </c>
      <c r="R12" s="25" t="s">
        <v>20</v>
      </c>
      <c r="S12" s="26" t="s">
        <v>3</v>
      </c>
      <c r="T12" s="26" t="s">
        <v>4</v>
      </c>
      <c r="U12" s="26" t="s">
        <v>5</v>
      </c>
      <c r="V12" s="27" t="s">
        <v>20</v>
      </c>
      <c r="W12" s="28" t="s">
        <v>3</v>
      </c>
      <c r="X12" s="28" t="s">
        <v>4</v>
      </c>
      <c r="Y12" s="28" t="s">
        <v>5</v>
      </c>
      <c r="Z12" s="29" t="s">
        <v>20</v>
      </c>
      <c r="AA12" s="20" t="s">
        <v>3</v>
      </c>
      <c r="AB12" s="20" t="s">
        <v>4</v>
      </c>
      <c r="AC12" s="20" t="s">
        <v>5</v>
      </c>
      <c r="AD12" s="38" t="s">
        <v>20</v>
      </c>
      <c r="AE12" s="39" t="s">
        <v>3</v>
      </c>
      <c r="AF12" s="40" t="s">
        <v>21</v>
      </c>
      <c r="AG12" s="30" t="s">
        <v>22</v>
      </c>
    </row>
    <row r="13" spans="1:33" x14ac:dyDescent="0.2">
      <c r="A13" s="35" t="s">
        <v>2</v>
      </c>
      <c r="B13" s="31"/>
      <c r="C13" s="31"/>
      <c r="D13" s="31"/>
      <c r="E13" s="31"/>
      <c r="F13" s="86"/>
      <c r="G13" s="86"/>
      <c r="H13" s="86"/>
      <c r="I13" s="86"/>
      <c r="J13" s="86">
        <f t="shared" ref="J13:AE13" si="0">J15/F15</f>
        <v>1.0606469002695418</v>
      </c>
      <c r="K13" s="86">
        <f t="shared" si="0"/>
        <v>1.0988593155893536</v>
      </c>
      <c r="L13" s="86">
        <f t="shared" si="0"/>
        <v>1.1463414634146341</v>
      </c>
      <c r="M13" s="86">
        <f t="shared" si="0"/>
        <v>1.144853875476493</v>
      </c>
      <c r="N13" s="86">
        <f t="shared" si="0"/>
        <v>1.2312579415501905</v>
      </c>
      <c r="O13" s="86">
        <f t="shared" si="0"/>
        <v>1.2006920415224913</v>
      </c>
      <c r="P13" s="86">
        <f t="shared" si="0"/>
        <v>1.1153415453527438</v>
      </c>
      <c r="Q13" s="86">
        <f t="shared" si="0"/>
        <v>1.1187569367369588</v>
      </c>
      <c r="R13" s="86">
        <f t="shared" si="0"/>
        <v>1.0712074303405572</v>
      </c>
      <c r="S13" s="86">
        <f t="shared" si="0"/>
        <v>1.1152737752161384</v>
      </c>
      <c r="T13" s="86">
        <f t="shared" si="0"/>
        <v>1.1967871485943773</v>
      </c>
      <c r="U13" s="86">
        <f t="shared" si="0"/>
        <v>1.2827380952380953</v>
      </c>
      <c r="V13" s="86">
        <f t="shared" si="0"/>
        <v>1.2543352601156068</v>
      </c>
      <c r="W13" s="86">
        <f t="shared" si="0"/>
        <v>1.1696813092161928</v>
      </c>
      <c r="X13" s="86">
        <f t="shared" si="0"/>
        <v>1.1325503355704698</v>
      </c>
      <c r="Y13" s="86">
        <f t="shared" si="0"/>
        <v>1.1051817478731631</v>
      </c>
      <c r="Z13" s="86">
        <f t="shared" si="0"/>
        <v>1.0222734254992321</v>
      </c>
      <c r="AA13" s="86">
        <f t="shared" si="0"/>
        <v>0.82400589101620036</v>
      </c>
      <c r="AB13" s="86">
        <f t="shared" si="0"/>
        <v>1.0037037037037038</v>
      </c>
      <c r="AC13" s="86">
        <f t="shared" si="0"/>
        <v>0.97900629811056683</v>
      </c>
      <c r="AD13" s="86">
        <f t="shared" si="0"/>
        <v>1.0030052592036063</v>
      </c>
      <c r="AE13" s="86">
        <f t="shared" si="0"/>
        <v>1.3476318141197501</v>
      </c>
      <c r="AF13" s="86">
        <f>AF14/AB14</f>
        <v>1.0782287822878229</v>
      </c>
      <c r="AG13" s="32"/>
    </row>
    <row r="14" spans="1:33" x14ac:dyDescent="0.2">
      <c r="A14" s="15" t="s">
        <v>0</v>
      </c>
      <c r="B14" s="7"/>
      <c r="C14" s="7"/>
      <c r="D14" s="7"/>
      <c r="E14" s="7"/>
      <c r="F14" s="9">
        <v>74.2</v>
      </c>
      <c r="G14" s="6">
        <v>78.900000000000006</v>
      </c>
      <c r="H14" s="6">
        <v>77.900000000000006</v>
      </c>
      <c r="I14" s="6">
        <v>78.7</v>
      </c>
      <c r="J14" s="9">
        <v>78.7</v>
      </c>
      <c r="K14" s="6">
        <v>86.7</v>
      </c>
      <c r="L14" s="6">
        <v>89.399999999999991</v>
      </c>
      <c r="M14" s="6">
        <v>90.100000000000009</v>
      </c>
      <c r="N14" s="9">
        <v>96.9</v>
      </c>
      <c r="O14" s="6">
        <v>104.2</v>
      </c>
      <c r="P14" s="6">
        <v>99.600000000000009</v>
      </c>
      <c r="Q14" s="6">
        <v>100.8</v>
      </c>
      <c r="R14" s="9">
        <v>103.8</v>
      </c>
      <c r="S14" s="6">
        <v>116.1</v>
      </c>
      <c r="T14" s="6">
        <v>119.19999999999999</v>
      </c>
      <c r="U14" s="6">
        <v>129.30000000000001</v>
      </c>
      <c r="V14" s="9">
        <v>130.19999999999999</v>
      </c>
      <c r="W14" s="6">
        <v>135.79999999999998</v>
      </c>
      <c r="X14" s="6">
        <v>135</v>
      </c>
      <c r="Y14" s="6">
        <v>142.9</v>
      </c>
      <c r="Z14" s="9">
        <v>133.1</v>
      </c>
      <c r="AA14" s="6">
        <v>111.89999999999999</v>
      </c>
      <c r="AB14" s="6">
        <v>135.5</v>
      </c>
      <c r="AC14" s="6">
        <v>139.9</v>
      </c>
      <c r="AD14" s="6">
        <v>133.5</v>
      </c>
      <c r="AE14" s="6">
        <v>156</v>
      </c>
      <c r="AF14" s="6">
        <v>146.1</v>
      </c>
      <c r="AG14" s="6">
        <v>153.1</v>
      </c>
    </row>
    <row r="15" spans="1:33" x14ac:dyDescent="0.2">
      <c r="A15" s="15" t="s">
        <v>1</v>
      </c>
      <c r="B15" s="6"/>
      <c r="C15" s="6"/>
      <c r="D15" s="6"/>
      <c r="E15" s="6"/>
      <c r="F15" s="9">
        <v>74.2</v>
      </c>
      <c r="G15" s="6">
        <v>78.900000000000006</v>
      </c>
      <c r="H15" s="6">
        <v>77.900000000000006</v>
      </c>
      <c r="I15" s="6">
        <v>78.7</v>
      </c>
      <c r="J15" s="9">
        <v>78.7</v>
      </c>
      <c r="K15" s="6">
        <v>86.7</v>
      </c>
      <c r="L15" s="6">
        <v>89.3</v>
      </c>
      <c r="M15" s="6">
        <v>90.100000000000009</v>
      </c>
      <c r="N15" s="9">
        <v>96.9</v>
      </c>
      <c r="O15" s="6">
        <v>104.1</v>
      </c>
      <c r="P15" s="6">
        <v>99.600000000000009</v>
      </c>
      <c r="Q15" s="6">
        <v>100.8</v>
      </c>
      <c r="R15" s="9">
        <v>103.8</v>
      </c>
      <c r="S15" s="6">
        <v>116.1</v>
      </c>
      <c r="T15" s="6">
        <v>119.19999999999999</v>
      </c>
      <c r="U15" s="6">
        <v>129.30000000000001</v>
      </c>
      <c r="V15" s="9">
        <v>130.19999999999999</v>
      </c>
      <c r="W15" s="6">
        <v>135.79999999999998</v>
      </c>
      <c r="X15" s="6">
        <v>135</v>
      </c>
      <c r="Y15" s="6">
        <v>142.9</v>
      </c>
      <c r="Z15" s="9">
        <v>133.1</v>
      </c>
      <c r="AA15" s="6">
        <v>111.89999999999999</v>
      </c>
      <c r="AB15" s="6">
        <v>135.5</v>
      </c>
      <c r="AC15" s="6">
        <v>139.9</v>
      </c>
      <c r="AD15" s="9">
        <v>133.5</v>
      </c>
      <c r="AE15" s="6">
        <v>150.80000000000001</v>
      </c>
      <c r="AF15" s="9"/>
      <c r="AG15" s="10"/>
    </row>
    <row r="16" spans="1:33" x14ac:dyDescent="0.2">
      <c r="A16" s="15" t="s">
        <v>157</v>
      </c>
      <c r="B16" s="9"/>
      <c r="C16" s="6"/>
      <c r="D16" s="6"/>
      <c r="E16" s="10"/>
      <c r="F16" s="9">
        <v>129.6</v>
      </c>
      <c r="G16" s="6">
        <v>138.1</v>
      </c>
      <c r="H16" s="6">
        <v>136.1</v>
      </c>
      <c r="I16" s="10">
        <v>138.4</v>
      </c>
      <c r="J16" s="9">
        <v>138.1</v>
      </c>
      <c r="K16" s="6">
        <v>151.1</v>
      </c>
      <c r="L16" s="6">
        <v>157</v>
      </c>
      <c r="M16" s="10">
        <v>157.69999999999999</v>
      </c>
      <c r="N16" s="9">
        <v>171.1</v>
      </c>
      <c r="O16" s="6">
        <v>186.5</v>
      </c>
      <c r="P16" s="6">
        <v>179.3</v>
      </c>
      <c r="Q16" s="10">
        <v>190.9</v>
      </c>
      <c r="R16" s="9">
        <v>203</v>
      </c>
      <c r="S16" s="6">
        <v>224.8</v>
      </c>
      <c r="T16" s="6">
        <v>221.7</v>
      </c>
      <c r="U16" s="10">
        <v>233.2</v>
      </c>
      <c r="V16" s="9">
        <v>238.3</v>
      </c>
      <c r="W16" s="6">
        <v>255.5</v>
      </c>
      <c r="X16" s="6">
        <v>243</v>
      </c>
      <c r="Y16" s="10">
        <v>257.89999999999998</v>
      </c>
      <c r="Z16" s="9">
        <v>243.5</v>
      </c>
      <c r="AA16" s="6">
        <v>218.4</v>
      </c>
      <c r="AB16" s="6">
        <v>244</v>
      </c>
      <c r="AC16" s="10">
        <v>258</v>
      </c>
      <c r="AD16" s="9">
        <v>248.9</v>
      </c>
      <c r="AE16">
        <v>280.3</v>
      </c>
      <c r="AF16" s="106">
        <v>260.8</v>
      </c>
      <c r="AG16" s="10"/>
    </row>
    <row r="17" spans="1:34" x14ac:dyDescent="0.2">
      <c r="A17" s="88" t="s">
        <v>18</v>
      </c>
      <c r="B17" s="89"/>
      <c r="C17" s="89"/>
      <c r="D17" s="89"/>
      <c r="E17" s="89"/>
      <c r="F17" s="89">
        <f t="shared" ref="F17:H17" si="1">F15/F16</f>
        <v>0.57253086419753096</v>
      </c>
      <c r="G17" s="89">
        <f t="shared" si="1"/>
        <v>0.57132512671976832</v>
      </c>
      <c r="H17" s="89">
        <f t="shared" si="1"/>
        <v>0.57237325495958857</v>
      </c>
      <c r="I17" s="89">
        <f t="shared" ref="I17:W17" si="2">I15/I16</f>
        <v>0.56864161849710981</v>
      </c>
      <c r="J17" s="89">
        <f t="shared" si="2"/>
        <v>0.56987690079652431</v>
      </c>
      <c r="K17" s="89">
        <f>K15/K16</f>
        <v>0.57379219060225017</v>
      </c>
      <c r="L17" s="89">
        <f>L15/L16</f>
        <v>0.56878980891719744</v>
      </c>
      <c r="M17" s="89">
        <f>M15/M16</f>
        <v>0.57133798351299947</v>
      </c>
      <c r="N17" s="89">
        <f>N15/N16</f>
        <v>0.56633547632963188</v>
      </c>
      <c r="O17" s="89">
        <f t="shared" si="2"/>
        <v>0.55817694369973192</v>
      </c>
      <c r="P17" s="89">
        <f t="shared" si="2"/>
        <v>0.55549358616843281</v>
      </c>
      <c r="Q17" s="89">
        <f t="shared" si="2"/>
        <v>0.52802514405447876</v>
      </c>
      <c r="R17" s="89">
        <f t="shared" si="2"/>
        <v>0.51133004926108372</v>
      </c>
      <c r="S17" s="89">
        <f t="shared" si="2"/>
        <v>0.51645907473309605</v>
      </c>
      <c r="T17" s="89">
        <f t="shared" si="2"/>
        <v>0.53766350924672979</v>
      </c>
      <c r="U17" s="89">
        <f t="shared" si="2"/>
        <v>0.55445969125214412</v>
      </c>
      <c r="V17" s="89">
        <f t="shared" si="2"/>
        <v>0.54637012169534194</v>
      </c>
      <c r="W17" s="89">
        <f t="shared" si="2"/>
        <v>0.53150684931506842</v>
      </c>
      <c r="X17" s="89">
        <f t="shared" ref="X17:AA17" si="3">X15/X16</f>
        <v>0.55555555555555558</v>
      </c>
      <c r="Y17" s="89">
        <f t="shared" si="3"/>
        <v>0.55409073284218702</v>
      </c>
      <c r="Z17" s="89">
        <f t="shared" si="3"/>
        <v>0.54661190965092399</v>
      </c>
      <c r="AA17" s="89">
        <f t="shared" si="3"/>
        <v>0.51236263736263732</v>
      </c>
      <c r="AB17" s="89">
        <f>AB15/AB16</f>
        <v>0.55532786885245899</v>
      </c>
      <c r="AC17" s="89">
        <f>AC15/AC16</f>
        <v>0.54224806201550391</v>
      </c>
      <c r="AD17" s="89">
        <f>AD15/AD16</f>
        <v>0.53635998392928885</v>
      </c>
      <c r="AE17" s="89">
        <f>AE15/AE16</f>
        <v>0.53799500535140921</v>
      </c>
      <c r="AF17" s="90">
        <f>AF14/AF16</f>
        <v>0.56019938650306744</v>
      </c>
      <c r="AG17" s="91"/>
    </row>
    <row r="18" spans="1:34" x14ac:dyDescent="0.2">
      <c r="A18" s="88" t="s">
        <v>24</v>
      </c>
      <c r="B18" s="89"/>
      <c r="C18" s="89"/>
      <c r="D18" s="89"/>
      <c r="E18" s="92"/>
      <c r="F18" s="89">
        <f>F15/SUM(F15:I15)</f>
        <v>0.23958669680335806</v>
      </c>
      <c r="G18" s="89">
        <f>G15/SUM(F15:I15)</f>
        <v>0.25476267355505328</v>
      </c>
      <c r="H18" s="89">
        <f>H15/SUM(F15:I15)</f>
        <v>0.25153374233128833</v>
      </c>
      <c r="I18" s="92">
        <f>I15/SUM(F15:I15)</f>
        <v>0.25411688731030024</v>
      </c>
      <c r="J18" s="89">
        <f>J15/SUM(J15:M15)</f>
        <v>0.22824825986078887</v>
      </c>
      <c r="K18" s="89">
        <f>K15/SUM(J15:M15)</f>
        <v>0.25145011600928074</v>
      </c>
      <c r="L18" s="89">
        <f>L15/SUM(J15:M15)</f>
        <v>0.25899071925754058</v>
      </c>
      <c r="M18" s="92">
        <f>M15/SUM(J15:M15)</f>
        <v>0.26131090487238978</v>
      </c>
      <c r="N18" s="89">
        <f>N15/SUM(N15:Q15)</f>
        <v>0.24140508221225709</v>
      </c>
      <c r="O18" s="89">
        <f>O15/SUM(N15:Q15)</f>
        <v>0.25934230194319879</v>
      </c>
      <c r="P18" s="89">
        <f>P15/SUM(N15:Q15)</f>
        <v>0.24813153961136025</v>
      </c>
      <c r="Q18" s="92">
        <f>Q15/SUM(N15:Q15)</f>
        <v>0.2511210762331838</v>
      </c>
      <c r="R18" s="89">
        <f>R15/SUM(R15:U15)</f>
        <v>0.22160546541417592</v>
      </c>
      <c r="S18" s="89">
        <f>S15/SUM(R15:U15)</f>
        <v>0.24786507258753201</v>
      </c>
      <c r="T18" s="89">
        <f>T15/SUM(R15:U15)</f>
        <v>0.25448334756618274</v>
      </c>
      <c r="U18" s="92">
        <f>U15/SUM(R15:U15)</f>
        <v>0.27604611443210936</v>
      </c>
      <c r="V18" s="89">
        <f>V15/SUM(V15:Y15)</f>
        <v>0.23938223938223938</v>
      </c>
      <c r="W18" s="89">
        <f>W15/SUM(V15:Y15)</f>
        <v>0.24967824967824967</v>
      </c>
      <c r="X18" s="89">
        <f>X15/SUM(V15:Y15)</f>
        <v>0.24820739106453393</v>
      </c>
      <c r="Y18" s="92">
        <f>Y15/SUM(V15:Y15)</f>
        <v>0.26273211987497702</v>
      </c>
      <c r="Z18" s="89"/>
      <c r="AA18" s="89"/>
      <c r="AB18" s="89"/>
      <c r="AC18" s="92"/>
      <c r="AD18" s="89">
        <f>AD15/SUM(AD15:AE15,AF14:AG14)</f>
        <v>0.22879177377892032</v>
      </c>
      <c r="AE18" s="89">
        <f>AE15/SUM(AD15:AE15,AF14:AG14)</f>
        <v>0.25844044558697515</v>
      </c>
      <c r="AF18" s="89">
        <f>AF14/SUM(AD15:AE15,AF14:AG14)</f>
        <v>0.2503856041131105</v>
      </c>
      <c r="AG18" s="92">
        <f>AG14/SUM(AD15:AE15,AF14:AG14)</f>
        <v>0.26238217652099399</v>
      </c>
      <c r="AH18" s="3"/>
    </row>
    <row r="19" spans="1:34" x14ac:dyDescent="0.2">
      <c r="A19" s="16" t="s">
        <v>17</v>
      </c>
      <c r="B19" s="12"/>
      <c r="C19" s="12"/>
      <c r="D19" s="12"/>
      <c r="E19" s="12"/>
      <c r="F19" s="11"/>
      <c r="G19" s="12"/>
      <c r="H19" s="12"/>
      <c r="I19" s="6"/>
      <c r="J19" s="9"/>
      <c r="K19" s="12"/>
      <c r="L19" s="12"/>
      <c r="M19" s="6"/>
      <c r="N19" s="84"/>
      <c r="O19" s="84">
        <v>105.5</v>
      </c>
      <c r="P19" s="84">
        <v>100</v>
      </c>
      <c r="Q19" s="84">
        <v>101.60000000000001</v>
      </c>
      <c r="R19" s="84">
        <v>104.10000000000001</v>
      </c>
      <c r="S19" s="64">
        <v>114.9</v>
      </c>
      <c r="T19" s="64">
        <v>113.39999999999999</v>
      </c>
      <c r="U19" s="64">
        <v>122.30000000000001</v>
      </c>
      <c r="V19" s="84">
        <v>128.9</v>
      </c>
      <c r="W19" s="64"/>
      <c r="X19" s="64"/>
      <c r="Y19" s="64"/>
      <c r="Z19" s="84"/>
      <c r="AA19" s="64">
        <v>96.2</v>
      </c>
      <c r="AB19" s="64">
        <v>119.89999999999999</v>
      </c>
      <c r="AC19" s="64">
        <v>136.4</v>
      </c>
      <c r="AD19" s="84">
        <v>126.89999999999999</v>
      </c>
      <c r="AE19" s="64">
        <v>140.70000000000002</v>
      </c>
      <c r="AF19" s="85"/>
      <c r="AG19" s="13"/>
    </row>
    <row r="20" spans="1:34" x14ac:dyDescent="0.2">
      <c r="G20" s="7"/>
      <c r="H20" s="7"/>
      <c r="I20" s="7"/>
      <c r="J20" s="7"/>
      <c r="M20" s="114" t="s">
        <v>7</v>
      </c>
      <c r="N20" s="115"/>
      <c r="O20" s="7">
        <f t="shared" ref="O20:AE20" si="4">IF(O15&gt;O19,1,0)</f>
        <v>0</v>
      </c>
      <c r="P20" s="7">
        <f t="shared" si="4"/>
        <v>0</v>
      </c>
      <c r="Q20" s="7">
        <f t="shared" si="4"/>
        <v>0</v>
      </c>
      <c r="R20" s="7">
        <f t="shared" si="4"/>
        <v>0</v>
      </c>
      <c r="S20" s="7">
        <f t="shared" si="4"/>
        <v>1</v>
      </c>
      <c r="T20" s="7">
        <f t="shared" si="4"/>
        <v>1</v>
      </c>
      <c r="U20" s="7">
        <f t="shared" si="4"/>
        <v>1</v>
      </c>
      <c r="V20" s="7">
        <f t="shared" si="4"/>
        <v>1</v>
      </c>
      <c r="W20" s="7"/>
      <c r="X20" s="7"/>
      <c r="Y20" s="7"/>
      <c r="Z20" s="7"/>
      <c r="AA20" s="7">
        <f t="shared" si="4"/>
        <v>1</v>
      </c>
      <c r="AB20" s="7">
        <f t="shared" si="4"/>
        <v>1</v>
      </c>
      <c r="AC20" s="7">
        <f t="shared" si="4"/>
        <v>1</v>
      </c>
      <c r="AD20" s="7">
        <f t="shared" si="4"/>
        <v>1</v>
      </c>
      <c r="AE20" s="8">
        <f t="shared" si="4"/>
        <v>1</v>
      </c>
      <c r="AF20" s="46" t="s">
        <v>8</v>
      </c>
      <c r="AG20" s="43">
        <f>AVERAGE(O20:AE20)</f>
        <v>0.69230769230769229</v>
      </c>
    </row>
    <row r="21" spans="1:34" x14ac:dyDescent="0.2">
      <c r="I21" s="6"/>
      <c r="J21" s="6"/>
      <c r="M21" s="139" t="s">
        <v>9</v>
      </c>
      <c r="N21" s="140"/>
      <c r="P21" s="6"/>
      <c r="Q21" s="6"/>
      <c r="R21" s="6">
        <f t="shared" ref="R21:AE21" si="5">AVERAGE(O20:R20)</f>
        <v>0</v>
      </c>
      <c r="S21" s="6">
        <f t="shared" si="5"/>
        <v>0.25</v>
      </c>
      <c r="T21" s="6">
        <f t="shared" si="5"/>
        <v>0.5</v>
      </c>
      <c r="U21" s="6">
        <f t="shared" si="5"/>
        <v>0.75</v>
      </c>
      <c r="V21" s="6">
        <f t="shared" si="5"/>
        <v>1</v>
      </c>
      <c r="W21" s="6"/>
      <c r="X21" s="6"/>
      <c r="Y21" s="6"/>
      <c r="Z21" s="6"/>
      <c r="AA21" s="6">
        <f t="shared" si="5"/>
        <v>1</v>
      </c>
      <c r="AB21" s="6">
        <f t="shared" si="5"/>
        <v>1</v>
      </c>
      <c r="AC21" s="6">
        <f t="shared" si="5"/>
        <v>1</v>
      </c>
      <c r="AD21" s="6">
        <f>AVERAGE(AA20:AD20)</f>
        <v>1</v>
      </c>
      <c r="AE21" s="10">
        <f t="shared" si="5"/>
        <v>1</v>
      </c>
      <c r="AF21" s="42" t="s">
        <v>10</v>
      </c>
      <c r="AG21" s="43">
        <f>AVERAGE(R21:AE21)</f>
        <v>0.75</v>
      </c>
    </row>
    <row r="22" spans="1:34" x14ac:dyDescent="0.2">
      <c r="G22" s="18"/>
      <c r="H22" s="18"/>
      <c r="I22" s="18"/>
      <c r="J22" s="18"/>
      <c r="M22" s="150" t="s">
        <v>11</v>
      </c>
      <c r="N22" s="151"/>
      <c r="O22" s="18">
        <f t="shared" ref="O22:AE22" si="6">O15/O19-1</f>
        <v>-1.3270142180094813E-2</v>
      </c>
      <c r="P22" s="18">
        <f t="shared" si="6"/>
        <v>-3.9999999999998925E-3</v>
      </c>
      <c r="Q22" s="18">
        <f t="shared" si="6"/>
        <v>-7.8740157480315931E-3</v>
      </c>
      <c r="R22" s="18">
        <f t="shared" si="6"/>
        <v>-2.8818443804036198E-3</v>
      </c>
      <c r="S22" s="18">
        <f t="shared" si="6"/>
        <v>1.0443864229764843E-2</v>
      </c>
      <c r="T22" s="18">
        <f t="shared" si="6"/>
        <v>5.1146384479717755E-2</v>
      </c>
      <c r="U22" s="18">
        <f t="shared" si="6"/>
        <v>5.7236304170073637E-2</v>
      </c>
      <c r="V22" s="18">
        <f t="shared" si="6"/>
        <v>1.0085337470907563E-2</v>
      </c>
      <c r="W22" s="18"/>
      <c r="X22" s="18"/>
      <c r="Y22" s="18"/>
      <c r="Z22" s="18"/>
      <c r="AA22" s="18">
        <f t="shared" si="6"/>
        <v>0.16320166320166307</v>
      </c>
      <c r="AB22" s="18">
        <f t="shared" si="6"/>
        <v>0.13010842368640541</v>
      </c>
      <c r="AC22" s="18">
        <f t="shared" si="6"/>
        <v>2.5659824046920798E-2</v>
      </c>
      <c r="AD22" s="18">
        <f t="shared" si="6"/>
        <v>5.2009456264775489E-2</v>
      </c>
      <c r="AE22" s="41">
        <f t="shared" si="6"/>
        <v>7.1783937455579094E-2</v>
      </c>
      <c r="AF22" s="42" t="s">
        <v>13</v>
      </c>
      <c r="AG22" s="44">
        <f>MEDIAN(O22:AE22)</f>
        <v>2.5659824046920798E-2</v>
      </c>
    </row>
    <row r="23" spans="1:34" x14ac:dyDescent="0.2">
      <c r="I23" s="6"/>
      <c r="J23" s="33"/>
      <c r="M23" s="139" t="s">
        <v>12</v>
      </c>
      <c r="N23" s="140"/>
      <c r="P23" s="33"/>
      <c r="Q23" s="33"/>
      <c r="R23" s="33">
        <f t="shared" ref="R23:V23" si="7">AVERAGE(O22:R22)</f>
        <v>-7.0065005771324795E-3</v>
      </c>
      <c r="S23" s="33">
        <f t="shared" si="7"/>
        <v>-1.0779989746675656E-3</v>
      </c>
      <c r="T23" s="33">
        <f t="shared" si="7"/>
        <v>1.2708597145261846E-2</v>
      </c>
      <c r="U23" s="33">
        <f t="shared" si="7"/>
        <v>2.8986177124788154E-2</v>
      </c>
      <c r="V23" s="33">
        <f t="shared" si="7"/>
        <v>3.222797258761595E-2</v>
      </c>
      <c r="W23" s="33"/>
      <c r="X23" s="33"/>
      <c r="Y23" s="33"/>
      <c r="Z23" s="33"/>
      <c r="AA23" s="33">
        <f>AVERAGE(AA22,T22:V22)</f>
        <v>7.0417422330590507E-2</v>
      </c>
      <c r="AB23" s="33">
        <f>AVERAGE(AA22:AB22,U22:V22)</f>
        <v>9.0157932132262419E-2</v>
      </c>
      <c r="AC23" s="33">
        <f>AVERAGE(AA22:AC22,V22)</f>
        <v>8.226381210147421E-2</v>
      </c>
      <c r="AD23" s="33">
        <f>AVERAGE(AA22:AD22)</f>
        <v>9.2744841799941191E-2</v>
      </c>
      <c r="AE23" s="34">
        <f>AVERAGE(AB22:AE22)</f>
        <v>6.9890410363420197E-2</v>
      </c>
      <c r="AF23" s="19" t="s">
        <v>14</v>
      </c>
      <c r="AG23" s="34">
        <f>MEDIAN(R23:AE23)</f>
        <v>5.1059191475518073E-2</v>
      </c>
    </row>
    <row r="24" spans="1:34" x14ac:dyDescent="0.2">
      <c r="M24" s="114" t="s">
        <v>25</v>
      </c>
      <c r="N24" s="115"/>
      <c r="O24" s="102">
        <f>AVERAGE(S22:V22,AA22:AE22)</f>
        <v>6.3519466111756406E-2</v>
      </c>
      <c r="P24" s="114" t="s">
        <v>29</v>
      </c>
      <c r="Q24" s="148"/>
      <c r="R24" s="47">
        <f>MEDIAN(S22:V22,AA22:AE22)</f>
        <v>5.2009456264775489E-2</v>
      </c>
      <c r="AB24" s="3"/>
      <c r="AC24" s="141" t="s">
        <v>23</v>
      </c>
      <c r="AD24" s="142"/>
      <c r="AE24" s="142"/>
      <c r="AF24" s="143"/>
      <c r="AG24" s="45">
        <f>AVERAGE(AE17:AF17,X17,AB17)</f>
        <v>0.55226945406562278</v>
      </c>
    </row>
    <row r="25" spans="1:34" x14ac:dyDescent="0.2">
      <c r="M25" s="116" t="s">
        <v>26</v>
      </c>
      <c r="N25" s="117"/>
      <c r="O25" s="101">
        <f>AVERAGE(O22:R22)</f>
        <v>-7.0065005771324795E-3</v>
      </c>
      <c r="P25" s="116" t="s">
        <v>30</v>
      </c>
      <c r="Q25" s="149"/>
      <c r="R25" s="34">
        <f>MEDIAN(O22:R22)</f>
        <v>-5.9370078740157428E-3</v>
      </c>
      <c r="AC25" s="144" t="s">
        <v>27</v>
      </c>
      <c r="AD25" s="145"/>
      <c r="AE25" s="145"/>
      <c r="AF25" s="145"/>
      <c r="AG25" s="47">
        <f>AVERAGE(AF18,X18,L18,P18,H18)</f>
        <v>0.25144979927556677</v>
      </c>
    </row>
    <row r="26" spans="1:34" x14ac:dyDescent="0.2">
      <c r="AC26" s="146" t="s">
        <v>28</v>
      </c>
      <c r="AD26" s="147"/>
      <c r="AE26" s="147"/>
      <c r="AF26" s="147"/>
      <c r="AG26" s="48">
        <f>_xlfn.STDEV.S(AF18,X18,T18,L18,H18)</f>
        <v>4.1728756671633145E-3</v>
      </c>
    </row>
    <row r="29" spans="1:34" ht="18" customHeight="1" x14ac:dyDescent="0.2"/>
  </sheetData>
  <mergeCells count="27">
    <mergeCell ref="AC26:AF26"/>
    <mergeCell ref="P24:Q24"/>
    <mergeCell ref="P25:Q25"/>
    <mergeCell ref="M22:N22"/>
    <mergeCell ref="F11:I11"/>
    <mergeCell ref="J11:M11"/>
    <mergeCell ref="N11:Q11"/>
    <mergeCell ref="V11:Y11"/>
    <mergeCell ref="Z11:AC11"/>
    <mergeCell ref="AD11:AG11"/>
    <mergeCell ref="M20:N20"/>
    <mergeCell ref="M21:N21"/>
    <mergeCell ref="L4:M4"/>
    <mergeCell ref="B11:E11"/>
    <mergeCell ref="M23:N23"/>
    <mergeCell ref="AC24:AF24"/>
    <mergeCell ref="AC25:AF25"/>
    <mergeCell ref="A1:C3"/>
    <mergeCell ref="G1:H1"/>
    <mergeCell ref="L1:M1"/>
    <mergeCell ref="L2:M2"/>
    <mergeCell ref="L3:M3"/>
    <mergeCell ref="R11:U11"/>
    <mergeCell ref="M24:N24"/>
    <mergeCell ref="M25:N25"/>
    <mergeCell ref="G10:H10"/>
    <mergeCell ref="AC10:AE10"/>
  </mergeCells>
  <conditionalFormatting sqref="AG22:AG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AG20:AG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AG20:AG21 AG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conditionalFormatting sqref="G20:J20 AG20 O20:AE2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1 AG21 P21:AE2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2:J22 O22:AE22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P23:AE23 J23">
    <cfRule type="dataBar" priority="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AG22:AG23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AG20:AG21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AG20:AG21 AG24</xm:sqref>
        </x14:conditionalFormatting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G22:J22 O22:AE22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P23:AE23 J23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U47"/>
  <sheetViews>
    <sheetView zoomScale="85" zoomScaleNormal="85" workbookViewId="0">
      <selection activeCell="E23" sqref="E23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8" bestFit="1" customWidth="1"/>
    <col min="6" max="6" width="12.140625" bestFit="1" customWidth="1"/>
    <col min="7" max="7" width="10.7109375" bestFit="1" customWidth="1"/>
    <col min="8" max="8" width="19.7109375" bestFit="1" customWidth="1"/>
    <col min="9" max="9" width="13.5703125" bestFit="1" customWidth="1"/>
    <col min="10" max="10" width="8.7109375" bestFit="1" customWidth="1"/>
    <col min="11" max="11" width="21.85546875" bestFit="1" customWidth="1"/>
    <col min="12" max="12" width="16.42578125" bestFit="1" customWidth="1"/>
    <col min="13" max="13" width="14.5703125" bestFit="1" customWidth="1"/>
    <col min="14" max="14" width="23.5703125" bestFit="1" customWidth="1"/>
    <col min="15" max="15" width="17.85546875" bestFit="1" customWidth="1"/>
    <col min="16" max="16" width="11.42578125" bestFit="1" customWidth="1"/>
    <col min="17" max="17" width="14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80</v>
      </c>
      <c r="B1" t="s">
        <v>81</v>
      </c>
    </row>
    <row r="4" spans="1:21" x14ac:dyDescent="0.2">
      <c r="A4" s="166" t="s">
        <v>76</v>
      </c>
      <c r="B4" s="166"/>
      <c r="T4" s="71" t="s">
        <v>165</v>
      </c>
    </row>
    <row r="5" spans="1:21" x14ac:dyDescent="0.2">
      <c r="A5" s="17" t="s">
        <v>56</v>
      </c>
      <c r="B5" s="17" t="s">
        <v>57</v>
      </c>
      <c r="C5" s="17" t="s">
        <v>68</v>
      </c>
      <c r="D5" s="17" t="s">
        <v>58</v>
      </c>
      <c r="E5" s="17" t="s">
        <v>59</v>
      </c>
      <c r="F5" s="17" t="s">
        <v>69</v>
      </c>
      <c r="G5" s="17" t="s">
        <v>60</v>
      </c>
      <c r="H5" s="17" t="s">
        <v>61</v>
      </c>
      <c r="I5" s="17" t="s">
        <v>70</v>
      </c>
      <c r="J5" s="17" t="s">
        <v>62</v>
      </c>
      <c r="K5" s="17" t="s">
        <v>63</v>
      </c>
      <c r="L5" s="17" t="s">
        <v>73</v>
      </c>
      <c r="M5" s="17" t="s">
        <v>64</v>
      </c>
      <c r="N5" s="17" t="s">
        <v>65</v>
      </c>
      <c r="O5" s="17" t="s">
        <v>74</v>
      </c>
      <c r="P5" s="17" t="s">
        <v>66</v>
      </c>
      <c r="Q5" s="17" t="s">
        <v>67</v>
      </c>
      <c r="R5" s="17" t="s">
        <v>0</v>
      </c>
      <c r="S5" s="17" t="s">
        <v>72</v>
      </c>
      <c r="T5" s="37" t="s">
        <v>0</v>
      </c>
      <c r="U5" s="37" t="s">
        <v>72</v>
      </c>
    </row>
    <row r="6" spans="1:21" x14ac:dyDescent="0.2">
      <c r="A6" t="s">
        <v>169</v>
      </c>
      <c r="B6" t="s">
        <v>170</v>
      </c>
      <c r="C6" t="s">
        <v>171</v>
      </c>
      <c r="D6">
        <v>20170720</v>
      </c>
      <c r="E6">
        <v>86.144969000000003</v>
      </c>
      <c r="F6">
        <v>87.178279000000003</v>
      </c>
      <c r="G6">
        <v>80.447134000000005</v>
      </c>
      <c r="H6">
        <v>91.758103000000006</v>
      </c>
      <c r="I6">
        <v>72.969819999999999</v>
      </c>
      <c r="J6">
        <v>86.382121250000012</v>
      </c>
      <c r="R6">
        <v>105.5</v>
      </c>
      <c r="S6">
        <v>101.39400000000001</v>
      </c>
      <c r="T6" s="94"/>
      <c r="U6" s="93"/>
    </row>
    <row r="7" spans="1:21" x14ac:dyDescent="0.2">
      <c r="A7" t="s">
        <v>169</v>
      </c>
      <c r="B7" t="s">
        <v>170</v>
      </c>
      <c r="C7" t="s">
        <v>167</v>
      </c>
      <c r="D7">
        <v>20171019</v>
      </c>
      <c r="E7">
        <v>92.418035000000003</v>
      </c>
      <c r="F7">
        <v>91.342506999999998</v>
      </c>
      <c r="G7">
        <v>84.116658999999999</v>
      </c>
      <c r="H7">
        <v>88.589633000000006</v>
      </c>
      <c r="I7">
        <v>65.242639999999994</v>
      </c>
      <c r="J7">
        <v>89.116708500000001</v>
      </c>
      <c r="K7">
        <v>108.77749855351392</v>
      </c>
      <c r="L7">
        <v>106.23726759687469</v>
      </c>
      <c r="M7">
        <v>106.01899780104036</v>
      </c>
      <c r="N7">
        <v>97.892795891846205</v>
      </c>
      <c r="O7">
        <v>90.656825522661279</v>
      </c>
      <c r="P7">
        <v>104.60381628622021</v>
      </c>
      <c r="Q7">
        <v>102.36453360869278</v>
      </c>
      <c r="R7">
        <v>100</v>
      </c>
      <c r="S7">
        <v>96.701999999999998</v>
      </c>
      <c r="T7" s="94"/>
      <c r="U7" s="93"/>
    </row>
    <row r="8" spans="1:21" x14ac:dyDescent="0.2">
      <c r="A8" t="s">
        <v>169</v>
      </c>
      <c r="B8" t="s">
        <v>170</v>
      </c>
      <c r="C8" t="s">
        <v>166</v>
      </c>
      <c r="D8">
        <v>20180222</v>
      </c>
      <c r="E8">
        <v>100.908275</v>
      </c>
      <c r="F8">
        <v>100.733727</v>
      </c>
      <c r="G8">
        <v>94.726670999999996</v>
      </c>
      <c r="H8">
        <v>96.492227999999997</v>
      </c>
      <c r="I8">
        <v>67.038314999999997</v>
      </c>
      <c r="J8">
        <v>98.215225250000003</v>
      </c>
      <c r="K8">
        <v>105.58579836771037</v>
      </c>
      <c r="L8">
        <v>106.64424689322354</v>
      </c>
      <c r="M8">
        <v>108.89945758594619</v>
      </c>
      <c r="N8">
        <v>105.32825474122913</v>
      </c>
      <c r="O8">
        <v>99.363531842518952</v>
      </c>
      <c r="P8">
        <v>106.57494954636368</v>
      </c>
      <c r="Q8">
        <v>105.39937316283196</v>
      </c>
      <c r="R8">
        <v>101.60000000000001</v>
      </c>
      <c r="S8">
        <v>100.22799999999999</v>
      </c>
      <c r="T8" s="94"/>
      <c r="U8" s="93"/>
    </row>
    <row r="9" spans="1:21" x14ac:dyDescent="0.2">
      <c r="A9" t="s">
        <v>169</v>
      </c>
      <c r="B9" t="s">
        <v>170</v>
      </c>
      <c r="C9" t="s">
        <v>42</v>
      </c>
      <c r="D9">
        <v>20180419</v>
      </c>
      <c r="E9">
        <v>106.286123</v>
      </c>
      <c r="F9">
        <v>105.84968000000001</v>
      </c>
      <c r="G9">
        <v>96.606800000000007</v>
      </c>
      <c r="H9">
        <v>102.23401800000001</v>
      </c>
      <c r="I9">
        <v>69.716634999999997</v>
      </c>
      <c r="J9">
        <v>102.74415525000001</v>
      </c>
      <c r="K9">
        <v>105.56959313836252</v>
      </c>
      <c r="L9">
        <v>105.31826869703728</v>
      </c>
      <c r="M9">
        <v>102.21731903151121</v>
      </c>
      <c r="N9">
        <v>106.19208788612488</v>
      </c>
      <c r="O9">
        <v>104.23231688893134</v>
      </c>
      <c r="P9">
        <v>104.84974367451241</v>
      </c>
      <c r="Q9">
        <v>104.72988821941328</v>
      </c>
      <c r="R9">
        <v>104.10000000000001</v>
      </c>
      <c r="S9">
        <v>103.137</v>
      </c>
      <c r="T9" s="9"/>
      <c r="U9" s="63"/>
    </row>
    <row r="10" spans="1:21" x14ac:dyDescent="0.2">
      <c r="A10" t="s">
        <v>169</v>
      </c>
      <c r="B10" t="s">
        <v>170</v>
      </c>
      <c r="C10" t="s">
        <v>43</v>
      </c>
      <c r="D10">
        <v>20180719</v>
      </c>
      <c r="E10">
        <v>111.134327</v>
      </c>
      <c r="F10">
        <v>109.75279999999999</v>
      </c>
      <c r="G10">
        <v>106.877638</v>
      </c>
      <c r="H10">
        <v>106.903685</v>
      </c>
      <c r="I10">
        <v>74.275135000000006</v>
      </c>
      <c r="J10">
        <v>108.6671125</v>
      </c>
      <c r="K10">
        <v>107.84155786545153</v>
      </c>
      <c r="L10">
        <v>106.94009215332534</v>
      </c>
      <c r="M10">
        <v>114.10210203014694</v>
      </c>
      <c r="N10">
        <v>107.84791183542251</v>
      </c>
      <c r="O10">
        <v>109.88072787068684</v>
      </c>
      <c r="P10">
        <v>109.08260381957346</v>
      </c>
      <c r="Q10">
        <v>109.28249926243444</v>
      </c>
      <c r="R10">
        <v>114.9</v>
      </c>
      <c r="S10">
        <v>116.324</v>
      </c>
      <c r="T10" s="9"/>
      <c r="U10" s="63"/>
    </row>
    <row r="11" spans="1:21" x14ac:dyDescent="0.2">
      <c r="A11" t="s">
        <v>169</v>
      </c>
      <c r="B11" t="s">
        <v>170</v>
      </c>
      <c r="C11" t="s">
        <v>44</v>
      </c>
      <c r="D11">
        <v>20181018</v>
      </c>
      <c r="E11">
        <v>120.025852</v>
      </c>
      <c r="F11">
        <v>119.02012499999999</v>
      </c>
      <c r="G11">
        <v>111.565482</v>
      </c>
      <c r="H11">
        <v>110.463724</v>
      </c>
      <c r="I11">
        <v>78.517891000000006</v>
      </c>
      <c r="J11">
        <v>115.26879575</v>
      </c>
      <c r="K11">
        <v>125.63073520972506</v>
      </c>
      <c r="L11">
        <v>126.14618506771582</v>
      </c>
      <c r="M11">
        <v>121.42617830090892</v>
      </c>
      <c r="N11">
        <v>120.19774838047911</v>
      </c>
      <c r="O11">
        <v>122.96867791198225</v>
      </c>
      <c r="P11">
        <v>123.39085016934631</v>
      </c>
      <c r="Q11">
        <v>123.29339584002624</v>
      </c>
      <c r="R11">
        <v>113.39999999999999</v>
      </c>
      <c r="S11">
        <v>116.879</v>
      </c>
      <c r="T11" s="9"/>
      <c r="U11" s="63"/>
    </row>
    <row r="12" spans="1:21" x14ac:dyDescent="0.2">
      <c r="A12" t="s">
        <v>169</v>
      </c>
      <c r="B12" t="s">
        <v>170</v>
      </c>
      <c r="C12" t="s">
        <v>45</v>
      </c>
      <c r="D12">
        <v>20190221</v>
      </c>
      <c r="E12">
        <v>133.640838</v>
      </c>
      <c r="F12">
        <v>133.414613</v>
      </c>
      <c r="G12">
        <v>123.01830699999999</v>
      </c>
      <c r="H12">
        <v>138.184563</v>
      </c>
      <c r="I12">
        <v>98.009578000000005</v>
      </c>
      <c r="J12">
        <v>125.25357980000001</v>
      </c>
      <c r="K12">
        <v>130.1370266849012</v>
      </c>
      <c r="L12">
        <v>131.01453685103255</v>
      </c>
      <c r="M12">
        <v>128.87728754538074</v>
      </c>
      <c r="N12">
        <v>146.20975062253922</v>
      </c>
      <c r="O12">
        <v>145.89364692770468</v>
      </c>
      <c r="P12">
        <v>127.00326274940028</v>
      </c>
      <c r="Q12">
        <v>134.85591856349311</v>
      </c>
      <c r="R12">
        <v>122.30000000000001</v>
      </c>
      <c r="S12">
        <v>127.884</v>
      </c>
      <c r="T12" s="9"/>
      <c r="U12" s="63"/>
    </row>
    <row r="13" spans="1:21" x14ac:dyDescent="0.2">
      <c r="A13" t="s">
        <v>169</v>
      </c>
      <c r="B13" t="s">
        <v>170</v>
      </c>
      <c r="C13" t="s">
        <v>46</v>
      </c>
      <c r="D13">
        <v>20190418</v>
      </c>
      <c r="E13">
        <v>133.308897</v>
      </c>
      <c r="F13">
        <v>132.79561799999999</v>
      </c>
      <c r="G13">
        <v>125.34544699999999</v>
      </c>
      <c r="H13">
        <v>131.729197</v>
      </c>
      <c r="I13">
        <v>88.990939999999995</v>
      </c>
      <c r="J13">
        <v>130.79478975000001</v>
      </c>
      <c r="K13">
        <v>127.56635800164617</v>
      </c>
      <c r="L13">
        <v>127.29066502116976</v>
      </c>
      <c r="M13">
        <v>130.30318442073829</v>
      </c>
      <c r="N13">
        <v>121.90983032705326</v>
      </c>
      <c r="O13">
        <v>116.1163796762802</v>
      </c>
      <c r="P13">
        <v>133.54157956281421</v>
      </c>
      <c r="Q13">
        <v>126.12133283495034</v>
      </c>
      <c r="R13">
        <v>128.9</v>
      </c>
      <c r="S13">
        <v>130.49199999999999</v>
      </c>
      <c r="T13" s="9"/>
      <c r="U13" s="63"/>
    </row>
    <row r="14" spans="1:21" x14ac:dyDescent="0.2">
      <c r="A14" t="s">
        <v>169</v>
      </c>
      <c r="B14" t="s">
        <v>170</v>
      </c>
      <c r="C14" t="s">
        <v>47</v>
      </c>
      <c r="D14">
        <v>20190718</v>
      </c>
      <c r="E14">
        <v>152.03584000000001</v>
      </c>
      <c r="F14">
        <v>152.60921400000001</v>
      </c>
      <c r="G14">
        <v>141.73346699999999</v>
      </c>
      <c r="H14">
        <v>109.413706</v>
      </c>
      <c r="I14">
        <v>112.555032</v>
      </c>
      <c r="J14">
        <v>133.66945179999999</v>
      </c>
      <c r="K14">
        <v>148.82323145528687</v>
      </c>
      <c r="L14">
        <v>149.96188769789077</v>
      </c>
      <c r="M14">
        <v>147.55289496685106</v>
      </c>
      <c r="N14">
        <v>108.38609547852933</v>
      </c>
      <c r="O14">
        <v>165.0452420858123</v>
      </c>
      <c r="P14">
        <v>133.36000721149213</v>
      </c>
      <c r="Q14">
        <v>142.18822648264373</v>
      </c>
      <c r="R14">
        <v>135.79999999999998</v>
      </c>
      <c r="S14">
        <v>136.113</v>
      </c>
      <c r="T14" s="9"/>
      <c r="U14" s="63"/>
    </row>
    <row r="15" spans="1:21" x14ac:dyDescent="0.2">
      <c r="A15" t="s">
        <v>169</v>
      </c>
      <c r="B15" t="s">
        <v>170</v>
      </c>
      <c r="C15" t="s">
        <v>48</v>
      </c>
      <c r="D15">
        <v>20191024</v>
      </c>
      <c r="E15">
        <v>94.655043000000006</v>
      </c>
      <c r="F15">
        <v>97.471470999999994</v>
      </c>
      <c r="G15">
        <v>91.806512999999995</v>
      </c>
      <c r="H15">
        <v>105.375084</v>
      </c>
      <c r="I15">
        <v>95.024423999999996</v>
      </c>
      <c r="J15">
        <v>96.866506999999999</v>
      </c>
      <c r="K15">
        <v>84.741741604209906</v>
      </c>
      <c r="L15">
        <v>86.93534279144508</v>
      </c>
      <c r="M15">
        <v>88.16590864858334</v>
      </c>
      <c r="N15">
        <v>131.08886749976278</v>
      </c>
      <c r="O15">
        <v>114.91320462608904</v>
      </c>
      <c r="P15">
        <v>98.637277925089847</v>
      </c>
      <c r="Q15">
        <v>100.74705718253</v>
      </c>
      <c r="R15">
        <v>135</v>
      </c>
      <c r="S15">
        <v>135.67099999999999</v>
      </c>
      <c r="T15" s="9"/>
      <c r="U15" s="63"/>
    </row>
    <row r="16" spans="1:21" x14ac:dyDescent="0.2">
      <c r="A16" t="s">
        <v>169</v>
      </c>
      <c r="B16" t="s">
        <v>170</v>
      </c>
      <c r="C16" t="s">
        <v>49</v>
      </c>
      <c r="D16" s="179">
        <v>20200220</v>
      </c>
      <c r="E16">
        <v>110.930729</v>
      </c>
      <c r="F16">
        <v>110.014741</v>
      </c>
      <c r="G16">
        <v>108.997287</v>
      </c>
      <c r="H16">
        <v>118.373457</v>
      </c>
      <c r="I16">
        <v>99.197293999999999</v>
      </c>
      <c r="J16">
        <f>AVERAGE(E16:H16)</f>
        <v>112.07905350000001</v>
      </c>
      <c r="K16">
        <v>205.13488307406925</v>
      </c>
      <c r="L16">
        <v>197.21066930579101</v>
      </c>
      <c r="M16">
        <v>206.78272885959629</v>
      </c>
      <c r="N16">
        <v>153.29902830120636</v>
      </c>
      <c r="O16">
        <v>143.18476608772707</v>
      </c>
      <c r="P16">
        <v>190.40989183673153</v>
      </c>
      <c r="Q16">
        <v>182.67032791085362</v>
      </c>
      <c r="R16">
        <v>142.9</v>
      </c>
      <c r="S16">
        <v>140.83999999999997</v>
      </c>
      <c r="T16" s="9"/>
      <c r="U16" s="63"/>
    </row>
    <row r="17" spans="1:21" x14ac:dyDescent="0.2">
      <c r="A17" t="s">
        <v>169</v>
      </c>
      <c r="B17" t="s">
        <v>170</v>
      </c>
      <c r="C17" t="s">
        <v>50</v>
      </c>
      <c r="D17">
        <v>20200416</v>
      </c>
      <c r="E17">
        <v>135.98390900000001</v>
      </c>
      <c r="F17">
        <v>135.41788700000001</v>
      </c>
      <c r="G17">
        <v>133.118709</v>
      </c>
      <c r="H17">
        <v>114.342084</v>
      </c>
      <c r="I17">
        <v>91.620923000000005</v>
      </c>
      <c r="J17">
        <v>129.71564724999999</v>
      </c>
      <c r="K17">
        <v>133.81884849142239</v>
      </c>
      <c r="L17">
        <v>134.61118522023969</v>
      </c>
      <c r="M17">
        <v>133.98753118674722</v>
      </c>
      <c r="N17">
        <v>135.25141270449942</v>
      </c>
      <c r="O17">
        <v>128.66950937204868</v>
      </c>
      <c r="P17">
        <v>134.38235999127966</v>
      </c>
      <c r="Q17">
        <v>133.45347449437284</v>
      </c>
      <c r="R17">
        <v>133.1</v>
      </c>
      <c r="S17">
        <v>133.48699999999999</v>
      </c>
      <c r="T17" s="9"/>
      <c r="U17" s="63"/>
    </row>
    <row r="18" spans="1:21" x14ac:dyDescent="0.2">
      <c r="A18" t="s">
        <v>169</v>
      </c>
      <c r="B18" t="s">
        <v>170</v>
      </c>
      <c r="C18" t="s">
        <v>51</v>
      </c>
      <c r="D18">
        <v>20200723</v>
      </c>
      <c r="E18">
        <v>121.959638</v>
      </c>
      <c r="F18">
        <v>122.063973</v>
      </c>
      <c r="G18">
        <v>112.878131</v>
      </c>
      <c r="H18">
        <v>117.48442900000001</v>
      </c>
      <c r="I18">
        <v>87.516847999999996</v>
      </c>
      <c r="J18">
        <v>118.59654275</v>
      </c>
      <c r="K18">
        <v>119.72023982415446</v>
      </c>
      <c r="L18">
        <v>120.32349584550082</v>
      </c>
      <c r="M18">
        <v>113.19042369015912</v>
      </c>
      <c r="N18">
        <v>137.15548488623838</v>
      </c>
      <c r="O18">
        <v>127.50757257680102</v>
      </c>
      <c r="P18">
        <v>122.04461865389375</v>
      </c>
      <c r="Q18">
        <v>123.32363924612459</v>
      </c>
      <c r="R18">
        <v>96.2</v>
      </c>
      <c r="S18">
        <v>112.30200000000001</v>
      </c>
      <c r="T18" s="9"/>
      <c r="U18" s="63"/>
    </row>
    <row r="19" spans="1:21" x14ac:dyDescent="0.2">
      <c r="A19" t="s">
        <v>169</v>
      </c>
      <c r="B19" t="s">
        <v>170</v>
      </c>
      <c r="C19" t="s">
        <v>52</v>
      </c>
      <c r="D19">
        <v>20201022</v>
      </c>
      <c r="E19">
        <v>140.20488700000001</v>
      </c>
      <c r="F19">
        <v>141.09629799999999</v>
      </c>
      <c r="G19">
        <v>138.69418300000001</v>
      </c>
      <c r="H19">
        <v>135.76226199999999</v>
      </c>
      <c r="I19">
        <v>100.283298</v>
      </c>
      <c r="J19">
        <v>138.93940750000002</v>
      </c>
      <c r="K19">
        <v>129.10245945362681</v>
      </c>
      <c r="L19">
        <v>129.81222934629531</v>
      </c>
      <c r="M19">
        <v>137.98628663745328</v>
      </c>
      <c r="N19">
        <v>129.77356809661987</v>
      </c>
      <c r="O19">
        <v>128.68396416648827</v>
      </c>
      <c r="P19">
        <v>131.56516184418879</v>
      </c>
      <c r="Q19">
        <v>131.15394492411207</v>
      </c>
      <c r="R19">
        <v>119.89999999999999</v>
      </c>
      <c r="S19">
        <v>136.01599999999999</v>
      </c>
      <c r="T19" s="9"/>
      <c r="U19" s="63"/>
    </row>
    <row r="20" spans="1:21" x14ac:dyDescent="0.2">
      <c r="A20" t="s">
        <v>169</v>
      </c>
      <c r="B20" t="s">
        <v>170</v>
      </c>
      <c r="C20" t="s">
        <v>53</v>
      </c>
      <c r="D20">
        <v>20210218</v>
      </c>
      <c r="E20">
        <v>150.810766</v>
      </c>
      <c r="F20">
        <v>149.81510399999999</v>
      </c>
      <c r="G20">
        <v>148.01122799999999</v>
      </c>
      <c r="H20">
        <v>139.65845899999999</v>
      </c>
      <c r="I20">
        <v>101.454444</v>
      </c>
      <c r="J20">
        <v>137.95000019999998</v>
      </c>
      <c r="K20">
        <v>146.30500824308641</v>
      </c>
      <c r="L20">
        <v>144.42087761695916</v>
      </c>
      <c r="M20">
        <v>145.15313297348595</v>
      </c>
      <c r="N20">
        <v>139.91947894433284</v>
      </c>
      <c r="O20">
        <v>137.60444590787188</v>
      </c>
      <c r="P20">
        <v>135.0474107009791</v>
      </c>
      <c r="Q20">
        <v>141.40839239778589</v>
      </c>
      <c r="R20">
        <v>136.4</v>
      </c>
      <c r="S20">
        <v>140.40700000000001</v>
      </c>
    </row>
    <row r="21" spans="1:21" x14ac:dyDescent="0.2">
      <c r="A21" t="s">
        <v>169</v>
      </c>
      <c r="B21" t="s">
        <v>170</v>
      </c>
      <c r="C21" t="s">
        <v>54</v>
      </c>
      <c r="D21">
        <v>20210422</v>
      </c>
      <c r="E21">
        <v>150.73002299999999</v>
      </c>
      <c r="F21">
        <v>148.06168099999999</v>
      </c>
      <c r="G21">
        <v>142.35799399999999</v>
      </c>
      <c r="H21">
        <v>137.45621600000001</v>
      </c>
      <c r="I21">
        <v>106.724689</v>
      </c>
      <c r="J21">
        <v>137.0661206</v>
      </c>
      <c r="K21">
        <v>140.33182710152803</v>
      </c>
      <c r="L21">
        <v>138.76368863427149</v>
      </c>
      <c r="M21">
        <v>135.04420667030749</v>
      </c>
      <c r="N21">
        <v>138.19295342441094</v>
      </c>
      <c r="O21">
        <v>147.70070997011231</v>
      </c>
      <c r="P21">
        <v>139.50737779762761</v>
      </c>
      <c r="Q21">
        <v>139.92346059970964</v>
      </c>
      <c r="R21">
        <v>126.89999999999999</v>
      </c>
      <c r="S21">
        <v>133.88900000000001</v>
      </c>
    </row>
    <row r="22" spans="1:21" x14ac:dyDescent="0.2">
      <c r="A22" t="s">
        <v>169</v>
      </c>
      <c r="B22" t="s">
        <v>170</v>
      </c>
      <c r="C22" t="s">
        <v>55</v>
      </c>
      <c r="D22">
        <v>20210722</v>
      </c>
      <c r="E22">
        <v>144.81261000000001</v>
      </c>
      <c r="F22">
        <v>145.165018</v>
      </c>
      <c r="G22">
        <v>139.06822700000001</v>
      </c>
      <c r="H22">
        <v>144.244575</v>
      </c>
      <c r="I22">
        <v>102.55372800000001</v>
      </c>
      <c r="J22">
        <v>135.1688316</v>
      </c>
      <c r="K22">
        <v>128.63273788719587</v>
      </c>
      <c r="L22">
        <v>131.2696098256645</v>
      </c>
      <c r="M22">
        <v>130.794943941139</v>
      </c>
      <c r="N22">
        <v>140.50118986379633</v>
      </c>
      <c r="O22">
        <v>128.65641696263927</v>
      </c>
      <c r="P22">
        <v>132.03568916134043</v>
      </c>
      <c r="Q22">
        <v>131.98176460696257</v>
      </c>
      <c r="R22">
        <v>134.05095</v>
      </c>
      <c r="S22">
        <v>151.26400000000001</v>
      </c>
    </row>
    <row r="23" spans="1:21" x14ac:dyDescent="0.2">
      <c r="A23" t="s">
        <v>169</v>
      </c>
      <c r="B23" t="s">
        <v>170</v>
      </c>
      <c r="C23" t="s">
        <v>71</v>
      </c>
      <c r="D23" s="12">
        <v>20211021</v>
      </c>
      <c r="E23">
        <v>146.850811306</v>
      </c>
      <c r="F23">
        <v>145.09213769399179</v>
      </c>
      <c r="G23">
        <v>137.31629660481769</v>
      </c>
      <c r="H23">
        <v>142.46863350199999</v>
      </c>
      <c r="I23">
        <v>93.728061778429961</v>
      </c>
      <c r="J23">
        <f>AVERAGE(E23:H23)</f>
        <v>142.93196977670237</v>
      </c>
      <c r="K23" s="95">
        <f>(E23/E22)*$S21</f>
        <v>135.77345422438719</v>
      </c>
      <c r="L23" s="95">
        <f>(F23/F22)*$S21</f>
        <v>133.82178083504158</v>
      </c>
      <c r="M23" s="95">
        <f>(G23/G22)*$S21</f>
        <v>132.20231560241606</v>
      </c>
      <c r="N23" s="95">
        <f t="shared" ref="N23:O23" si="0">(H23/H22)*$S21</f>
        <v>132.24055650584626</v>
      </c>
      <c r="O23" s="95">
        <f t="shared" si="0"/>
        <v>122.3666531503585</v>
      </c>
      <c r="P23" s="95">
        <f>(J23/J22)*$S21</f>
        <v>141.57863373461981</v>
      </c>
      <c r="Q23" s="95">
        <f>(K23/K22)*$S21</f>
        <v>141.32150423938444</v>
      </c>
      <c r="R23" s="6">
        <v>141.56800000000001</v>
      </c>
      <c r="S23" s="10"/>
    </row>
    <row r="24" spans="1:21" x14ac:dyDescent="0.2">
      <c r="A24" s="164" t="s">
        <v>75</v>
      </c>
      <c r="B24" s="165"/>
      <c r="C24" s="165"/>
      <c r="D24" s="165"/>
      <c r="E24" s="104">
        <f t="shared" ref="E24:Q24" si="1">CORREL(E$8:E$22,$S$8:$S$22)</f>
        <v>0.59648214907082753</v>
      </c>
      <c r="F24" s="105">
        <f t="shared" si="1"/>
        <v>0.61656280003259922</v>
      </c>
      <c r="G24" s="105">
        <f t="shared" si="1"/>
        <v>0.67176345869335585</v>
      </c>
      <c r="H24" s="104">
        <f t="shared" si="1"/>
        <v>0.68148962051177953</v>
      </c>
      <c r="I24" s="105">
        <f t="shared" si="1"/>
        <v>0.87091728643174426</v>
      </c>
      <c r="J24" s="105">
        <f>CORREL(J$8:J$22,$S$8:$S$22)</f>
        <v>0.64793228220861609</v>
      </c>
      <c r="K24" s="104">
        <f t="shared" si="1"/>
        <v>0.49663670210202532</v>
      </c>
      <c r="L24" s="104">
        <f t="shared" si="1"/>
        <v>0.5209182334955389</v>
      </c>
      <c r="M24" s="104">
        <f t="shared" si="1"/>
        <v>0.53430620988132671</v>
      </c>
      <c r="N24" s="104">
        <f t="shared" si="1"/>
        <v>0.64821466070041145</v>
      </c>
      <c r="O24" s="104">
        <f t="shared" si="1"/>
        <v>0.6233961920565444</v>
      </c>
      <c r="P24" s="104">
        <f t="shared" si="1"/>
        <v>0.561866433947522</v>
      </c>
      <c r="Q24" s="104">
        <f t="shared" si="1"/>
        <v>0.60773062289432755</v>
      </c>
      <c r="R24" s="105">
        <f>CORREL(R$8:R$22,$S$8:$S$22)</f>
        <v>0.89577647532082394</v>
      </c>
      <c r="S24" s="5"/>
    </row>
    <row r="26" spans="1:21" x14ac:dyDescent="0.2">
      <c r="A26" s="167" t="s">
        <v>77</v>
      </c>
      <c r="B26" s="168"/>
    </row>
    <row r="27" spans="1:21" x14ac:dyDescent="0.2">
      <c r="A27" s="17" t="s">
        <v>56</v>
      </c>
      <c r="B27" s="17" t="s">
        <v>57</v>
      </c>
      <c r="C27" s="17" t="s">
        <v>68</v>
      </c>
      <c r="D27" s="17" t="s">
        <v>58</v>
      </c>
      <c r="E27" s="17" t="s">
        <v>59</v>
      </c>
      <c r="F27" s="17" t="s">
        <v>69</v>
      </c>
      <c r="G27" s="17" t="s">
        <v>60</v>
      </c>
      <c r="H27" s="17" t="s">
        <v>61</v>
      </c>
      <c r="I27" s="17" t="s">
        <v>70</v>
      </c>
      <c r="J27" s="17" t="s">
        <v>62</v>
      </c>
      <c r="K27" s="17" t="s">
        <v>63</v>
      </c>
      <c r="L27" s="17" t="s">
        <v>73</v>
      </c>
      <c r="M27" s="17" t="s">
        <v>64</v>
      </c>
      <c r="N27" s="17" t="s">
        <v>65</v>
      </c>
      <c r="O27" s="17" t="s">
        <v>74</v>
      </c>
      <c r="P27" s="17" t="s">
        <v>66</v>
      </c>
      <c r="Q27" s="17" t="s">
        <v>67</v>
      </c>
      <c r="R27" s="17" t="s">
        <v>0</v>
      </c>
    </row>
    <row r="28" spans="1:21" x14ac:dyDescent="0.2">
      <c r="A28" s="9" t="str">
        <f t="shared" ref="A28:D28" si="2">A7</f>
        <v>MMSI_CARDIO</v>
      </c>
      <c r="B28" s="9" t="str">
        <f t="shared" si="2"/>
        <v>Cardiovascular</v>
      </c>
      <c r="C28" s="9" t="str">
        <f t="shared" si="2"/>
        <v>2017Q3</v>
      </c>
      <c r="D28" s="9">
        <f t="shared" si="2"/>
        <v>20171019</v>
      </c>
      <c r="E28" s="18">
        <f t="shared" ref="E28:R28" si="3">$S7/E7-1</f>
        <v>4.6354209976440242E-2</v>
      </c>
      <c r="F28" s="18">
        <f t="shared" si="3"/>
        <v>5.867468691219524E-2</v>
      </c>
      <c r="G28" s="18">
        <f t="shared" si="3"/>
        <v>0.14961769939055714</v>
      </c>
      <c r="H28" s="18">
        <f t="shared" si="3"/>
        <v>9.1572419088811419E-2</v>
      </c>
      <c r="I28" s="18">
        <f t="shared" si="3"/>
        <v>0.48219017501437711</v>
      </c>
      <c r="J28" s="18">
        <f t="shared" si="3"/>
        <v>8.5116378596949538E-2</v>
      </c>
      <c r="K28" s="18"/>
      <c r="L28" s="18"/>
      <c r="M28" s="18"/>
      <c r="N28" s="18"/>
      <c r="O28" s="18"/>
      <c r="P28" s="18"/>
      <c r="Q28" s="18"/>
      <c r="R28" s="41">
        <f t="shared" si="3"/>
        <v>-3.2980000000000009E-2</v>
      </c>
    </row>
    <row r="29" spans="1:21" x14ac:dyDescent="0.2">
      <c r="A29" s="9" t="str">
        <f>A8</f>
        <v>MMSI_CARDIO</v>
      </c>
      <c r="B29" s="9" t="str">
        <f t="shared" ref="B29:D30" si="4">B8</f>
        <v>Cardiovascular</v>
      </c>
      <c r="C29" s="9" t="str">
        <f t="shared" si="4"/>
        <v>2017Q4</v>
      </c>
      <c r="D29" s="9">
        <f t="shared" si="4"/>
        <v>20180222</v>
      </c>
      <c r="E29" s="18">
        <f t="shared" ref="E29:R30" si="5">$S8/E8-1</f>
        <v>-6.7415184730886812E-3</v>
      </c>
      <c r="F29" s="18">
        <f t="shared" si="5"/>
        <v>-5.0204337222626849E-3</v>
      </c>
      <c r="G29" s="18">
        <f t="shared" si="5"/>
        <v>5.8075819005610319E-2</v>
      </c>
      <c r="H29" s="18">
        <f t="shared" si="5"/>
        <v>3.8715781337332222E-2</v>
      </c>
      <c r="I29" s="18">
        <f t="shared" si="5"/>
        <v>0.49508531054218774</v>
      </c>
      <c r="J29" s="18">
        <f t="shared" si="5"/>
        <v>2.0493510500806833E-2</v>
      </c>
      <c r="K29" s="18">
        <f t="shared" si="5"/>
        <v>-5.0743551221267835E-2</v>
      </c>
      <c r="L29" s="18">
        <f t="shared" si="5"/>
        <v>-6.0164960418800151E-2</v>
      </c>
      <c r="M29" s="18">
        <f t="shared" si="5"/>
        <v>-7.9628106311755209E-2</v>
      </c>
      <c r="N29" s="18">
        <f t="shared" si="5"/>
        <v>-4.8422474612908606E-2</v>
      </c>
      <c r="O29" s="18">
        <f t="shared" si="5"/>
        <v>8.7000546523561262E-3</v>
      </c>
      <c r="P29" s="18">
        <f t="shared" si="5"/>
        <v>-5.9553859264109277E-2</v>
      </c>
      <c r="Q29" s="18">
        <f t="shared" si="5"/>
        <v>-4.9064553304721148E-2</v>
      </c>
      <c r="R29" s="41">
        <f t="shared" si="5"/>
        <v>-1.3503937007874112E-2</v>
      </c>
    </row>
    <row r="30" spans="1:21" x14ac:dyDescent="0.2">
      <c r="A30" s="9" t="str">
        <f>A9</f>
        <v>MMSI_CARDIO</v>
      </c>
      <c r="B30" s="9" t="str">
        <f t="shared" si="4"/>
        <v>Cardiovascular</v>
      </c>
      <c r="C30" s="9" t="str">
        <f t="shared" si="4"/>
        <v>2018Q1</v>
      </c>
      <c r="D30" s="9">
        <f t="shared" si="4"/>
        <v>20180419</v>
      </c>
      <c r="E30" s="18">
        <f t="shared" ref="E30:E40" si="6">$S9/E9-1</f>
        <v>-2.9628731494891425E-2</v>
      </c>
      <c r="F30" s="18">
        <f t="shared" si="5"/>
        <v>-2.5627663683064572E-2</v>
      </c>
      <c r="G30" s="18">
        <f t="shared" si="5"/>
        <v>6.7595655792345832E-2</v>
      </c>
      <c r="H30" s="18">
        <f t="shared" si="5"/>
        <v>8.8325003522800039E-3</v>
      </c>
      <c r="I30" s="18">
        <f t="shared" si="5"/>
        <v>0.47937432723194418</v>
      </c>
      <c r="J30" s="18">
        <f t="shared" si="5"/>
        <v>3.8235240636717016E-3</v>
      </c>
      <c r="K30" s="18">
        <f t="shared" ref="K30:Q30" si="7">$S9/K9-1</f>
        <v>-2.3042554830862039E-2</v>
      </c>
      <c r="L30" s="18">
        <f t="shared" si="7"/>
        <v>-2.0711209213968407E-2</v>
      </c>
      <c r="M30" s="18">
        <f t="shared" si="7"/>
        <v>8.9973106045295737E-3</v>
      </c>
      <c r="N30" s="18">
        <f t="shared" si="7"/>
        <v>-2.8769449277624148E-2</v>
      </c>
      <c r="O30" s="18">
        <f t="shared" si="7"/>
        <v>-1.050841928514834E-2</v>
      </c>
      <c r="P30" s="18">
        <f t="shared" si="7"/>
        <v>-1.633522042580593E-2</v>
      </c>
      <c r="Q30" s="18">
        <f t="shared" si="7"/>
        <v>-1.5209490304010642E-2</v>
      </c>
      <c r="R30" s="41">
        <f>$S9/R9-1</f>
        <v>-9.2507204610952076E-3</v>
      </c>
    </row>
    <row r="31" spans="1:21" x14ac:dyDescent="0.2">
      <c r="A31" s="9" t="str">
        <f t="shared" ref="A31:D31" si="8">A10</f>
        <v>MMSI_CARDIO</v>
      </c>
      <c r="B31" s="9" t="str">
        <f t="shared" si="8"/>
        <v>Cardiovascular</v>
      </c>
      <c r="C31" s="9" t="str">
        <f t="shared" si="8"/>
        <v>2018Q2</v>
      </c>
      <c r="D31" s="9">
        <f t="shared" si="8"/>
        <v>20180719</v>
      </c>
      <c r="E31" s="18">
        <f t="shared" si="6"/>
        <v>4.6697299926061531E-2</v>
      </c>
      <c r="F31" s="18">
        <f t="shared" ref="F31:J31" si="9">$S10/F10-1</f>
        <v>5.9872732176309063E-2</v>
      </c>
      <c r="G31" s="18">
        <f t="shared" si="9"/>
        <v>8.8384831259088914E-2</v>
      </c>
      <c r="H31" s="18">
        <f t="shared" si="9"/>
        <v>8.8119647138449997E-2</v>
      </c>
      <c r="I31" s="18">
        <f t="shared" si="9"/>
        <v>0.56612303700289446</v>
      </c>
      <c r="J31" s="18">
        <f t="shared" si="9"/>
        <v>7.0461865819798852E-2</v>
      </c>
      <c r="K31" s="18">
        <f t="shared" ref="K31:Q31" si="10">$S10/K10-1</f>
        <v>7.8656524464637112E-2</v>
      </c>
      <c r="L31" s="18">
        <f t="shared" si="10"/>
        <v>8.774920292027133E-2</v>
      </c>
      <c r="M31" s="18">
        <f t="shared" si="10"/>
        <v>1.9472892526257057E-2</v>
      </c>
      <c r="N31" s="18">
        <f t="shared" si="10"/>
        <v>7.8592974312865049E-2</v>
      </c>
      <c r="O31" s="18">
        <f t="shared" si="10"/>
        <v>5.8638782743557494E-2</v>
      </c>
      <c r="P31" s="18">
        <f t="shared" si="10"/>
        <v>6.6384518950465043E-2</v>
      </c>
      <c r="Q31" s="18">
        <f t="shared" si="10"/>
        <v>6.4433928443161648E-2</v>
      </c>
      <c r="R31" s="41">
        <f t="shared" ref="R31:R38" si="11">$S10/R10-1</f>
        <v>1.2393385552654346E-2</v>
      </c>
    </row>
    <row r="32" spans="1:21" x14ac:dyDescent="0.2">
      <c r="A32" s="9" t="str">
        <f t="shared" ref="A32:D32" si="12">A11</f>
        <v>MMSI_CARDIO</v>
      </c>
      <c r="B32" s="9" t="str">
        <f t="shared" si="12"/>
        <v>Cardiovascular</v>
      </c>
      <c r="C32" s="9" t="str">
        <f t="shared" si="12"/>
        <v>2018Q3</v>
      </c>
      <c r="D32" s="9">
        <f t="shared" si="12"/>
        <v>20181018</v>
      </c>
      <c r="E32" s="18">
        <f t="shared" si="6"/>
        <v>-2.6218118410023861E-2</v>
      </c>
      <c r="F32" s="18">
        <f t="shared" ref="F32:J32" si="13">$S11/F11-1</f>
        <v>-1.7989604699205186E-2</v>
      </c>
      <c r="G32" s="18">
        <f t="shared" si="13"/>
        <v>4.7626899510011533E-2</v>
      </c>
      <c r="H32" s="18">
        <f t="shared" si="13"/>
        <v>5.8075862081202301E-2</v>
      </c>
      <c r="I32" s="18">
        <f t="shared" si="13"/>
        <v>0.48856519847177249</v>
      </c>
      <c r="J32" s="18">
        <f t="shared" si="13"/>
        <v>1.396912529122174E-2</v>
      </c>
      <c r="K32" s="18">
        <f t="shared" ref="K32:Q32" si="14">$S11/K11-1</f>
        <v>-6.9662373583304404E-2</v>
      </c>
      <c r="L32" s="18">
        <f t="shared" si="14"/>
        <v>-7.346385515139553E-2</v>
      </c>
      <c r="M32" s="18">
        <f t="shared" si="14"/>
        <v>-3.7448088744425845E-2</v>
      </c>
      <c r="N32" s="18">
        <f t="shared" si="14"/>
        <v>-2.7610736683467585E-2</v>
      </c>
      <c r="O32" s="18">
        <f t="shared" si="14"/>
        <v>-4.9522187400771078E-2</v>
      </c>
      <c r="P32" s="18">
        <f t="shared" si="14"/>
        <v>-5.2774173777141442E-2</v>
      </c>
      <c r="Q32" s="18">
        <f t="shared" si="14"/>
        <v>-5.202546167475941E-2</v>
      </c>
      <c r="R32" s="41">
        <f t="shared" si="11"/>
        <v>3.0679012345679046E-2</v>
      </c>
    </row>
    <row r="33" spans="1:18" x14ac:dyDescent="0.2">
      <c r="A33" s="9" t="str">
        <f t="shared" ref="A33:D33" si="15">A12</f>
        <v>MMSI_CARDIO</v>
      </c>
      <c r="B33" s="9" t="str">
        <f t="shared" si="15"/>
        <v>Cardiovascular</v>
      </c>
      <c r="C33" s="9" t="str">
        <f t="shared" si="15"/>
        <v>2018Q4</v>
      </c>
      <c r="D33" s="9">
        <f t="shared" si="15"/>
        <v>20190221</v>
      </c>
      <c r="E33" s="18">
        <f t="shared" si="6"/>
        <v>-4.3076937305646101E-2</v>
      </c>
      <c r="F33" s="18">
        <f t="shared" ref="F33:J33" si="16">$S12/F12-1</f>
        <v>-4.1454327045868711E-2</v>
      </c>
      <c r="G33" s="18">
        <f t="shared" si="16"/>
        <v>3.9552592769789952E-2</v>
      </c>
      <c r="H33" s="18">
        <f t="shared" si="16"/>
        <v>-7.4542067336421658E-2</v>
      </c>
      <c r="I33" s="18">
        <f t="shared" si="16"/>
        <v>0.30481125018209942</v>
      </c>
      <c r="J33" s="18">
        <f t="shared" si="16"/>
        <v>2.1000758654564189E-2</v>
      </c>
      <c r="K33" s="18">
        <f t="shared" ref="K33:Q33" si="17">$S12/K12-1</f>
        <v>-1.7312725995779932E-2</v>
      </c>
      <c r="L33" s="18">
        <f t="shared" si="17"/>
        <v>-2.3894576329282158E-2</v>
      </c>
      <c r="M33" s="18">
        <f t="shared" si="17"/>
        <v>-7.7072350318591054E-3</v>
      </c>
      <c r="N33" s="18">
        <f t="shared" si="17"/>
        <v>-0.1253387721715612</v>
      </c>
      <c r="O33" s="18">
        <f t="shared" si="17"/>
        <v>-0.12344366808946161</v>
      </c>
      <c r="P33" s="18">
        <f t="shared" si="17"/>
        <v>6.9347608205749811E-3</v>
      </c>
      <c r="Q33" s="18">
        <f t="shared" si="17"/>
        <v>-5.1699018016851617E-2</v>
      </c>
      <c r="R33" s="41">
        <f t="shared" si="11"/>
        <v>4.5658217497955844E-2</v>
      </c>
    </row>
    <row r="34" spans="1:18" x14ac:dyDescent="0.2">
      <c r="A34" s="9" t="str">
        <f t="shared" ref="A34:D34" si="18">A13</f>
        <v>MMSI_CARDIO</v>
      </c>
      <c r="B34" s="9" t="str">
        <f t="shared" si="18"/>
        <v>Cardiovascular</v>
      </c>
      <c r="C34" s="9" t="str">
        <f t="shared" si="18"/>
        <v>2019Q1</v>
      </c>
      <c r="D34" s="9">
        <f t="shared" si="18"/>
        <v>20190418</v>
      </c>
      <c r="E34" s="18">
        <f t="shared" si="6"/>
        <v>-2.1130600157917567E-2</v>
      </c>
      <c r="F34" s="18">
        <f t="shared" ref="F34:J34" si="19">$S13/F13-1</f>
        <v>-1.7347093486172138E-2</v>
      </c>
      <c r="G34" s="18">
        <f t="shared" si="19"/>
        <v>4.1058954458872421E-2</v>
      </c>
      <c r="H34" s="18">
        <f t="shared" si="19"/>
        <v>-9.3919725328622805E-3</v>
      </c>
      <c r="I34" s="18">
        <f t="shared" si="19"/>
        <v>0.46635151848042056</v>
      </c>
      <c r="J34" s="18">
        <f t="shared" si="19"/>
        <v>-2.3149985605601664E-3</v>
      </c>
      <c r="K34" s="18">
        <f t="shared" ref="K34:Q34" si="20">$S13/K13-1</f>
        <v>2.2934275495394063E-2</v>
      </c>
      <c r="L34" s="18">
        <f t="shared" si="20"/>
        <v>2.5149801662972093E-2</v>
      </c>
      <c r="M34" s="18">
        <f t="shared" si="20"/>
        <v>1.4490480804523198E-3</v>
      </c>
      <c r="N34" s="18">
        <f t="shared" si="20"/>
        <v>7.0397683680823331E-2</v>
      </c>
      <c r="O34" s="18">
        <f t="shared" si="20"/>
        <v>0.12380355264087162</v>
      </c>
      <c r="P34" s="18">
        <f t="shared" si="20"/>
        <v>-2.2836180108082194E-2</v>
      </c>
      <c r="Q34" s="18">
        <f t="shared" si="20"/>
        <v>3.4654463815168901E-2</v>
      </c>
      <c r="R34" s="41">
        <f t="shared" si="11"/>
        <v>1.2350659425911514E-2</v>
      </c>
    </row>
    <row r="35" spans="1:18" x14ac:dyDescent="0.2">
      <c r="A35" s="9" t="str">
        <f t="shared" ref="A35:D35" si="21">A14</f>
        <v>MMSI_CARDIO</v>
      </c>
      <c r="B35" s="9" t="str">
        <f t="shared" si="21"/>
        <v>Cardiovascular</v>
      </c>
      <c r="C35" s="9" t="str">
        <f t="shared" si="21"/>
        <v>2019Q2</v>
      </c>
      <c r="D35" s="9">
        <f t="shared" si="21"/>
        <v>20190718</v>
      </c>
      <c r="E35" s="18">
        <f t="shared" si="6"/>
        <v>-0.10473083188806009</v>
      </c>
      <c r="F35" s="18">
        <f t="shared" ref="F35:J35" si="22">$S14/F14-1</f>
        <v>-0.1080944824209632</v>
      </c>
      <c r="G35" s="18">
        <f>$S14/G14-1</f>
        <v>-3.9655186026035683E-2</v>
      </c>
      <c r="H35" s="18">
        <f t="shared" si="22"/>
        <v>0.24402147570067689</v>
      </c>
      <c r="I35" s="18">
        <f t="shared" si="22"/>
        <v>0.20930177515297577</v>
      </c>
      <c r="J35" s="18">
        <f t="shared" si="22"/>
        <v>1.8280528326368284E-2</v>
      </c>
      <c r="K35" s="18">
        <f t="shared" ref="K35:Q35" si="23">$S14/K14-1</f>
        <v>-8.5404888275830704E-2</v>
      </c>
      <c r="L35" s="18">
        <f t="shared" si="23"/>
        <v>-9.234938230299139E-2</v>
      </c>
      <c r="M35" s="18">
        <f t="shared" si="23"/>
        <v>-7.7530806626471938E-2</v>
      </c>
      <c r="N35" s="18">
        <f t="shared" si="23"/>
        <v>0.25581606569602111</v>
      </c>
      <c r="O35" s="18">
        <f t="shared" si="23"/>
        <v>-0.17529885575719595</v>
      </c>
      <c r="P35" s="18">
        <f t="shared" si="23"/>
        <v>2.0643316134063783E-2</v>
      </c>
      <c r="Q35" s="18">
        <f t="shared" si="23"/>
        <v>-4.2726649265755534E-2</v>
      </c>
      <c r="R35" s="41">
        <f t="shared" si="11"/>
        <v>2.3048600883652792E-3</v>
      </c>
    </row>
    <row r="36" spans="1:18" x14ac:dyDescent="0.2">
      <c r="A36" s="9" t="str">
        <f t="shared" ref="A36:D36" si="24">A15</f>
        <v>MMSI_CARDIO</v>
      </c>
      <c r="B36" s="9" t="str">
        <f t="shared" si="24"/>
        <v>Cardiovascular</v>
      </c>
      <c r="C36" s="9" t="str">
        <f t="shared" si="24"/>
        <v>2019Q3</v>
      </c>
      <c r="D36" s="9">
        <f t="shared" si="24"/>
        <v>20191024</v>
      </c>
      <c r="E36" s="18">
        <f t="shared" si="6"/>
        <v>0.43332035673999947</v>
      </c>
      <c r="F36" s="18">
        <f t="shared" ref="F36:J36" si="25">$S15/F15-1</f>
        <v>0.3919047143548291</v>
      </c>
      <c r="G36" s="18">
        <f>$S15/G15-1</f>
        <v>0.47779275747026784</v>
      </c>
      <c r="H36" s="18">
        <f t="shared" si="25"/>
        <v>0.28750549797900993</v>
      </c>
      <c r="I36" s="18">
        <f t="shared" si="25"/>
        <v>0.42774872279152154</v>
      </c>
      <c r="J36" s="18">
        <f t="shared" si="25"/>
        <v>0.40059762865197568</v>
      </c>
      <c r="K36" s="18">
        <f t="shared" ref="K36:Q36" si="26">$S15/K15-1</f>
        <v>0.60099376566577378</v>
      </c>
      <c r="L36" s="18">
        <f t="shared" si="26"/>
        <v>0.56059659562705222</v>
      </c>
      <c r="M36" s="18">
        <f t="shared" si="26"/>
        <v>0.53881474233725801</v>
      </c>
      <c r="N36" s="18">
        <f t="shared" si="26"/>
        <v>3.495439839882275E-2</v>
      </c>
      <c r="O36" s="18">
        <f t="shared" si="26"/>
        <v>0.18063890430567842</v>
      </c>
      <c r="P36" s="18">
        <f t="shared" si="26"/>
        <v>0.37545360997325394</v>
      </c>
      <c r="Q36" s="18">
        <f t="shared" si="26"/>
        <v>0.34664975627224548</v>
      </c>
      <c r="R36" s="41">
        <f t="shared" si="11"/>
        <v>4.9703703703702917E-3</v>
      </c>
    </row>
    <row r="37" spans="1:18" x14ac:dyDescent="0.2">
      <c r="A37" s="9" t="str">
        <f t="shared" ref="A37:D37" si="27">A16</f>
        <v>MMSI_CARDIO</v>
      </c>
      <c r="B37" s="9" t="str">
        <f t="shared" si="27"/>
        <v>Cardiovascular</v>
      </c>
      <c r="C37" s="9" t="str">
        <f t="shared" si="27"/>
        <v>2019Q4</v>
      </c>
      <c r="D37" s="9">
        <f t="shared" si="27"/>
        <v>20200220</v>
      </c>
      <c r="E37" s="18">
        <f t="shared" si="6"/>
        <v>0.26962115249418384</v>
      </c>
      <c r="F37" s="18">
        <f t="shared" ref="F37:J37" si="28">$S16/F16-1</f>
        <v>0.28019207898694209</v>
      </c>
      <c r="G37" s="18">
        <f t="shared" si="28"/>
        <v>0.29214225304525221</v>
      </c>
      <c r="H37" s="18">
        <f t="shared" si="28"/>
        <v>0.18979375587552516</v>
      </c>
      <c r="I37" s="18">
        <f t="shared" si="28"/>
        <v>0.4197967940536762</v>
      </c>
      <c r="J37" s="18">
        <f t="shared" si="28"/>
        <v>0.25661303876018149</v>
      </c>
      <c r="K37" s="18">
        <f t="shared" ref="K37:Q37" si="29">$S16/K16-1</f>
        <v>-0.31342735136302458</v>
      </c>
      <c r="L37" s="18">
        <f t="shared" si="29"/>
        <v>-0.28583985594807637</v>
      </c>
      <c r="M37" s="18">
        <f t="shared" si="29"/>
        <v>-0.31889862960639648</v>
      </c>
      <c r="N37" s="18">
        <f t="shared" si="29"/>
        <v>-8.1272715419477559E-2</v>
      </c>
      <c r="O37" s="18">
        <f t="shared" si="29"/>
        <v>-1.6375806950653438E-2</v>
      </c>
      <c r="P37" s="18">
        <f t="shared" si="29"/>
        <v>-0.26033254553411356</v>
      </c>
      <c r="Q37" s="18">
        <f t="shared" si="29"/>
        <v>-0.22899355570910007</v>
      </c>
      <c r="R37" s="41">
        <f t="shared" si="11"/>
        <v>-1.4415675297410946E-2</v>
      </c>
    </row>
    <row r="38" spans="1:18" x14ac:dyDescent="0.2">
      <c r="A38" s="9" t="str">
        <f t="shared" ref="A38:D38" si="30">A17</f>
        <v>MMSI_CARDIO</v>
      </c>
      <c r="B38" s="9" t="str">
        <f t="shared" si="30"/>
        <v>Cardiovascular</v>
      </c>
      <c r="C38" s="9" t="str">
        <f t="shared" si="30"/>
        <v>2020Q1</v>
      </c>
      <c r="D38" s="9">
        <f t="shared" si="30"/>
        <v>20200416</v>
      </c>
      <c r="E38" s="18">
        <f t="shared" si="6"/>
        <v>-1.8361797497673193E-2</v>
      </c>
      <c r="F38" s="18">
        <f t="shared" ref="F38:J38" si="31">$S17/F17-1</f>
        <v>-1.4258729350872357E-2</v>
      </c>
      <c r="G38" s="18">
        <f t="shared" ref="G38:G43" si="32">$S17/G17-1</f>
        <v>2.7666359054008272E-3</v>
      </c>
      <c r="H38" s="18">
        <f t="shared" si="31"/>
        <v>0.16743542998569105</v>
      </c>
      <c r="I38" s="18">
        <f t="shared" si="31"/>
        <v>0.45694886745465313</v>
      </c>
      <c r="J38" s="18">
        <f t="shared" si="31"/>
        <v>2.9074000168472391E-2</v>
      </c>
      <c r="K38" s="18">
        <f t="shared" ref="K38:Q38" si="33">$S17/K17-1</f>
        <v>-2.4798337092525324E-3</v>
      </c>
      <c r="L38" s="18">
        <f t="shared" si="33"/>
        <v>-8.3513507321133496E-3</v>
      </c>
      <c r="M38" s="18">
        <f t="shared" si="33"/>
        <v>-3.7356549696374586E-3</v>
      </c>
      <c r="N38" s="18">
        <f t="shared" si="33"/>
        <v>-1.3045429021538935E-2</v>
      </c>
      <c r="O38" s="18">
        <f t="shared" si="33"/>
        <v>3.7440809803832575E-2</v>
      </c>
      <c r="P38" s="18">
        <f t="shared" si="33"/>
        <v>-6.6627791872219122E-3</v>
      </c>
      <c r="Q38" s="18">
        <f t="shared" si="33"/>
        <v>2.5121493280089169E-4</v>
      </c>
      <c r="R38" s="41">
        <f t="shared" si="11"/>
        <v>2.907588279489115E-3</v>
      </c>
    </row>
    <row r="39" spans="1:18" x14ac:dyDescent="0.2">
      <c r="A39" s="9" t="str">
        <f t="shared" ref="A39:D39" si="34">A18</f>
        <v>MMSI_CARDIO</v>
      </c>
      <c r="B39" s="9" t="str">
        <f t="shared" si="34"/>
        <v>Cardiovascular</v>
      </c>
      <c r="C39" s="9" t="str">
        <f t="shared" si="34"/>
        <v>2020Q2</v>
      </c>
      <c r="D39" s="9">
        <f t="shared" si="34"/>
        <v>20200723</v>
      </c>
      <c r="E39" s="18">
        <f t="shared" si="6"/>
        <v>-7.9187165183287833E-2</v>
      </c>
      <c r="F39" s="18">
        <f t="shared" ref="F39:J39" si="35">$S18/F18-1</f>
        <v>-7.9974236132720367E-2</v>
      </c>
      <c r="G39" s="18">
        <f t="shared" si="32"/>
        <v>-5.1040090307660213E-3</v>
      </c>
      <c r="H39" s="18">
        <f t="shared" si="35"/>
        <v>-4.4111624358322388E-2</v>
      </c>
      <c r="I39" s="18">
        <f t="shared" si="35"/>
        <v>0.28320434940709949</v>
      </c>
      <c r="J39" s="18">
        <f t="shared" si="35"/>
        <v>-5.3075263443967402E-2</v>
      </c>
      <c r="K39" s="18">
        <f t="shared" ref="K39:Q39" si="36">$S18/K18-1</f>
        <v>-6.1963121983804825E-2</v>
      </c>
      <c r="L39" s="18">
        <f t="shared" si="36"/>
        <v>-6.6666080378853576E-2</v>
      </c>
      <c r="M39" s="18">
        <f t="shared" si="36"/>
        <v>-7.848929805148841E-3</v>
      </c>
      <c r="N39" s="18">
        <f t="shared" si="36"/>
        <v>-0.1812066422779427</v>
      </c>
      <c r="O39" s="18">
        <f t="shared" si="36"/>
        <v>-0.11925231003548686</v>
      </c>
      <c r="P39" s="18">
        <f t="shared" si="36"/>
        <v>-7.9828334598863626E-2</v>
      </c>
      <c r="Q39" s="18">
        <f t="shared" si="36"/>
        <v>-8.9371667212382655E-2</v>
      </c>
      <c r="R39" s="41">
        <f t="shared" ref="R39" si="37">$S18/R18-1</f>
        <v>0.16738045738045737</v>
      </c>
    </row>
    <row r="40" spans="1:18" x14ac:dyDescent="0.2">
      <c r="A40" s="9" t="str">
        <f t="shared" ref="A40:D40" si="38">A19</f>
        <v>MMSI_CARDIO</v>
      </c>
      <c r="B40" s="9" t="str">
        <f t="shared" si="38"/>
        <v>Cardiovascular</v>
      </c>
      <c r="C40" s="9" t="str">
        <f t="shared" si="38"/>
        <v>2020Q3</v>
      </c>
      <c r="D40" s="9">
        <f t="shared" si="38"/>
        <v>20201022</v>
      </c>
      <c r="E40" s="18">
        <f t="shared" si="6"/>
        <v>-2.987689722969511E-2</v>
      </c>
      <c r="F40" s="18">
        <f t="shared" ref="F40:I40" si="39">$S19/F19-1</f>
        <v>-3.6005891522398414E-2</v>
      </c>
      <c r="G40" s="18">
        <f t="shared" si="32"/>
        <v>-1.9309987932226491E-2</v>
      </c>
      <c r="H40" s="18">
        <f t="shared" si="39"/>
        <v>1.8689877161888191E-3</v>
      </c>
      <c r="I40" s="18">
        <f t="shared" si="39"/>
        <v>0.35631757942384379</v>
      </c>
      <c r="J40" s="18">
        <f>$S19/J19-1</f>
        <v>-2.1040880716293731E-2</v>
      </c>
      <c r="K40" s="18">
        <f t="shared" ref="K40:Q40" si="40">$S19/K19-1</f>
        <v>5.3550804342782587E-2</v>
      </c>
      <c r="L40" s="18">
        <f t="shared" si="40"/>
        <v>4.7790340593836467E-2</v>
      </c>
      <c r="M40" s="18">
        <f t="shared" si="40"/>
        <v>-1.4278858323291455E-2</v>
      </c>
      <c r="N40" s="18">
        <f t="shared" si="40"/>
        <v>4.8102491092272937E-2</v>
      </c>
      <c r="O40" s="18">
        <f t="shared" si="40"/>
        <v>5.6977074657303062E-2</v>
      </c>
      <c r="P40" s="18">
        <f t="shared" si="40"/>
        <v>3.3829914343755263E-2</v>
      </c>
      <c r="Q40" s="18">
        <f t="shared" si="40"/>
        <v>3.7071359757430145E-2</v>
      </c>
      <c r="R40" s="41">
        <f>$S19/R19-1</f>
        <v>0.13441201000834035</v>
      </c>
    </row>
    <row r="41" spans="1:18" x14ac:dyDescent="0.2">
      <c r="A41" s="9" t="str">
        <f t="shared" ref="A41:D41" si="41">A20</f>
        <v>MMSI_CARDIO</v>
      </c>
      <c r="B41" s="9" t="str">
        <f t="shared" si="41"/>
        <v>Cardiovascular</v>
      </c>
      <c r="C41" s="9" t="str">
        <f t="shared" si="41"/>
        <v>2020Q4</v>
      </c>
      <c r="D41" s="9">
        <f t="shared" si="41"/>
        <v>20210218</v>
      </c>
      <c r="E41" s="18">
        <f t="shared" ref="E41:I41" si="42">$S20/E20-1</f>
        <v>-6.8985565659151926E-2</v>
      </c>
      <c r="F41" s="18">
        <f t="shared" si="42"/>
        <v>-6.2798100784283939E-2</v>
      </c>
      <c r="G41" s="18">
        <f t="shared" si="32"/>
        <v>-5.1376021284006756E-2</v>
      </c>
      <c r="H41" s="18">
        <f t="shared" si="42"/>
        <v>5.3597970746621648E-3</v>
      </c>
      <c r="I41" s="18">
        <f t="shared" si="42"/>
        <v>0.38394134809905434</v>
      </c>
      <c r="J41" s="18">
        <f>$S20/J20-1</f>
        <v>1.7810799539238031E-2</v>
      </c>
      <c r="K41" s="18">
        <f t="shared" ref="K41:Q41" si="43">$S20/K20-1</f>
        <v>-4.031309873744604E-2</v>
      </c>
      <c r="L41" s="18">
        <f t="shared" si="43"/>
        <v>-2.7792918054444837E-2</v>
      </c>
      <c r="M41" s="18">
        <f t="shared" si="43"/>
        <v>-3.2697420140100464E-2</v>
      </c>
      <c r="N41" s="18">
        <f t="shared" si="43"/>
        <v>3.4842972497142188E-3</v>
      </c>
      <c r="O41" s="18">
        <f t="shared" si="43"/>
        <v>2.0366740868274613E-2</v>
      </c>
      <c r="P41" s="18">
        <f t="shared" si="43"/>
        <v>3.9686723878683328E-2</v>
      </c>
      <c r="Q41" s="18">
        <f t="shared" si="43"/>
        <v>-7.081562705054556E-3</v>
      </c>
      <c r="R41" s="41">
        <f>$S20/R20-1</f>
        <v>2.9376832844574707E-2</v>
      </c>
    </row>
    <row r="42" spans="1:18" x14ac:dyDescent="0.2">
      <c r="A42" s="9" t="str">
        <f t="shared" ref="A42:D42" si="44">A21</f>
        <v>MMSI_CARDIO</v>
      </c>
      <c r="B42" s="9" t="str">
        <f t="shared" si="44"/>
        <v>Cardiovascular</v>
      </c>
      <c r="C42" s="9" t="str">
        <f t="shared" si="44"/>
        <v>2021Q1</v>
      </c>
      <c r="D42" s="9">
        <f t="shared" si="44"/>
        <v>20210422</v>
      </c>
      <c r="E42" s="18">
        <f t="shared" ref="E42:J42" si="45">$S21/E21-1</f>
        <v>-0.11172971823934497</v>
      </c>
      <c r="F42" s="18">
        <f t="shared" si="45"/>
        <v>-9.5721464894080066E-2</v>
      </c>
      <c r="G42" s="18">
        <f t="shared" si="32"/>
        <v>-5.9490821428686225E-2</v>
      </c>
      <c r="H42" s="18">
        <f t="shared" si="45"/>
        <v>-2.595165285213441E-2</v>
      </c>
      <c r="I42" s="18">
        <f t="shared" si="45"/>
        <v>0.25452696329712432</v>
      </c>
      <c r="J42" s="18">
        <f t="shared" si="45"/>
        <v>-2.317947415519106E-2</v>
      </c>
      <c r="K42" s="18">
        <f t="shared" ref="K42:Q42" si="46">$S21/K21-1</f>
        <v>-4.5911374736585797E-2</v>
      </c>
      <c r="L42" s="18">
        <f t="shared" si="46"/>
        <v>-3.5129425300298167E-2</v>
      </c>
      <c r="M42" s="18">
        <f t="shared" si="46"/>
        <v>-8.5542852876892006E-3</v>
      </c>
      <c r="N42" s="18">
        <f t="shared" si="46"/>
        <v>-3.1144521610974363E-2</v>
      </c>
      <c r="O42" s="18">
        <f t="shared" si="46"/>
        <v>-9.3511466349126882E-2</v>
      </c>
      <c r="P42" s="18">
        <f t="shared" si="46"/>
        <v>-4.0272979725686886E-2</v>
      </c>
      <c r="Q42" s="18">
        <f t="shared" si="46"/>
        <v>-4.3126867887958387E-2</v>
      </c>
      <c r="R42" s="41">
        <f>$S21/R21-1</f>
        <v>5.5074862096138766E-2</v>
      </c>
    </row>
    <row r="43" spans="1:18" x14ac:dyDescent="0.2">
      <c r="A43" s="9" t="str">
        <f t="shared" ref="A43:D43" si="47">A22</f>
        <v>MMSI_CARDIO</v>
      </c>
      <c r="B43" s="9" t="str">
        <f t="shared" si="47"/>
        <v>Cardiovascular</v>
      </c>
      <c r="C43" s="9" t="str">
        <f t="shared" si="47"/>
        <v>2021Q2</v>
      </c>
      <c r="D43" s="9">
        <f t="shared" si="47"/>
        <v>20210722</v>
      </c>
      <c r="E43" s="18">
        <f>$S22/E22-1</f>
        <v>4.4549918684567702E-2</v>
      </c>
      <c r="F43" s="18">
        <f t="shared" ref="F43:J43" si="48">$S22/F22-1</f>
        <v>4.201413042913682E-2</v>
      </c>
      <c r="G43" s="18">
        <f t="shared" si="32"/>
        <v>8.7696329083134072E-2</v>
      </c>
      <c r="H43" s="18">
        <f t="shared" si="48"/>
        <v>4.8663355276966413E-2</v>
      </c>
      <c r="I43" s="18">
        <f t="shared" si="48"/>
        <v>0.47497319648877134</v>
      </c>
      <c r="J43" s="18">
        <f t="shared" si="48"/>
        <v>0.1190745544625984</v>
      </c>
      <c r="K43" s="18">
        <f t="shared" ref="K43:Q43" si="49">$S22/K22-1</f>
        <v>0.17593703192923216</v>
      </c>
      <c r="L43" s="18">
        <f t="shared" si="49"/>
        <v>0.15231545367499377</v>
      </c>
      <c r="M43" s="18">
        <f t="shared" si="49"/>
        <v>0.15649730365779746</v>
      </c>
      <c r="N43" s="18">
        <f t="shared" si="49"/>
        <v>7.6602982128744168E-2</v>
      </c>
      <c r="O43" s="18">
        <f t="shared" si="49"/>
        <v>0.17572060198074535</v>
      </c>
      <c r="P43" s="18">
        <f t="shared" si="49"/>
        <v>0.14562964726274608</v>
      </c>
      <c r="Q43" s="18">
        <f t="shared" si="49"/>
        <v>0.14609772380646158</v>
      </c>
      <c r="R43" s="41">
        <f>$S22/R22-1</f>
        <v>0.12840677369313691</v>
      </c>
    </row>
    <row r="44" spans="1:18" x14ac:dyDescent="0.2">
      <c r="A44" s="173" t="s">
        <v>78</v>
      </c>
      <c r="B44" s="173"/>
      <c r="C44" s="169"/>
      <c r="D44" s="170"/>
      <c r="E44" s="74" cm="1">
        <f t="array" ref="E44">SUM(ABS(E28:E43))/COUNT(E28:E43)</f>
        <v>8.6263176210002082E-2</v>
      </c>
      <c r="F44" s="109" cm="1">
        <f t="array" ref="F44">SUM(ABS(F28:F43))/COUNT(F28:F43)</f>
        <v>8.3559398162581497E-2</v>
      </c>
      <c r="G44" s="74" cm="1">
        <f t="array" ref="G44">SUM(ABS(G28:G43))/COUNT(G28:G43)</f>
        <v>9.5452903337003278E-2</v>
      </c>
      <c r="H44" s="74" cm="1">
        <f t="array" ref="H44">SUM(ABS(H28:H43))/COUNT(H28:H43)</f>
        <v>8.6497614167908576E-2</v>
      </c>
      <c r="I44" s="74" cm="1">
        <f t="array" ref="I44">SUM(ABS(I28:I43))/COUNT(I28:I43)</f>
        <v>0.40932877581840099</v>
      </c>
      <c r="J44" s="109" cm="1">
        <f t="array" ref="J44">SUM(ABS(J28:J43))/COUNT(J28:J43)</f>
        <v>7.2245395606991225E-2</v>
      </c>
      <c r="K44" s="74" cm="1">
        <f t="array" ref="K44">SUM(ABS(K28:K43))/COUNT(K28:K43)</f>
        <v>0.10948888508899855</v>
      </c>
      <c r="L44" s="74" cm="1">
        <f t="array" ref="L44">SUM(ABS(L28:L43))/COUNT(L28:L43)</f>
        <v>0.10453100055395664</v>
      </c>
      <c r="M44" s="74" cm="1">
        <f t="array" ref="M44">SUM(ABS(M28:M43))/COUNT(M28:M43)</f>
        <v>8.757062080353803E-2</v>
      </c>
      <c r="N44" s="74" cm="1">
        <f t="array" ref="N44">SUM(ABS(N28:N43))/COUNT(N28:N43)</f>
        <v>7.3650775575650571E-2</v>
      </c>
      <c r="O44" s="74" cm="1">
        <f t="array" ref="O44">SUM(ABS(O28:O43))/COUNT(O28:O43)</f>
        <v>8.3346615701364229E-2</v>
      </c>
      <c r="P44" s="74" cm="1">
        <f t="array" ref="P44">SUM(ABS(P28:P43))/COUNT(P28:P43)</f>
        <v>8.1810570932304483E-2</v>
      </c>
      <c r="Q44" s="74" cm="1">
        <f t="array" ref="Q44">SUM(ABS(Q28:Q43))/COUNT(Q28:Q43)</f>
        <v>8.0563818207190843E-2</v>
      </c>
      <c r="R44" s="109" cm="1">
        <f t="array" ref="R44">SUM(ABS(R28:R43))/COUNT(R28:R43)</f>
        <v>4.3504085146840864E-2</v>
      </c>
    </row>
    <row r="45" spans="1:18" x14ac:dyDescent="0.2">
      <c r="A45" s="174" t="s">
        <v>79</v>
      </c>
      <c r="B45" s="174"/>
      <c r="C45" s="171"/>
      <c r="D45" s="172"/>
      <c r="E45" s="75" cm="1">
        <f t="array" ref="E45">SQRT(SUM(POWER(E28:E43,2))/COUNT(E28:E43))</f>
        <v>0.13838362545396998</v>
      </c>
      <c r="F45" s="110" cm="1">
        <f t="array" ref="F45">SQRT(SUM(POWER(F28:F43,2))/COUNT(F28:F43))</f>
        <v>0.13148212294960124</v>
      </c>
      <c r="G45" s="75" cm="1">
        <f t="array" ref="G45">SQRT(SUM(POWER(G28:G43,2))/COUNT(G28:G43))</f>
        <v>0.15271282361187932</v>
      </c>
      <c r="H45" s="75" cm="1">
        <f t="array" ref="H45">SQRT(SUM(POWER(H28:H43,2))/COUNT(H28:H43))</f>
        <v>0.12196999912245998</v>
      </c>
      <c r="I45" s="75" cm="1">
        <f t="array" ref="I45">SQRT(SUM(POWER(I28:I43,2))/COUNT(I28:I43))</f>
        <v>0.42084518154314637</v>
      </c>
      <c r="J45" s="110" cm="1">
        <f t="array" ref="J45">SQRT(SUM(POWER(J28:J43,2))/COUNT(J28:J43))</f>
        <v>0.12725146232257992</v>
      </c>
      <c r="K45" s="75" cm="1">
        <f t="array" ref="K45">SQRT(SUM(POWER(K28:K43,2))/COUNT(K28:K43))</f>
        <v>0.18674324369674417</v>
      </c>
      <c r="L45" s="75" cm="1">
        <f t="array" ref="L45">SQRT(SUM(POWER(L28:L43,2))/COUNT(L28:L43))</f>
        <v>0.17413692380746981</v>
      </c>
      <c r="M45" s="75" cm="1">
        <f t="array" ref="M45">SQRT(SUM(POWER(M28:M43,2))/COUNT(M28:M43))</f>
        <v>0.16974617899772351</v>
      </c>
      <c r="N45" s="75" cm="1">
        <f t="array" ref="N45">SQRT(SUM(POWER(N28:N43,2))/COUNT(N28:N43))</f>
        <v>9.8730680653075539E-2</v>
      </c>
      <c r="O45" s="75" cm="1">
        <f t="array" ref="O45">SQRT(SUM(POWER(O28:O43,2))/COUNT(O28:O43))</f>
        <v>0.10301367007669116</v>
      </c>
      <c r="P45" s="75" cm="1">
        <f t="array" ref="P45">SQRT(SUM(POWER(P28:P43,2))/COUNT(P28:P43))</f>
        <v>0.12979626528691376</v>
      </c>
      <c r="Q45" s="75" cm="1">
        <f t="array" ref="Q45">SQRT(SUM(POWER(Q28:Q43,2))/COUNT(Q28:Q43))</f>
        <v>0.12122065050590587</v>
      </c>
      <c r="R45" s="110" cm="1">
        <f t="array" ref="R45">SQRT(SUM(POWER(R28:R43,2))/COUNT(R28:R43))</f>
        <v>6.6802530316570005E-2</v>
      </c>
    </row>
    <row r="46" spans="1:18" x14ac:dyDescent="0.2">
      <c r="I46" s="3"/>
      <c r="J46" s="3"/>
      <c r="R46" s="3"/>
    </row>
    <row r="47" spans="1:18" x14ac:dyDescent="0.2">
      <c r="B47" t="s">
        <v>158</v>
      </c>
      <c r="J47" s="3"/>
    </row>
  </sheetData>
  <mergeCells count="7">
    <mergeCell ref="A24:D24"/>
    <mergeCell ref="A4:B4"/>
    <mergeCell ref="A26:B26"/>
    <mergeCell ref="C44:D44"/>
    <mergeCell ref="C45:D45"/>
    <mergeCell ref="A44:B44"/>
    <mergeCell ref="A45:B4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51"/>
  <sheetViews>
    <sheetView zoomScale="85" zoomScaleNormal="85" workbookViewId="0">
      <selection activeCell="K10" sqref="K10"/>
    </sheetView>
  </sheetViews>
  <sheetFormatPr defaultRowHeight="12.75" x14ac:dyDescent="0.2"/>
  <cols>
    <col min="1" max="1" width="9.140625" style="68"/>
    <col min="3" max="3" width="13" bestFit="1" customWidth="1"/>
    <col min="4" max="4" width="8.85546875" customWidth="1"/>
    <col min="5" max="5" width="6.42578125" customWidth="1"/>
    <col min="6" max="6" width="8.5703125" bestFit="1" customWidth="1"/>
    <col min="7" max="7" width="14.5703125" bestFit="1" customWidth="1"/>
    <col min="8" max="8" width="8.28515625" bestFit="1" customWidth="1"/>
    <col min="9" max="9" width="7.5703125" bestFit="1" customWidth="1"/>
    <col min="10" max="10" width="12" bestFit="1" customWidth="1"/>
    <col min="11" max="11" width="12.5703125" bestFit="1" customWidth="1"/>
    <col min="12" max="12" width="7.42578125" bestFit="1" customWidth="1"/>
    <col min="13" max="13" width="7.5703125" bestFit="1" customWidth="1"/>
  </cols>
  <sheetData>
    <row r="1" spans="1:17" x14ac:dyDescent="0.2">
      <c r="A1" s="68" t="s">
        <v>104</v>
      </c>
      <c r="B1" t="s">
        <v>84</v>
      </c>
    </row>
    <row r="2" spans="1:17" x14ac:dyDescent="0.2">
      <c r="A2" s="68" t="s">
        <v>99</v>
      </c>
      <c r="B2" t="s">
        <v>82</v>
      </c>
    </row>
    <row r="3" spans="1:17" x14ac:dyDescent="0.2">
      <c r="A3" s="68" t="s">
        <v>100</v>
      </c>
      <c r="B3" t="s">
        <v>147</v>
      </c>
    </row>
    <row r="4" spans="1:17" x14ac:dyDescent="0.2">
      <c r="A4" s="68" t="s">
        <v>101</v>
      </c>
      <c r="B4" t="s">
        <v>168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68" t="s">
        <v>102</v>
      </c>
      <c r="B7" s="175" t="s">
        <v>83</v>
      </c>
      <c r="C7" s="175"/>
      <c r="D7" s="175" t="s">
        <v>112</v>
      </c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6"/>
      <c r="P7" s="6"/>
      <c r="Q7" s="6"/>
    </row>
    <row r="8" spans="1:17" ht="15" x14ac:dyDescent="0.2">
      <c r="A8" s="68" t="s">
        <v>174</v>
      </c>
      <c r="C8" s="72" t="s">
        <v>85</v>
      </c>
      <c r="D8" s="72" t="s">
        <v>86</v>
      </c>
      <c r="E8" s="72" t="s">
        <v>87</v>
      </c>
      <c r="F8" s="72" t="s">
        <v>88</v>
      </c>
      <c r="G8" s="72" t="s">
        <v>89</v>
      </c>
      <c r="H8" s="72" t="s">
        <v>90</v>
      </c>
      <c r="I8" s="72" t="s">
        <v>91</v>
      </c>
      <c r="J8" s="72" t="s">
        <v>92</v>
      </c>
      <c r="K8" s="72" t="s">
        <v>93</v>
      </c>
      <c r="L8" s="72" t="s">
        <v>94</v>
      </c>
      <c r="M8" s="72" t="s">
        <v>95</v>
      </c>
      <c r="O8" s="6"/>
      <c r="P8" s="6"/>
      <c r="Q8" s="6"/>
    </row>
    <row r="9" spans="1:17" ht="15" x14ac:dyDescent="0.2">
      <c r="B9" s="72" t="s">
        <v>96</v>
      </c>
      <c r="C9" s="2">
        <v>5.9184363641407889E-2</v>
      </c>
      <c r="D9" s="2">
        <v>3.4212710575297137E-2</v>
      </c>
      <c r="E9" s="2">
        <v>3.8655193744035199E-2</v>
      </c>
      <c r="F9" s="2">
        <v>6.3671152630708827E-2</v>
      </c>
      <c r="G9" s="2">
        <v>3.6138863978872879E-2</v>
      </c>
      <c r="H9" s="2">
        <v>3.8934164130846348E-2</v>
      </c>
      <c r="I9" s="2">
        <v>3.8270822809990397E-2</v>
      </c>
      <c r="J9" s="2">
        <v>3.5210497606789543E-2</v>
      </c>
      <c r="K9" s="2">
        <v>3.6620834442395139E-2</v>
      </c>
      <c r="L9" s="2">
        <v>4.2847706704648769E-2</v>
      </c>
      <c r="M9" s="2">
        <v>4.8052028900150229E-2</v>
      </c>
      <c r="O9" s="6"/>
      <c r="P9" s="6"/>
      <c r="Q9" s="6"/>
    </row>
    <row r="10" spans="1:17" ht="15" x14ac:dyDescent="0.2">
      <c r="B10" s="72" t="s">
        <v>97</v>
      </c>
      <c r="C10" s="2">
        <v>7.9980068047814878E-2</v>
      </c>
      <c r="D10" s="2">
        <v>4.5990047508900039E-2</v>
      </c>
      <c r="E10" s="2">
        <v>5.2680024817874503E-2</v>
      </c>
      <c r="F10" s="2">
        <v>7.9994771702063247E-2</v>
      </c>
      <c r="G10" s="2">
        <v>4.6729366269316848E-2</v>
      </c>
      <c r="H10" s="2">
        <v>5.280212723497231E-2</v>
      </c>
      <c r="I10" s="2">
        <v>5.3752027096667182E-2</v>
      </c>
      <c r="J10" s="2">
        <v>4.606538468298528E-2</v>
      </c>
      <c r="K10" s="2">
        <v>4.7558579080938627E-2</v>
      </c>
      <c r="L10" s="2">
        <v>5.3741341182948973E-2</v>
      </c>
      <c r="M10" s="2">
        <v>5.6929616286715737E-2</v>
      </c>
      <c r="O10" s="6"/>
      <c r="P10" s="6"/>
      <c r="Q10" s="6"/>
    </row>
    <row r="11" spans="1:17" ht="15" x14ac:dyDescent="0.2">
      <c r="B11" s="72" t="s">
        <v>98</v>
      </c>
      <c r="C11" s="2">
        <v>-4.0369209931284511E-2</v>
      </c>
      <c r="D11" s="2">
        <v>-7.5893777572573762E-3</v>
      </c>
      <c r="E11" s="2">
        <v>-1.3950976101176351E-2</v>
      </c>
      <c r="F11" s="2">
        <v>-1.9546388176465809E-2</v>
      </c>
      <c r="G11" s="2">
        <v>1.8655679234737539E-3</v>
      </c>
      <c r="H11" s="2">
        <v>-1.4876757628982881E-2</v>
      </c>
      <c r="I11" s="2">
        <v>-1.416679606712778E-2</v>
      </c>
      <c r="J11" s="2">
        <v>9.5597826446963685E-4</v>
      </c>
      <c r="K11" s="2">
        <v>-2.0137233393473508E-3</v>
      </c>
      <c r="L11" s="2">
        <v>1.5628269951414309E-2</v>
      </c>
      <c r="M11" s="2">
        <v>-1.8361478045959109E-2</v>
      </c>
      <c r="O11" s="6"/>
      <c r="P11" s="6"/>
      <c r="Q11" s="6"/>
    </row>
    <row r="12" spans="1:17" x14ac:dyDescent="0.2">
      <c r="O12" s="6"/>
      <c r="P12" s="6"/>
      <c r="Q12" s="6"/>
    </row>
    <row r="13" spans="1:17" x14ac:dyDescent="0.2">
      <c r="O13" s="6"/>
      <c r="P13" s="6"/>
      <c r="Q13" s="6"/>
    </row>
    <row r="14" spans="1:17" ht="15" x14ac:dyDescent="0.2">
      <c r="A14" s="68" t="s">
        <v>172</v>
      </c>
      <c r="C14" s="72" t="s">
        <v>85</v>
      </c>
      <c r="D14" s="72" t="s">
        <v>86</v>
      </c>
      <c r="E14" s="72" t="s">
        <v>87</v>
      </c>
      <c r="F14" s="72" t="s">
        <v>88</v>
      </c>
      <c r="G14" s="72" t="s">
        <v>89</v>
      </c>
      <c r="H14" s="72" t="s">
        <v>90</v>
      </c>
      <c r="I14" s="72" t="s">
        <v>91</v>
      </c>
      <c r="J14" s="72" t="s">
        <v>92</v>
      </c>
      <c r="K14" s="72" t="s">
        <v>93</v>
      </c>
      <c r="L14" s="72" t="s">
        <v>94</v>
      </c>
      <c r="M14" s="72" t="s">
        <v>95</v>
      </c>
      <c r="O14" s="6"/>
      <c r="P14" s="6"/>
      <c r="Q14" s="6"/>
    </row>
    <row r="15" spans="1:17" ht="15" x14ac:dyDescent="0.2">
      <c r="B15" s="72" t="s">
        <v>96</v>
      </c>
      <c r="C15" s="180">
        <v>4.9304722365859331E-2</v>
      </c>
      <c r="D15" s="180">
        <v>0.26780234545706327</v>
      </c>
      <c r="E15" s="180">
        <v>6.3872958383271117E-2</v>
      </c>
      <c r="F15" s="180">
        <v>5.704616537430722E-2</v>
      </c>
      <c r="G15" s="180">
        <v>4.7335315343587869E-2</v>
      </c>
      <c r="H15" s="180">
        <v>6.3870290364766866E-2</v>
      </c>
      <c r="I15" s="180">
        <v>6.4680098820471113E-2</v>
      </c>
      <c r="J15" s="180">
        <v>4.5509694742722852E-2</v>
      </c>
      <c r="K15" s="180">
        <v>4.7724422345186958E-2</v>
      </c>
      <c r="L15" s="180">
        <v>5.6126053972159293E-2</v>
      </c>
      <c r="M15" s="180">
        <v>8.9206358926360779E-2</v>
      </c>
      <c r="O15" s="6"/>
      <c r="P15" s="6"/>
      <c r="Q15" s="6"/>
    </row>
    <row r="16" spans="1:17" ht="15" x14ac:dyDescent="0.2">
      <c r="B16" s="72" t="s">
        <v>97</v>
      </c>
      <c r="C16" s="180">
        <v>7.1702779846527079E-2</v>
      </c>
      <c r="D16" s="180">
        <v>0.27233893068882198</v>
      </c>
      <c r="E16" s="180">
        <v>6.9167425737596197E-2</v>
      </c>
      <c r="F16" s="180">
        <v>7.2801513683046118E-2</v>
      </c>
      <c r="G16" s="180">
        <v>5.9417837977493858E-2</v>
      </c>
      <c r="H16" s="180">
        <v>6.8983490148936094E-2</v>
      </c>
      <c r="I16" s="180">
        <v>6.9868167860320088E-2</v>
      </c>
      <c r="J16" s="180">
        <v>5.7744598640010927E-2</v>
      </c>
      <c r="K16" s="180">
        <v>5.9761659659162088E-2</v>
      </c>
      <c r="L16" s="180">
        <v>6.9295442795700685E-2</v>
      </c>
      <c r="M16" s="180">
        <v>0.16278160656188481</v>
      </c>
      <c r="O16" s="6"/>
      <c r="P16" s="6"/>
      <c r="Q16" s="6"/>
    </row>
    <row r="17" spans="1:17" ht="15" x14ac:dyDescent="0.2">
      <c r="B17" s="72" t="s">
        <v>98</v>
      </c>
      <c r="C17" s="180">
        <v>-2.036922239505146E-2</v>
      </c>
      <c r="D17" s="180">
        <v>-0.28268102268232581</v>
      </c>
      <c r="E17" s="180">
        <v>-4.4292469356319419E-2</v>
      </c>
      <c r="F17" s="180">
        <v>-7.5486587775256964E-3</v>
      </c>
      <c r="G17" s="180">
        <v>8.7806186760510108E-3</v>
      </c>
      <c r="H17" s="180">
        <v>-4.4594762197686877E-2</v>
      </c>
      <c r="I17" s="180">
        <v>-4.5038161070401928E-2</v>
      </c>
      <c r="J17" s="180">
        <v>5.5816107545022531E-3</v>
      </c>
      <c r="K17" s="180">
        <v>8.0518951951129014E-3</v>
      </c>
      <c r="L17" s="180">
        <v>-3.5521603382358158E-2</v>
      </c>
      <c r="M17" s="180">
        <v>-2.2604207952460879E-2</v>
      </c>
      <c r="O17" s="6"/>
      <c r="P17" s="6"/>
      <c r="Q17" s="6"/>
    </row>
    <row r="18" spans="1:17" x14ac:dyDescent="0.2">
      <c r="O18" s="6"/>
      <c r="P18" s="6"/>
      <c r="Q18" s="6"/>
    </row>
    <row r="19" spans="1:17" x14ac:dyDescent="0.2">
      <c r="O19" s="6"/>
      <c r="P19" s="6"/>
      <c r="Q19" s="6"/>
    </row>
    <row r="20" spans="1:17" x14ac:dyDescent="0.2">
      <c r="O20" s="6"/>
      <c r="P20" s="6"/>
      <c r="Q20" s="6"/>
    </row>
    <row r="21" spans="1:17" x14ac:dyDescent="0.2">
      <c r="O21" s="6"/>
      <c r="P21" s="6"/>
      <c r="Q21" s="6"/>
    </row>
    <row r="22" spans="1:17" x14ac:dyDescent="0.2">
      <c r="O22" s="6"/>
      <c r="P22" s="6"/>
      <c r="Q22" s="6"/>
    </row>
    <row r="23" spans="1:17" x14ac:dyDescent="0.2">
      <c r="O23" s="6"/>
      <c r="P23" s="6"/>
      <c r="Q23" s="6"/>
    </row>
    <row r="24" spans="1:17" x14ac:dyDescent="0.2">
      <c r="O24" s="6"/>
      <c r="P24" s="6"/>
      <c r="Q24" s="6"/>
    </row>
    <row r="25" spans="1:17" x14ac:dyDescent="0.2">
      <c r="O25" s="6"/>
      <c r="P25" s="6"/>
      <c r="Q25" s="6"/>
    </row>
    <row r="26" spans="1:17" x14ac:dyDescent="0.2">
      <c r="A26" s="68" t="s">
        <v>103</v>
      </c>
      <c r="B26" t="s">
        <v>139</v>
      </c>
      <c r="O26" s="6"/>
      <c r="P26" s="6"/>
      <c r="Q26" s="6"/>
    </row>
    <row r="27" spans="1:17" x14ac:dyDescent="0.2">
      <c r="B27" t="s">
        <v>140</v>
      </c>
      <c r="H27" s="69" t="s">
        <v>106</v>
      </c>
      <c r="O27" s="6"/>
      <c r="P27" s="6"/>
      <c r="Q27" s="6"/>
    </row>
    <row r="28" spans="1:17" x14ac:dyDescent="0.2">
      <c r="H28" s="69"/>
      <c r="O28" s="6"/>
      <c r="P28" s="6"/>
      <c r="Q28" s="6"/>
    </row>
    <row r="29" spans="1:17" x14ac:dyDescent="0.2">
      <c r="O29" s="6"/>
      <c r="P29" s="6"/>
      <c r="Q29" s="6"/>
    </row>
    <row r="30" spans="1:17" x14ac:dyDescent="0.2">
      <c r="O30" s="6"/>
      <c r="P30" s="6"/>
      <c r="Q30" s="6"/>
    </row>
    <row r="31" spans="1:17" x14ac:dyDescent="0.2">
      <c r="A31" s="68" t="s">
        <v>105</v>
      </c>
      <c r="B31" s="176" t="s">
        <v>108</v>
      </c>
      <c r="C31" s="176"/>
      <c r="D31" s="176"/>
      <c r="E31" s="176"/>
      <c r="F31" s="67" t="e">
        <f>#REF!+#REF!*'2. Past Proj &amp; Candidate Model'!R22</f>
        <v>#REF!</v>
      </c>
      <c r="G31" s="70" t="s">
        <v>109</v>
      </c>
      <c r="H31" s="2" t="e">
        <f>'2. Past Proj &amp; Candidate Model'!S22/'3. Improved Alpha Model'!F31-1</f>
        <v>#REF!</v>
      </c>
      <c r="O31" s="6"/>
      <c r="P31" s="6"/>
      <c r="Q31" s="6"/>
    </row>
    <row r="32" spans="1:17" x14ac:dyDescent="0.2">
      <c r="O32" s="6"/>
      <c r="P32" s="6"/>
      <c r="Q32" s="6"/>
    </row>
    <row r="33" spans="1:17" x14ac:dyDescent="0.2">
      <c r="O33" s="6"/>
      <c r="P33" s="6"/>
      <c r="Q33" s="6"/>
    </row>
    <row r="34" spans="1:17" x14ac:dyDescent="0.2">
      <c r="O34" s="6"/>
      <c r="P34" s="6"/>
      <c r="Q34" s="6"/>
    </row>
    <row r="35" spans="1:17" x14ac:dyDescent="0.2">
      <c r="B35" s="177" t="s">
        <v>159</v>
      </c>
      <c r="C35" s="177"/>
      <c r="D35" s="177"/>
      <c r="E35" s="3">
        <f>C9</f>
        <v>5.9184363641407889E-2</v>
      </c>
      <c r="F35" t="s">
        <v>110</v>
      </c>
      <c r="G35" s="177" t="s">
        <v>111</v>
      </c>
      <c r="H35" s="177"/>
      <c r="I35" s="3" t="e">
        <f>#REF!</f>
        <v>#REF!</v>
      </c>
      <c r="O35" s="6"/>
      <c r="P35" s="6"/>
      <c r="Q35" s="6"/>
    </row>
    <row r="36" spans="1:17" x14ac:dyDescent="0.2">
      <c r="O36" s="6"/>
      <c r="P36" s="6"/>
      <c r="Q36" s="6"/>
    </row>
    <row r="37" spans="1:17" x14ac:dyDescent="0.2">
      <c r="O37" s="6"/>
      <c r="P37" s="6"/>
      <c r="Q37" s="6"/>
    </row>
    <row r="38" spans="1:17" x14ac:dyDescent="0.2">
      <c r="A38" s="68" t="s">
        <v>107</v>
      </c>
      <c r="B38" t="s">
        <v>113</v>
      </c>
      <c r="O38" s="6"/>
      <c r="P38" s="6"/>
      <c r="Q38" s="6"/>
    </row>
    <row r="39" spans="1:17" x14ac:dyDescent="0.2">
      <c r="B39" t="s">
        <v>114</v>
      </c>
      <c r="O39" s="6"/>
      <c r="P39" s="6"/>
      <c r="Q39" s="6"/>
    </row>
    <row r="40" spans="1:17" x14ac:dyDescent="0.2">
      <c r="B40" t="s">
        <v>115</v>
      </c>
      <c r="O40" s="6"/>
      <c r="P40" s="6"/>
      <c r="Q40" s="6"/>
    </row>
    <row r="41" spans="1:17" x14ac:dyDescent="0.2">
      <c r="B41" t="s">
        <v>116</v>
      </c>
      <c r="O41" s="6"/>
      <c r="P41" s="6"/>
      <c r="Q41" s="6"/>
    </row>
    <row r="42" spans="1:17" x14ac:dyDescent="0.2">
      <c r="B42" t="s">
        <v>117</v>
      </c>
      <c r="O42" s="6"/>
      <c r="P42" s="6"/>
      <c r="Q42" s="6"/>
    </row>
    <row r="43" spans="1:17" x14ac:dyDescent="0.2">
      <c r="B43" t="s">
        <v>118</v>
      </c>
      <c r="O43" s="6"/>
      <c r="P43" s="6"/>
      <c r="Q43" s="6"/>
    </row>
    <row r="44" spans="1:17" x14ac:dyDescent="0.2">
      <c r="B44" t="s">
        <v>119</v>
      </c>
      <c r="O44" s="6"/>
      <c r="P44" s="6"/>
      <c r="Q44" s="6"/>
    </row>
    <row r="45" spans="1:17" x14ac:dyDescent="0.2">
      <c r="B45" t="s">
        <v>120</v>
      </c>
      <c r="O45" s="6"/>
      <c r="P45" s="6"/>
      <c r="Q45" s="6"/>
    </row>
    <row r="46" spans="1:17" x14ac:dyDescent="0.2">
      <c r="B46" t="s">
        <v>121</v>
      </c>
      <c r="O46" s="6"/>
      <c r="P46" s="6"/>
      <c r="Q46" s="6"/>
    </row>
    <row r="47" spans="1:17" x14ac:dyDescent="0.2">
      <c r="B47" t="s">
        <v>122</v>
      </c>
      <c r="O47" s="6"/>
      <c r="P47" s="6"/>
      <c r="Q47" s="6"/>
    </row>
    <row r="48" spans="1:17" x14ac:dyDescent="0.2">
      <c r="O48" s="6"/>
      <c r="P48" s="6"/>
      <c r="Q48" s="6"/>
    </row>
    <row r="49" spans="15:17" x14ac:dyDescent="0.2">
      <c r="O49" s="6"/>
      <c r="P49" s="6"/>
      <c r="Q49" s="6"/>
    </row>
    <row r="50" spans="15:17" x14ac:dyDescent="0.2">
      <c r="O50" s="6"/>
      <c r="P50" s="6"/>
    </row>
    <row r="51" spans="15:17" x14ac:dyDescent="0.2">
      <c r="O51" s="6"/>
      <c r="P51" s="6"/>
    </row>
  </sheetData>
  <mergeCells count="5">
    <mergeCell ref="D7:N7"/>
    <mergeCell ref="B7:C7"/>
    <mergeCell ref="B31:E31"/>
    <mergeCell ref="B35:D35"/>
    <mergeCell ref="G35:H35"/>
  </mergeCells>
  <conditionalFormatting sqref="C9:K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">
      <colorScale>
        <cfvo type="min"/>
        <cfvo type="max"/>
        <color rgb="FF63BE7B"/>
        <color rgb="FFFCFCFF"/>
      </colorScale>
    </cfRule>
  </conditionalFormatting>
  <conditionalFormatting sqref="C10:K1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">
      <colorScale>
        <cfvo type="min"/>
        <cfvo type="max"/>
        <color rgb="FF63BE7B"/>
        <color rgb="FFFCFCFF"/>
      </colorScale>
    </cfRule>
  </conditionalFormatting>
  <conditionalFormatting sqref="C15:K15">
    <cfRule type="colorScale" priority="6">
      <colorScale>
        <cfvo type="min"/>
        <cfvo type="max"/>
        <color rgb="FF63BE7B"/>
        <color rgb="FFFCFCFF"/>
      </colorScale>
    </cfRule>
  </conditionalFormatting>
  <conditionalFormatting sqref="C16:K16">
    <cfRule type="colorScale" priority="5">
      <colorScale>
        <cfvo type="min"/>
        <cfvo type="max"/>
        <color rgb="FF63BE7B"/>
        <color rgb="FFFCFCFF"/>
      </colorScale>
    </cfRule>
  </conditionalFormatting>
  <conditionalFormatting sqref="E15:K15 C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6:K16 C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7"/>
  <sheetViews>
    <sheetView tabSelected="1" topLeftCell="A3" zoomScale="85" zoomScaleNormal="85" workbookViewId="0">
      <selection activeCell="F33" sqref="F33"/>
    </sheetView>
  </sheetViews>
  <sheetFormatPr defaultRowHeight="12.75" x14ac:dyDescent="0.2"/>
  <cols>
    <col min="1" max="1" width="9.140625" style="68"/>
    <col min="3" max="3" width="18.5703125" customWidth="1"/>
    <col min="4" max="13" width="14.7109375" customWidth="1"/>
    <col min="18" max="18" width="15.42578125" customWidth="1"/>
    <col min="23" max="23" width="22.5703125" customWidth="1"/>
  </cols>
  <sheetData>
    <row r="1" spans="1:25" x14ac:dyDescent="0.2">
      <c r="A1" s="68" t="s">
        <v>124</v>
      </c>
      <c r="B1" t="s">
        <v>84</v>
      </c>
    </row>
    <row r="2" spans="1:25" x14ac:dyDescent="0.2">
      <c r="A2" s="68" t="s">
        <v>99</v>
      </c>
      <c r="B2" s="76" t="s">
        <v>160</v>
      </c>
      <c r="C2" s="77" t="str">
        <f>D5</f>
        <v>PROJ</v>
      </c>
      <c r="D2" t="s">
        <v>161</v>
      </c>
    </row>
    <row r="4" spans="1:25" x14ac:dyDescent="0.2">
      <c r="A4" s="68" t="s">
        <v>100</v>
      </c>
      <c r="B4" t="s">
        <v>123</v>
      </c>
    </row>
    <row r="5" spans="1:25" ht="15" x14ac:dyDescent="0.2">
      <c r="A5" s="68" t="s">
        <v>174</v>
      </c>
      <c r="C5" s="72" t="s">
        <v>85</v>
      </c>
      <c r="D5" s="72" t="s">
        <v>86</v>
      </c>
      <c r="E5" s="72" t="s">
        <v>87</v>
      </c>
      <c r="F5" s="72" t="s">
        <v>88</v>
      </c>
      <c r="G5" s="72" t="s">
        <v>89</v>
      </c>
      <c r="H5" s="72" t="s">
        <v>90</v>
      </c>
      <c r="I5" s="72" t="s">
        <v>91</v>
      </c>
      <c r="J5" s="72" t="s">
        <v>92</v>
      </c>
      <c r="K5" s="72" t="s">
        <v>93</v>
      </c>
      <c r="L5" s="72" t="s">
        <v>94</v>
      </c>
      <c r="M5" s="72" t="s">
        <v>95</v>
      </c>
    </row>
    <row r="6" spans="1:25" ht="15" x14ac:dyDescent="0.2">
      <c r="B6" s="72" t="s">
        <v>96</v>
      </c>
      <c r="C6" s="2">
        <v>5.260832323680701E-2</v>
      </c>
      <c r="D6" s="2">
        <v>3.1481824114198198E-2</v>
      </c>
      <c r="E6" s="2">
        <v>3.5674179965380581E-2</v>
      </c>
      <c r="F6" s="2">
        <v>6.1596043496747993E-2</v>
      </c>
      <c r="G6" s="2">
        <v>3.6778424336917893E-2</v>
      </c>
      <c r="H6" s="2">
        <v>3.5886964785426821E-2</v>
      </c>
      <c r="I6" s="2">
        <v>3.4728437196389253E-2</v>
      </c>
      <c r="J6" s="2">
        <v>3.5919401113199377E-2</v>
      </c>
      <c r="K6" s="2">
        <v>3.6993739459855603E-2</v>
      </c>
      <c r="L6" s="2">
        <v>4.2881063212518007E-2</v>
      </c>
      <c r="M6" s="2">
        <v>4.3326883907763403E-2</v>
      </c>
    </row>
    <row r="7" spans="1:25" ht="15" x14ac:dyDescent="0.2">
      <c r="B7" s="72" t="s">
        <v>97</v>
      </c>
      <c r="C7" s="2">
        <v>7.5405931301828544E-2</v>
      </c>
      <c r="D7" s="2">
        <v>4.3478607546797908E-2</v>
      </c>
      <c r="E7" s="2">
        <v>4.982339482155293E-2</v>
      </c>
      <c r="F7" s="2">
        <v>7.6896664686304878E-2</v>
      </c>
      <c r="G7" s="2">
        <v>4.6217183702913209E-2</v>
      </c>
      <c r="H7" s="2">
        <v>4.9929931707244142E-2</v>
      </c>
      <c r="I7" s="2">
        <v>5.0722630450828178E-2</v>
      </c>
      <c r="J7" s="2">
        <v>4.5589884065837409E-2</v>
      </c>
      <c r="K7" s="2">
        <v>4.6776901293367638E-2</v>
      </c>
      <c r="L7" s="2">
        <v>5.2669616594343507E-2</v>
      </c>
      <c r="M7" s="2">
        <v>5.3705351802217423E-2</v>
      </c>
    </row>
    <row r="8" spans="1:25" ht="15" x14ac:dyDescent="0.2">
      <c r="B8" s="72" t="s">
        <v>98</v>
      </c>
      <c r="C8" s="2">
        <v>-2.853846318203512E-2</v>
      </c>
      <c r="D8" s="2">
        <v>2.3203705974312872E-3</v>
      </c>
      <c r="E8" s="2">
        <v>-4.9235024873923727E-3</v>
      </c>
      <c r="F8" s="2">
        <v>-9.4000489289387534E-3</v>
      </c>
      <c r="G8" s="2">
        <v>8.2954178450964644E-3</v>
      </c>
      <c r="H8" s="2">
        <v>-6.2842661545218226E-3</v>
      </c>
      <c r="I8" s="2">
        <v>-4.9359775405261042E-3</v>
      </c>
      <c r="J8" s="2">
        <v>6.8129026647252289E-3</v>
      </c>
      <c r="K8" s="2">
        <v>6.0677958582679992E-3</v>
      </c>
      <c r="L8" s="2">
        <v>3.2836941547547127E-2</v>
      </c>
      <c r="M8" s="2">
        <v>-1.068127301524713E-2</v>
      </c>
    </row>
    <row r="10" spans="1:25" ht="15" x14ac:dyDescent="0.2">
      <c r="A10" s="68" t="s">
        <v>101</v>
      </c>
      <c r="B10" s="73" t="s">
        <v>162</v>
      </c>
    </row>
    <row r="12" spans="1:25" x14ac:dyDescent="0.2">
      <c r="A12" s="68" t="s">
        <v>102</v>
      </c>
      <c r="B12" t="s">
        <v>138</v>
      </c>
    </row>
    <row r="13" spans="1:25" ht="15" x14ac:dyDescent="0.2">
      <c r="B13" s="72" t="s">
        <v>125</v>
      </c>
      <c r="C13" s="72" t="s">
        <v>126</v>
      </c>
      <c r="D13" s="72" t="s">
        <v>85</v>
      </c>
      <c r="E13" s="72" t="s">
        <v>86</v>
      </c>
      <c r="F13" s="72" t="s">
        <v>87</v>
      </c>
      <c r="G13" s="72" t="s">
        <v>88</v>
      </c>
      <c r="H13" s="72" t="s">
        <v>89</v>
      </c>
      <c r="I13" s="72" t="s">
        <v>90</v>
      </c>
      <c r="J13" s="72" t="s">
        <v>91</v>
      </c>
      <c r="K13" s="72" t="s">
        <v>92</v>
      </c>
      <c r="L13" s="72" t="s">
        <v>93</v>
      </c>
      <c r="M13" s="72" t="s">
        <v>94</v>
      </c>
      <c r="N13" s="72" t="s">
        <v>95</v>
      </c>
      <c r="O13" s="72" t="s">
        <v>127</v>
      </c>
      <c r="P13" s="72" t="s">
        <v>128</v>
      </c>
      <c r="Q13" s="72" t="s">
        <v>129</v>
      </c>
      <c r="R13" s="72" t="s">
        <v>130</v>
      </c>
      <c r="S13" s="72" t="s">
        <v>131</v>
      </c>
      <c r="T13" s="72" t="s">
        <v>132</v>
      </c>
      <c r="U13" s="72" t="s">
        <v>133</v>
      </c>
      <c r="V13" s="72" t="s">
        <v>134</v>
      </c>
      <c r="W13" s="72" t="s">
        <v>135</v>
      </c>
      <c r="X13" s="72" t="s">
        <v>136</v>
      </c>
      <c r="Y13" s="72" t="s">
        <v>137</v>
      </c>
    </row>
    <row r="14" spans="1:25" x14ac:dyDescent="0.2">
      <c r="B14" t="s">
        <v>171</v>
      </c>
      <c r="C14">
        <v>101.39400000000001</v>
      </c>
      <c r="D14">
        <v>105.5</v>
      </c>
      <c r="E14">
        <v>86.382121249999997</v>
      </c>
      <c r="P14" s="2">
        <f>E14/C14-1</f>
        <v>-0.14805490216383621</v>
      </c>
    </row>
    <row r="15" spans="1:25" x14ac:dyDescent="0.2">
      <c r="B15" t="s">
        <v>167</v>
      </c>
      <c r="C15">
        <v>96.701999999999998</v>
      </c>
      <c r="D15">
        <v>100</v>
      </c>
      <c r="E15">
        <v>89.116708500000001</v>
      </c>
      <c r="P15" s="2">
        <f t="shared" ref="P15:P20" si="0">E15/C15-1</f>
        <v>-7.8439861636780961E-2</v>
      </c>
    </row>
    <row r="16" spans="1:25" x14ac:dyDescent="0.2">
      <c r="B16" t="s">
        <v>166</v>
      </c>
      <c r="C16">
        <v>100.22799999999999</v>
      </c>
      <c r="D16">
        <v>101.6</v>
      </c>
      <c r="E16">
        <v>98.215225250000003</v>
      </c>
      <c r="P16" s="2">
        <f t="shared" si="0"/>
        <v>-2.0081960629764084E-2</v>
      </c>
    </row>
    <row r="17" spans="2:25" x14ac:dyDescent="0.2">
      <c r="B17" t="s">
        <v>42</v>
      </c>
      <c r="C17">
        <v>103.137</v>
      </c>
      <c r="D17">
        <v>104.1</v>
      </c>
      <c r="E17">
        <v>102.7441553</v>
      </c>
      <c r="P17" s="2">
        <f t="shared" si="0"/>
        <v>-3.8089599270872965E-3</v>
      </c>
    </row>
    <row r="18" spans="2:25" x14ac:dyDescent="0.2">
      <c r="B18" t="s">
        <v>43</v>
      </c>
      <c r="C18">
        <v>116.324</v>
      </c>
      <c r="D18">
        <v>114.9</v>
      </c>
      <c r="E18">
        <v>108.6671125</v>
      </c>
      <c r="P18" s="2">
        <f t="shared" si="0"/>
        <v>-6.5823798184381554E-2</v>
      </c>
    </row>
    <row r="19" spans="2:25" x14ac:dyDescent="0.2">
      <c r="B19" t="s">
        <v>44</v>
      </c>
      <c r="C19">
        <v>116.879</v>
      </c>
      <c r="D19">
        <v>113.4</v>
      </c>
      <c r="E19">
        <v>115.26879580000001</v>
      </c>
      <c r="P19" s="2">
        <f t="shared" si="0"/>
        <v>-1.3776676734058246E-2</v>
      </c>
    </row>
    <row r="20" spans="2:25" x14ac:dyDescent="0.2">
      <c r="B20" t="s">
        <v>45</v>
      </c>
      <c r="C20">
        <v>127.884</v>
      </c>
      <c r="D20">
        <v>122.3</v>
      </c>
      <c r="E20">
        <v>125.2535798</v>
      </c>
      <c r="P20" s="2">
        <f t="shared" si="0"/>
        <v>-2.056879828594671E-2</v>
      </c>
    </row>
    <row r="21" spans="2:25" x14ac:dyDescent="0.2">
      <c r="B21" t="s">
        <v>46</v>
      </c>
      <c r="C21">
        <v>130.49199999999999</v>
      </c>
      <c r="D21">
        <v>128.9</v>
      </c>
      <c r="E21">
        <v>130.79478979999999</v>
      </c>
      <c r="F21">
        <v>129.84952231341521</v>
      </c>
      <c r="G21">
        <v>136.83013862176099</v>
      </c>
      <c r="H21">
        <v>136.15113705305581</v>
      </c>
      <c r="I21">
        <v>129.6719535409641</v>
      </c>
      <c r="J21">
        <v>129.84789441878169</v>
      </c>
      <c r="K21">
        <v>136.06559063711219</v>
      </c>
      <c r="L21">
        <v>136.14663470290449</v>
      </c>
      <c r="M21">
        <v>136.92269570209081</v>
      </c>
      <c r="N21">
        <v>125.7011288133522</v>
      </c>
      <c r="O21" s="2">
        <v>-1.2199981608067789E-2</v>
      </c>
      <c r="P21" s="2">
        <v>2.3203705974312872E-3</v>
      </c>
      <c r="Q21" s="2">
        <v>-4.9235024873923727E-3</v>
      </c>
      <c r="R21" s="2">
        <v>4.8571089582204241E-2</v>
      </c>
      <c r="S21" s="2">
        <v>4.3367693445236499E-2</v>
      </c>
      <c r="T21" s="2">
        <v>-6.2842661545218226E-3</v>
      </c>
      <c r="U21" s="2">
        <v>-4.9359775405261042E-3</v>
      </c>
      <c r="V21" s="2">
        <v>4.2712125165621062E-2</v>
      </c>
      <c r="W21" s="2">
        <v>4.3333190562674602E-2</v>
      </c>
      <c r="X21" s="2">
        <v>4.9280382721476057E-2</v>
      </c>
      <c r="Y21" s="2">
        <v>-3.6713907263646983E-2</v>
      </c>
    </row>
    <row r="22" spans="2:25" x14ac:dyDescent="0.2">
      <c r="B22" t="s">
        <v>47</v>
      </c>
      <c r="C22">
        <v>136.113</v>
      </c>
      <c r="D22">
        <v>135.80000000000001</v>
      </c>
      <c r="E22">
        <v>133.66945179999999</v>
      </c>
      <c r="F22">
        <v>132.3699744073422</v>
      </c>
      <c r="G22">
        <v>142.02247364153419</v>
      </c>
      <c r="H22">
        <v>139.85376920110949</v>
      </c>
      <c r="I22">
        <v>132.25617600913449</v>
      </c>
      <c r="J22">
        <v>132.36879855069591</v>
      </c>
      <c r="K22">
        <v>139.3150524269507</v>
      </c>
      <c r="L22">
        <v>139.8475490985991</v>
      </c>
      <c r="M22">
        <v>135.8978867909324</v>
      </c>
      <c r="N22">
        <v>129.02138541697559</v>
      </c>
      <c r="O22" s="2">
        <v>-2.2995599244743929E-3</v>
      </c>
      <c r="P22" s="2">
        <v>-1.795234988575678E-2</v>
      </c>
      <c r="Q22" s="2">
        <v>-2.7499398240122819E-2</v>
      </c>
      <c r="R22" s="2">
        <v>4.3415938532940679E-2</v>
      </c>
      <c r="S22" s="2">
        <v>2.7482820899616289E-2</v>
      </c>
      <c r="T22" s="2">
        <v>-2.8335456502064149E-2</v>
      </c>
      <c r="U22" s="2">
        <v>-2.7508037067025651E-2</v>
      </c>
      <c r="V22" s="2">
        <v>2.3524956667994479E-2</v>
      </c>
      <c r="W22" s="2">
        <v>2.7437122821472929E-2</v>
      </c>
      <c r="X22" s="2">
        <v>-1.5804016447185101E-3</v>
      </c>
      <c r="Y22" s="2">
        <v>-5.210093512761016E-2</v>
      </c>
    </row>
    <row r="23" spans="2:25" x14ac:dyDescent="0.2">
      <c r="B23" t="s">
        <v>50</v>
      </c>
      <c r="C23">
        <v>133.48699999999999</v>
      </c>
      <c r="D23">
        <v>133.1</v>
      </c>
      <c r="E23">
        <v>129.7156473</v>
      </c>
      <c r="F23">
        <v>130.41967568289911</v>
      </c>
      <c r="G23">
        <v>136.11034415470081</v>
      </c>
      <c r="H23">
        <v>134.59433044188839</v>
      </c>
      <c r="I23">
        <v>130.3541603449286</v>
      </c>
      <c r="J23">
        <v>130.3637226207268</v>
      </c>
      <c r="K23">
        <v>134.3964339380062</v>
      </c>
      <c r="L23">
        <v>134.29697186573259</v>
      </c>
      <c r="M23">
        <v>131.32385402170419</v>
      </c>
      <c r="N23">
        <v>132.06118890901371</v>
      </c>
      <c r="O23" s="2">
        <v>-2.89915871957569E-3</v>
      </c>
      <c r="P23" s="2">
        <v>-2.8252584146770791E-2</v>
      </c>
      <c r="Q23" s="2">
        <v>-2.2978449714960329E-2</v>
      </c>
      <c r="R23" s="2">
        <v>1.9652431732683832E-2</v>
      </c>
      <c r="S23" s="2">
        <v>8.2954178450964644E-3</v>
      </c>
      <c r="T23" s="2">
        <v>-2.3469249103443949E-2</v>
      </c>
      <c r="U23" s="2">
        <v>-2.3397614593729469E-2</v>
      </c>
      <c r="V23" s="2">
        <v>6.8129026647252289E-3</v>
      </c>
      <c r="W23" s="2">
        <v>6.0677958582679992E-3</v>
      </c>
      <c r="X23" s="2">
        <v>-1.620491866845308E-2</v>
      </c>
      <c r="Y23" s="2">
        <v>-1.068127301524713E-2</v>
      </c>
    </row>
    <row r="24" spans="2:25" x14ac:dyDescent="0.2">
      <c r="B24" t="s">
        <v>55</v>
      </c>
      <c r="C24">
        <v>112.30200000000001</v>
      </c>
      <c r="D24">
        <v>96.2</v>
      </c>
      <c r="E24">
        <v>118.59654279999999</v>
      </c>
      <c r="F24">
        <v>121.78695494865789</v>
      </c>
      <c r="G24">
        <v>94.236986071967763</v>
      </c>
      <c r="H24">
        <v>104.3377361369978</v>
      </c>
      <c r="I24">
        <v>121.7672477398819</v>
      </c>
      <c r="J24">
        <v>121.7511562265253</v>
      </c>
      <c r="K24">
        <v>104.5441853329115</v>
      </c>
      <c r="L24">
        <v>104.6011240620207</v>
      </c>
      <c r="M24">
        <v>119.8118363630293</v>
      </c>
      <c r="N24">
        <v>122.2813505136628</v>
      </c>
      <c r="O24" s="2">
        <v>-0.14338123987106199</v>
      </c>
      <c r="P24" s="2">
        <v>5.6050139801606218E-2</v>
      </c>
      <c r="Q24" s="2">
        <v>8.4459359126799471E-2</v>
      </c>
      <c r="R24" s="2">
        <v>-0.1608610169723802</v>
      </c>
      <c r="S24" s="2">
        <v>-7.0918272720006947E-2</v>
      </c>
      <c r="T24" s="2">
        <v>8.4283875085767956E-2</v>
      </c>
      <c r="U24" s="2">
        <v>8.4140587224851293E-2</v>
      </c>
      <c r="V24" s="2">
        <v>-6.9079933278913597E-2</v>
      </c>
      <c r="W24" s="2">
        <v>-6.8572918897075175E-2</v>
      </c>
      <c r="X24" s="2">
        <v>6.6871795364546127E-2</v>
      </c>
      <c r="Y24" s="2">
        <v>8.8861734552036387E-2</v>
      </c>
    </row>
    <row r="25" spans="2:25" x14ac:dyDescent="0.2">
      <c r="B25" t="s">
        <v>52</v>
      </c>
      <c r="C25">
        <v>136.01599999999999</v>
      </c>
      <c r="D25">
        <v>119.9</v>
      </c>
      <c r="E25">
        <v>138.93940749999999</v>
      </c>
      <c r="F25">
        <v>137.38115060326891</v>
      </c>
      <c r="G25">
        <v>121.3527317647123</v>
      </c>
      <c r="H25">
        <v>131.85242962850461</v>
      </c>
      <c r="I25">
        <v>137.30558766281811</v>
      </c>
      <c r="J25">
        <v>136.35757154120981</v>
      </c>
      <c r="K25">
        <v>131.82765354900749</v>
      </c>
      <c r="L25">
        <v>131.54863929449621</v>
      </c>
      <c r="M25">
        <v>144.10401669989579</v>
      </c>
      <c r="N25">
        <v>141.24725976399199</v>
      </c>
      <c r="O25" s="2">
        <v>-0.1184860604634748</v>
      </c>
      <c r="P25" s="2">
        <v>2.1493114780614109E-2</v>
      </c>
      <c r="Q25" s="2">
        <v>1.003669129564866E-2</v>
      </c>
      <c r="R25" s="2">
        <v>-0.1078054657929042</v>
      </c>
      <c r="S25" s="2">
        <v>-3.061088674490808E-2</v>
      </c>
      <c r="T25" s="2">
        <v>9.4811467975690622E-3</v>
      </c>
      <c r="U25" s="2">
        <v>2.511260007718175E-3</v>
      </c>
      <c r="V25" s="2">
        <v>-3.079304236996017E-2</v>
      </c>
      <c r="W25" s="2">
        <v>-3.2844376437358491E-2</v>
      </c>
      <c r="X25" s="2">
        <v>5.9463715297434439E-2</v>
      </c>
      <c r="Y25" s="2">
        <v>3.8460620544583213E-2</v>
      </c>
    </row>
    <row r="26" spans="2:25" x14ac:dyDescent="0.2">
      <c r="B26" t="s">
        <v>53</v>
      </c>
      <c r="C26">
        <v>140.40700000000001</v>
      </c>
      <c r="D26">
        <v>136.4</v>
      </c>
      <c r="E26">
        <v>137.95000020000001</v>
      </c>
      <c r="F26">
        <v>136.2406487667879</v>
      </c>
      <c r="G26">
        <v>139.0871673300345</v>
      </c>
      <c r="H26">
        <v>139.7661428574859</v>
      </c>
      <c r="I26">
        <v>136.18702065834481</v>
      </c>
      <c r="J26">
        <v>135.4393148829985</v>
      </c>
      <c r="K26">
        <v>139.71887285591271</v>
      </c>
      <c r="L26">
        <v>138.9895572811127</v>
      </c>
      <c r="M26">
        <v>138.91056720127361</v>
      </c>
      <c r="N26">
        <v>136.75056540425379</v>
      </c>
      <c r="O26" s="2">
        <v>-2.853846318203512E-2</v>
      </c>
      <c r="P26" s="2">
        <v>-1.749912611194604E-2</v>
      </c>
      <c r="Q26" s="2">
        <v>-2.9673386891053252E-2</v>
      </c>
      <c r="R26" s="2">
        <v>-9.4000489289387534E-3</v>
      </c>
      <c r="S26" s="2">
        <v>-4.5642819981489557E-3</v>
      </c>
      <c r="T26" s="2">
        <v>-3.0055334432437131E-2</v>
      </c>
      <c r="U26" s="2">
        <v>-3.5380608637756487E-2</v>
      </c>
      <c r="V26" s="2">
        <v>-4.9009461357859552E-3</v>
      </c>
      <c r="W26" s="2">
        <v>-1.0095242536962701E-2</v>
      </c>
      <c r="X26" s="2">
        <v>-1.0657821894395351E-2</v>
      </c>
      <c r="Y26" s="2">
        <v>-2.60416830766711E-2</v>
      </c>
    </row>
    <row r="27" spans="2:25" x14ac:dyDescent="0.2">
      <c r="B27" t="s">
        <v>54</v>
      </c>
      <c r="C27">
        <v>133.88900000000001</v>
      </c>
      <c r="D27">
        <v>126.9</v>
      </c>
      <c r="E27">
        <v>137.0661206</v>
      </c>
      <c r="F27">
        <v>136.31042893829459</v>
      </c>
      <c r="G27">
        <v>129.91347041792901</v>
      </c>
      <c r="H27">
        <v>135.3366439370906</v>
      </c>
      <c r="I27">
        <v>136.26773298479949</v>
      </c>
      <c r="J27">
        <v>135.63830153081909</v>
      </c>
      <c r="K27">
        <v>135.30990573760991</v>
      </c>
      <c r="L27">
        <v>134.851121111233</v>
      </c>
      <c r="M27">
        <v>138.28550526685959</v>
      </c>
      <c r="N27">
        <v>137.47253047807729</v>
      </c>
      <c r="O27" s="2">
        <v>-5.2199956680533899E-2</v>
      </c>
      <c r="P27" s="2">
        <v>2.372951175974114E-2</v>
      </c>
      <c r="Q27" s="2">
        <v>1.8085346356269349E-2</v>
      </c>
      <c r="R27" s="2">
        <v>-2.9692727423992871E-2</v>
      </c>
      <c r="S27" s="2">
        <v>1.0812269395473971E-2</v>
      </c>
      <c r="T27" s="2">
        <v>1.7766455681941459E-2</v>
      </c>
      <c r="U27" s="2">
        <v>1.3065311794240531E-2</v>
      </c>
      <c r="V27" s="2">
        <v>1.061256516674214E-2</v>
      </c>
      <c r="W27" s="2">
        <v>7.1859608424362786E-3</v>
      </c>
      <c r="X27" s="2">
        <v>3.2836941547547127E-2</v>
      </c>
      <c r="Y27" s="2">
        <v>2.6764935715982929E-2</v>
      </c>
    </row>
    <row r="28" spans="2:25" x14ac:dyDescent="0.2">
      <c r="B28" t="s">
        <v>55</v>
      </c>
      <c r="C28">
        <v>151.26400000000001</v>
      </c>
      <c r="D28">
        <v>134.1</v>
      </c>
      <c r="E28">
        <v>135.1688316</v>
      </c>
      <c r="F28">
        <v>134.3851436583729</v>
      </c>
      <c r="G28">
        <v>137.65470197342751</v>
      </c>
      <c r="H28">
        <v>137.18748276688461</v>
      </c>
      <c r="I28">
        <v>134.35305852962489</v>
      </c>
      <c r="J28">
        <v>133.83427499527249</v>
      </c>
      <c r="K28">
        <v>137.1590087374266</v>
      </c>
      <c r="L28">
        <v>136.52633825713829</v>
      </c>
      <c r="M28">
        <v>135.2473090301128</v>
      </c>
      <c r="N28">
        <v>135.41287271081799</v>
      </c>
      <c r="O28" s="2">
        <v>-0.1134704886820395</v>
      </c>
      <c r="P28" s="2">
        <v>-0.1064044875185107</v>
      </c>
      <c r="Q28" s="2">
        <v>-0.1115854158400353</v>
      </c>
      <c r="R28" s="2">
        <v>-8.9970502079625869E-2</v>
      </c>
      <c r="S28" s="2">
        <v>-9.3059268782495819E-2</v>
      </c>
      <c r="T28" s="2">
        <v>-0.1117975292890253</v>
      </c>
      <c r="U28" s="2">
        <v>-0.11522718561407549</v>
      </c>
      <c r="V28" s="2">
        <v>-9.3247509404573714E-2</v>
      </c>
      <c r="W28" s="2">
        <v>-9.7430067582912949E-2</v>
      </c>
      <c r="X28" s="2">
        <v>-0.1058856764986195</v>
      </c>
      <c r="Y28" s="2">
        <v>-0.10479114190542391</v>
      </c>
    </row>
    <row r="29" spans="2:25" x14ac:dyDescent="0.2">
      <c r="B29" t="s">
        <v>71</v>
      </c>
      <c r="C29">
        <v>141.56800000000001</v>
      </c>
      <c r="D29">
        <v>141.56800000000001</v>
      </c>
      <c r="E29">
        <v>142.93196979999999</v>
      </c>
      <c r="F29">
        <v>143.24219304040639</v>
      </c>
      <c r="G29">
        <v>147.9378762867351</v>
      </c>
      <c r="H29">
        <v>147.4989782226705</v>
      </c>
      <c r="I29">
        <v>143.1973584952845</v>
      </c>
      <c r="J29">
        <v>142.4725278246481</v>
      </c>
      <c r="K29">
        <v>147.45590218955681</v>
      </c>
      <c r="L29">
        <v>147.2274610479476</v>
      </c>
      <c r="M29">
        <v>147.67636406971801</v>
      </c>
      <c r="N29">
        <v>142.3502656907965</v>
      </c>
      <c r="O29" s="2">
        <v>0</v>
      </c>
      <c r="P29" s="2">
        <v>9.6347324254066891E-3</v>
      </c>
      <c r="Q29" s="2">
        <v>1.1826069736143641E-2</v>
      </c>
      <c r="R29" s="2">
        <v>4.4995170425061293E-2</v>
      </c>
      <c r="S29" s="2">
        <v>4.1894907201277982E-2</v>
      </c>
      <c r="T29" s="2">
        <v>1.1509370022070531E-2</v>
      </c>
      <c r="U29" s="2">
        <v>6.3893522875799746E-3</v>
      </c>
      <c r="V29" s="2">
        <v>4.1590629164478088E-2</v>
      </c>
      <c r="W29" s="2">
        <v>3.9976979599539282E-2</v>
      </c>
      <c r="X29" s="2">
        <v>4.3147915275471897E-2</v>
      </c>
      <c r="Y29" s="2">
        <v>5.5257239686687942E-3</v>
      </c>
    </row>
    <row r="30" spans="2:25" x14ac:dyDescent="0.2">
      <c r="B30" s="108" t="s">
        <v>148</v>
      </c>
      <c r="C30" s="108"/>
      <c r="D30" s="108"/>
      <c r="E30">
        <f>E$29/(1+P30)</f>
        <v>147.01981022642613</v>
      </c>
      <c r="L30" s="107" t="s">
        <v>141</v>
      </c>
      <c r="M30" s="107"/>
      <c r="N30" s="107"/>
      <c r="O30" s="107"/>
      <c r="P30" s="3">
        <f>AVERAGE(P14:P28)</f>
        <v>-2.7804691219029776E-2</v>
      </c>
    </row>
    <row r="31" spans="2:25" x14ac:dyDescent="0.2">
      <c r="B31" s="96" t="s">
        <v>149</v>
      </c>
      <c r="C31" s="96"/>
      <c r="D31" s="96"/>
      <c r="E31">
        <f>E$29/(1+P31)</f>
        <v>145.54484172267249</v>
      </c>
      <c r="I31" s="3"/>
      <c r="L31" s="96" t="s">
        <v>143</v>
      </c>
      <c r="M31" s="96"/>
      <c r="N31" s="96"/>
      <c r="O31" s="96"/>
      <c r="P31" s="1">
        <f>MEDIAN(P14:P28)</f>
        <v>-1.795234988575678E-2</v>
      </c>
    </row>
    <row r="32" spans="2:25" x14ac:dyDescent="0.2">
      <c r="B32" s="97" t="s">
        <v>150</v>
      </c>
      <c r="C32" s="97"/>
      <c r="D32" s="97"/>
      <c r="E32">
        <f>E$29/(1+P32)</f>
        <v>150.03351295989978</v>
      </c>
      <c r="L32" s="97" t="s">
        <v>142</v>
      </c>
      <c r="M32" s="97"/>
      <c r="N32" s="97"/>
      <c r="O32" s="97"/>
      <c r="P32" s="1">
        <f>AVERAGE(P28,P26,P22:P23,P14:P20)</f>
        <v>-4.7333045929530852E-2</v>
      </c>
    </row>
    <row r="33" spans="1:16" x14ac:dyDescent="0.2">
      <c r="B33" s="98" t="s">
        <v>151</v>
      </c>
      <c r="C33" s="98"/>
      <c r="D33" s="98"/>
      <c r="E33">
        <f>E$29/(1+P33)</f>
        <v>145.93364960179127</v>
      </c>
      <c r="L33" s="98" t="s">
        <v>144</v>
      </c>
      <c r="M33" s="98"/>
      <c r="N33" s="98"/>
      <c r="O33" s="98"/>
      <c r="P33" s="1">
        <f>MEDIAN(P28,P26,P22:P23,P14:P20)</f>
        <v>-2.056879828594671E-2</v>
      </c>
    </row>
    <row r="34" spans="1:16" x14ac:dyDescent="0.2">
      <c r="B34" s="99" t="s">
        <v>152</v>
      </c>
      <c r="C34" s="99"/>
      <c r="D34" s="99"/>
      <c r="E34">
        <f>E$29/(1+P34)</f>
        <v>139.32372438521406</v>
      </c>
      <c r="I34" s="103"/>
      <c r="L34" s="99" t="s">
        <v>145</v>
      </c>
      <c r="M34" s="99"/>
      <c r="N34" s="99"/>
      <c r="O34" s="99"/>
      <c r="P34" s="1">
        <f>AVERAGE(P27,P24,P25,P21)</f>
        <v>2.589828423484819E-2</v>
      </c>
    </row>
    <row r="35" spans="1:16" x14ac:dyDescent="0.2">
      <c r="B35" s="100" t="s">
        <v>153</v>
      </c>
      <c r="C35" s="100"/>
      <c r="D35" s="100"/>
      <c r="E35">
        <f>E$29/(1+P35)</f>
        <v>139.7715514635978</v>
      </c>
      <c r="L35" s="100" t="s">
        <v>146</v>
      </c>
      <c r="M35" s="100"/>
      <c r="N35" s="100"/>
      <c r="O35" s="100"/>
      <c r="P35" s="1">
        <f>MEDIAN(P27,P24,P25,P21)</f>
        <v>2.2611313270177624E-2</v>
      </c>
    </row>
    <row r="37" spans="1:16" x14ac:dyDescent="0.2">
      <c r="A37" s="68" t="s">
        <v>103</v>
      </c>
      <c r="B37" t="s">
        <v>154</v>
      </c>
    </row>
    <row r="38" spans="1:16" x14ac:dyDescent="0.2">
      <c r="B38" t="s">
        <v>155</v>
      </c>
    </row>
    <row r="44" spans="1:16" x14ac:dyDescent="0.2">
      <c r="A44" s="68" t="s">
        <v>105</v>
      </c>
      <c r="B44" s="78" t="s">
        <v>156</v>
      </c>
      <c r="C44" s="79">
        <f>E31</f>
        <v>145.54484172267249</v>
      </c>
      <c r="D44" t="s">
        <v>173</v>
      </c>
    </row>
    <row r="46" spans="1:16" x14ac:dyDescent="0.2">
      <c r="B46" s="178" t="s">
        <v>164</v>
      </c>
      <c r="C46" s="178"/>
      <c r="D46" s="2">
        <f>C44/D29-1</f>
        <v>2.8091388750794533E-2</v>
      </c>
    </row>
    <row r="47" spans="1:16" x14ac:dyDescent="0.2">
      <c r="B47" s="166" t="s">
        <v>163</v>
      </c>
      <c r="C47" s="166"/>
      <c r="D47" s="2">
        <f>'1. Data &amp; Confidence Interval'!R24</f>
        <v>5.2009456264775489E-2</v>
      </c>
    </row>
  </sheetData>
  <mergeCells count="2">
    <mergeCell ref="B47:C47"/>
    <mergeCell ref="B46:C46"/>
  </mergeCells>
  <conditionalFormatting sqref="P21:W28 Q19:W20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2">
      <colorScale>
        <cfvo type="min"/>
        <cfvo type="max"/>
        <color rgb="FF92D050"/>
        <color rgb="FFFF0000"/>
      </colorScale>
    </cfRule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3">
      <colorScale>
        <cfvo type="min"/>
        <cfvo type="max"/>
        <color rgb="FF92D050"/>
        <color rgb="FFC0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31:P35 S29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0:P3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2021-10-21T20:25:42Z</dcterms:modified>
</cp:coreProperties>
</file>