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da.research\personal\rxia\Improved Alpha Models\MMSI\"/>
    </mc:Choice>
  </mc:AlternateContent>
  <xr:revisionPtr revIDLastSave="0" documentId="13_ncr:1_{CE6FE2BF-E6DA-4EB7-BBAC-4CC3338D3F9D}" xr6:coauthVersionLast="46" xr6:coauthVersionMax="46" xr10:uidLastSave="{00000000-0000-0000-0000-000000000000}"/>
  <bookViews>
    <workbookView xWindow="-28920" yWindow="-120" windowWidth="29040" windowHeight="15840" activeTab="3" xr2:uid="{07F493FA-2681-4851-A3A3-ECE0336C6524}"/>
  </bookViews>
  <sheets>
    <sheet name="1. Data &amp; Confidence Interval" sheetId="1" r:id="rId1"/>
    <sheet name="2. Past Proj &amp; Candidate Model" sheetId="2" r:id="rId2"/>
    <sheet name="3. Improved Alpha Model" sheetId="3" r:id="rId3"/>
    <sheet name="4. Resul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5" i="4" l="1"/>
  <c r="V36" i="4"/>
  <c r="V35" i="4"/>
  <c r="V34" i="4"/>
  <c r="V33" i="4"/>
  <c r="V32" i="4"/>
  <c r="V31" i="4"/>
  <c r="Q16" i="2"/>
  <c r="L16" i="2"/>
  <c r="M16" i="2"/>
  <c r="N16" i="2"/>
  <c r="O16" i="2"/>
  <c r="P16" i="2"/>
  <c r="K16" i="2"/>
  <c r="K24" i="2" s="1"/>
  <c r="J16" i="2"/>
  <c r="J23" i="2"/>
  <c r="D48" i="4" l="1"/>
  <c r="K36" i="4"/>
  <c r="K35" i="4"/>
  <c r="K34" i="4"/>
  <c r="K33" i="4"/>
  <c r="K32" i="4"/>
  <c r="K31" i="4"/>
  <c r="C2" i="4"/>
  <c r="P23" i="2"/>
  <c r="K23" i="2"/>
  <c r="Q23" i="2" s="1"/>
  <c r="L23" i="2"/>
  <c r="M23" i="2"/>
  <c r="N23" i="2"/>
  <c r="O23" i="2"/>
  <c r="R25" i="1"/>
  <c r="O25" i="1"/>
  <c r="R24" i="1"/>
  <c r="O24" i="1"/>
  <c r="AG26" i="1"/>
  <c r="AG25" i="1"/>
  <c r="AG24" i="1"/>
  <c r="AA22" i="1" l="1"/>
  <c r="AB22" i="1"/>
  <c r="AC22" i="1"/>
  <c r="O22" i="1"/>
  <c r="O20" i="1"/>
  <c r="D47" i="4" l="1"/>
  <c r="J38" i="2"/>
  <c r="J39" i="2"/>
  <c r="G38" i="2"/>
  <c r="G39" i="2"/>
  <c r="F38" i="2"/>
  <c r="AF18" i="1"/>
  <c r="R28" i="2" l="1"/>
  <c r="K29" i="2"/>
  <c r="L29" i="2"/>
  <c r="M29" i="2"/>
  <c r="N29" i="2"/>
  <c r="O29" i="2"/>
  <c r="P29" i="2"/>
  <c r="Q29" i="2"/>
  <c r="R29" i="2"/>
  <c r="A28" i="2"/>
  <c r="B28" i="2"/>
  <c r="C28" i="2"/>
  <c r="D28" i="2"/>
  <c r="E28" i="2"/>
  <c r="F28" i="2"/>
  <c r="G28" i="2"/>
  <c r="H28" i="2"/>
  <c r="I28" i="2"/>
  <c r="J28" i="2"/>
  <c r="J41" i="2" l="1"/>
  <c r="J40" i="2"/>
  <c r="R24" i="2"/>
  <c r="H38" i="2"/>
  <c r="H39" i="2"/>
  <c r="G43" i="2"/>
  <c r="G42" i="2"/>
  <c r="G41" i="2"/>
  <c r="G40" i="2"/>
  <c r="G36" i="2"/>
  <c r="G35" i="2"/>
  <c r="E40" i="2"/>
  <c r="E39" i="2"/>
  <c r="E38" i="2"/>
  <c r="E37" i="2"/>
  <c r="E36" i="2"/>
  <c r="E35" i="2"/>
  <c r="E34" i="2"/>
  <c r="E33" i="2"/>
  <c r="E32" i="2"/>
  <c r="E31" i="2"/>
  <c r="E30" i="2"/>
  <c r="AG18" i="1"/>
  <c r="F17" i="1"/>
  <c r="N17" i="1"/>
  <c r="M17" i="1"/>
  <c r="L17" i="1"/>
  <c r="K17" i="1"/>
  <c r="I18" i="1"/>
  <c r="H18" i="1"/>
  <c r="F18" i="1"/>
  <c r="J24" i="2" l="1"/>
  <c r="AF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Q30" i="2"/>
  <c r="P30" i="2"/>
  <c r="O30" i="2"/>
  <c r="N30" i="2"/>
  <c r="M30" i="2"/>
  <c r="L30" i="2"/>
  <c r="K30" i="2"/>
  <c r="R30" i="2"/>
  <c r="A29" i="2"/>
  <c r="B29" i="2"/>
  <c r="C29" i="2"/>
  <c r="D29" i="2"/>
  <c r="E29" i="2"/>
  <c r="F29" i="2"/>
  <c r="G29" i="2"/>
  <c r="H29" i="2"/>
  <c r="I29" i="2"/>
  <c r="J29" i="2"/>
  <c r="Q24" i="2"/>
  <c r="P24" i="2"/>
  <c r="O24" i="2"/>
  <c r="N24" i="2"/>
  <c r="M24" i="2"/>
  <c r="L24" i="2"/>
  <c r="I24" i="2"/>
  <c r="H24" i="2"/>
  <c r="G24" i="2"/>
  <c r="F24" i="2"/>
  <c r="E24" i="2"/>
  <c r="AF17" i="1"/>
  <c r="AE17" i="1"/>
  <c r="AD17" i="1"/>
  <c r="AC17" i="1"/>
  <c r="AB17" i="1"/>
  <c r="AE20" i="1"/>
  <c r="AD20" i="1"/>
  <c r="AC20" i="1"/>
  <c r="AB20" i="1"/>
  <c r="AA20" i="1"/>
  <c r="V20" i="1"/>
  <c r="U20" i="1"/>
  <c r="T20" i="1"/>
  <c r="S20" i="1"/>
  <c r="R20" i="1"/>
  <c r="Q20" i="1"/>
  <c r="P20" i="1"/>
  <c r="AE18" i="1"/>
  <c r="AD18" i="1"/>
  <c r="O18" i="1"/>
  <c r="N18" i="1"/>
  <c r="M18" i="1"/>
  <c r="L18" i="1"/>
  <c r="K18" i="1"/>
  <c r="J18" i="1"/>
  <c r="G18" i="1"/>
  <c r="H17" i="1"/>
  <c r="G17" i="1"/>
  <c r="J30" i="2"/>
  <c r="I30" i="2"/>
  <c r="H30" i="2"/>
  <c r="G30" i="2"/>
  <c r="F30" i="2"/>
  <c r="A31" i="2"/>
  <c r="B31" i="2"/>
  <c r="C31" i="2"/>
  <c r="D31" i="2"/>
  <c r="A32" i="2"/>
  <c r="B32" i="2"/>
  <c r="C32" i="2"/>
  <c r="D32" i="2"/>
  <c r="A33" i="2"/>
  <c r="B33" i="2"/>
  <c r="C33" i="2"/>
  <c r="D33" i="2"/>
  <c r="A34" i="2"/>
  <c r="B34" i="2"/>
  <c r="C34" i="2"/>
  <c r="D34" i="2"/>
  <c r="A35" i="2"/>
  <c r="B35" i="2"/>
  <c r="C35" i="2"/>
  <c r="D35" i="2"/>
  <c r="A36" i="2"/>
  <c r="B36" i="2"/>
  <c r="C36" i="2"/>
  <c r="D36" i="2"/>
  <c r="A37" i="2"/>
  <c r="B37" i="2"/>
  <c r="C37" i="2"/>
  <c r="D37" i="2"/>
  <c r="A38" i="2"/>
  <c r="B38" i="2"/>
  <c r="C38" i="2"/>
  <c r="D38" i="2"/>
  <c r="A39" i="2"/>
  <c r="B39" i="2"/>
  <c r="C39" i="2"/>
  <c r="D39" i="2"/>
  <c r="A40" i="2"/>
  <c r="B40" i="2"/>
  <c r="C40" i="2"/>
  <c r="D40" i="2"/>
  <c r="A41" i="2"/>
  <c r="B41" i="2"/>
  <c r="C41" i="2"/>
  <c r="D41" i="2"/>
  <c r="A42" i="2"/>
  <c r="B42" i="2"/>
  <c r="C42" i="2"/>
  <c r="D42" i="2"/>
  <c r="A43" i="2"/>
  <c r="B43" i="2"/>
  <c r="C43" i="2"/>
  <c r="D43" i="2"/>
  <c r="B30" i="2"/>
  <c r="C30" i="2"/>
  <c r="D30" i="2"/>
  <c r="A30" i="2"/>
  <c r="I23" i="3"/>
  <c r="E23" i="3"/>
  <c r="AA17" i="1"/>
  <c r="Z17" i="1"/>
  <c r="Y17" i="1"/>
  <c r="X17" i="1"/>
  <c r="I10" i="1" l="1"/>
  <c r="R21" i="1"/>
  <c r="AG20" i="1"/>
  <c r="AF10" i="1"/>
  <c r="C7" i="1"/>
  <c r="AE22" i="1"/>
  <c r="AD22" i="1"/>
  <c r="V22" i="1"/>
  <c r="AC23" i="1" s="1"/>
  <c r="U22" i="1"/>
  <c r="AB23" i="1" s="1"/>
  <c r="T22" i="1"/>
  <c r="AA23" i="1" s="1"/>
  <c r="S22" i="1"/>
  <c r="R22" i="1"/>
  <c r="Q22" i="1"/>
  <c r="P22" i="1"/>
  <c r="Y18" i="1"/>
  <c r="X18" i="1"/>
  <c r="W18" i="1"/>
  <c r="V18" i="1"/>
  <c r="U18" i="1"/>
  <c r="T18" i="1"/>
  <c r="S18" i="1"/>
  <c r="R18" i="1"/>
  <c r="Q18" i="1"/>
  <c r="P18" i="1"/>
  <c r="I17" i="1"/>
  <c r="J17" i="1"/>
  <c r="O17" i="1"/>
  <c r="P17" i="1"/>
  <c r="Q17" i="1"/>
  <c r="R17" i="1"/>
  <c r="S17" i="1"/>
  <c r="T17" i="1"/>
  <c r="U17" i="1"/>
  <c r="V17" i="1"/>
  <c r="W17" i="1"/>
  <c r="F19" i="3"/>
  <c r="AE23" i="1" l="1"/>
  <c r="AD23" i="1"/>
  <c r="AG22" i="1"/>
  <c r="R23" i="1"/>
  <c r="B7" i="1"/>
  <c r="R43" i="2"/>
  <c r="R42" i="2"/>
  <c r="R41" i="2"/>
  <c r="R40" i="2"/>
  <c r="R38" i="2"/>
  <c r="R37" i="2"/>
  <c r="R36" i="2"/>
  <c r="R35" i="2"/>
  <c r="R34" i="2"/>
  <c r="R33" i="2"/>
  <c r="R32" i="2"/>
  <c r="R31" i="2"/>
  <c r="I2" i="1" l="1"/>
  <c r="J2" i="1"/>
  <c r="J3" i="1"/>
  <c r="I3" i="1"/>
  <c r="H19" i="3"/>
  <c r="K2" i="1" l="1"/>
  <c r="L2" i="1" s="1"/>
  <c r="K3" i="1"/>
  <c r="L3" i="1" s="1"/>
  <c r="R39" i="2"/>
  <c r="R44" i="2" s="1" a="1"/>
  <c r="R44" i="2" s="1"/>
  <c r="K31" i="2"/>
  <c r="L31" i="2"/>
  <c r="M31" i="2"/>
  <c r="N31" i="2"/>
  <c r="O31" i="2"/>
  <c r="P31" i="2"/>
  <c r="Q31" i="2"/>
  <c r="K32" i="2"/>
  <c r="L32" i="2"/>
  <c r="M32" i="2"/>
  <c r="N32" i="2"/>
  <c r="O32" i="2"/>
  <c r="P32" i="2"/>
  <c r="Q32" i="2"/>
  <c r="K33" i="2"/>
  <c r="L33" i="2"/>
  <c r="M33" i="2"/>
  <c r="N33" i="2"/>
  <c r="O33" i="2"/>
  <c r="P33" i="2"/>
  <c r="Q33" i="2"/>
  <c r="K34" i="2"/>
  <c r="L34" i="2"/>
  <c r="M34" i="2"/>
  <c r="N34" i="2"/>
  <c r="O34" i="2"/>
  <c r="P34" i="2"/>
  <c r="Q34" i="2"/>
  <c r="K35" i="2"/>
  <c r="L35" i="2"/>
  <c r="M35" i="2"/>
  <c r="N35" i="2"/>
  <c r="O35" i="2"/>
  <c r="P35" i="2"/>
  <c r="Q35" i="2"/>
  <c r="K36" i="2"/>
  <c r="L36" i="2"/>
  <c r="M36" i="2"/>
  <c r="N36" i="2"/>
  <c r="O36" i="2"/>
  <c r="P36" i="2"/>
  <c r="Q36" i="2"/>
  <c r="K37" i="2"/>
  <c r="L37" i="2"/>
  <c r="M37" i="2"/>
  <c r="N37" i="2"/>
  <c r="O37" i="2"/>
  <c r="P37" i="2"/>
  <c r="Q37" i="2"/>
  <c r="K38" i="2"/>
  <c r="L38" i="2"/>
  <c r="M38" i="2"/>
  <c r="N38" i="2"/>
  <c r="O38" i="2"/>
  <c r="P38" i="2"/>
  <c r="Q38" i="2"/>
  <c r="K39" i="2"/>
  <c r="L39" i="2"/>
  <c r="M39" i="2"/>
  <c r="N39" i="2"/>
  <c r="O39" i="2"/>
  <c r="P39" i="2"/>
  <c r="Q39" i="2"/>
  <c r="K40" i="2"/>
  <c r="L40" i="2"/>
  <c r="M40" i="2"/>
  <c r="N40" i="2"/>
  <c r="O40" i="2"/>
  <c r="P40" i="2"/>
  <c r="Q40" i="2"/>
  <c r="K41" i="2"/>
  <c r="L41" i="2"/>
  <c r="M41" i="2"/>
  <c r="N41" i="2"/>
  <c r="O41" i="2"/>
  <c r="P41" i="2"/>
  <c r="Q41" i="2"/>
  <c r="K42" i="2"/>
  <c r="L42" i="2"/>
  <c r="M42" i="2"/>
  <c r="N42" i="2"/>
  <c r="O42" i="2"/>
  <c r="P42" i="2"/>
  <c r="Q42" i="2"/>
  <c r="K43" i="2"/>
  <c r="L43" i="2"/>
  <c r="M43" i="2"/>
  <c r="N43" i="2"/>
  <c r="O43" i="2"/>
  <c r="P43" i="2"/>
  <c r="Q43" i="2"/>
  <c r="E43" i="2"/>
  <c r="F31" i="2"/>
  <c r="G31" i="2"/>
  <c r="H31" i="2"/>
  <c r="I31" i="2"/>
  <c r="J31" i="2"/>
  <c r="F32" i="2"/>
  <c r="G32" i="2"/>
  <c r="H32" i="2"/>
  <c r="I32" i="2"/>
  <c r="J32" i="2"/>
  <c r="F33" i="2"/>
  <c r="G33" i="2"/>
  <c r="H33" i="2"/>
  <c r="I33" i="2"/>
  <c r="J33" i="2"/>
  <c r="F34" i="2"/>
  <c r="G34" i="2"/>
  <c r="H34" i="2"/>
  <c r="I34" i="2"/>
  <c r="J34" i="2"/>
  <c r="F35" i="2"/>
  <c r="H35" i="2"/>
  <c r="I35" i="2"/>
  <c r="J35" i="2"/>
  <c r="F36" i="2"/>
  <c r="H36" i="2"/>
  <c r="I36" i="2"/>
  <c r="J36" i="2"/>
  <c r="F37" i="2"/>
  <c r="G37" i="2"/>
  <c r="H37" i="2"/>
  <c r="I37" i="2"/>
  <c r="J37" i="2"/>
  <c r="I38" i="2"/>
  <c r="F39" i="2"/>
  <c r="I39" i="2"/>
  <c r="F40" i="2"/>
  <c r="H40" i="2"/>
  <c r="I40" i="2"/>
  <c r="E41" i="2"/>
  <c r="F41" i="2"/>
  <c r="H41" i="2"/>
  <c r="I41" i="2"/>
  <c r="E42" i="2"/>
  <c r="F42" i="2"/>
  <c r="H42" i="2"/>
  <c r="I42" i="2"/>
  <c r="J42" i="2"/>
  <c r="F43" i="2"/>
  <c r="H43" i="2"/>
  <c r="I43" i="2"/>
  <c r="J43" i="2"/>
  <c r="E45" i="2" l="1" a="1"/>
  <c r="E45" i="2" s="1"/>
  <c r="E44" i="2" a="1"/>
  <c r="E44" i="2" s="1"/>
  <c r="H45" i="2" a="1"/>
  <c r="H45" i="2" s="1"/>
  <c r="H44" i="2" a="1"/>
  <c r="H44" i="2" s="1"/>
  <c r="Q45" i="2" a="1"/>
  <c r="Q45" i="2" s="1"/>
  <c r="Q44" i="2" a="1"/>
  <c r="Q44" i="2" s="1"/>
  <c r="P44" i="2" a="1"/>
  <c r="P44" i="2" s="1"/>
  <c r="P45" i="2" a="1"/>
  <c r="P45" i="2" s="1"/>
  <c r="F44" i="2" a="1"/>
  <c r="F44" i="2" s="1"/>
  <c r="F45" i="2" a="1"/>
  <c r="F45" i="2" s="1"/>
  <c r="N45" i="2" a="1"/>
  <c r="N45" i="2" s="1"/>
  <c r="N44" i="2" a="1"/>
  <c r="N44" i="2" s="1"/>
  <c r="M45" i="2" a="1"/>
  <c r="M45" i="2" s="1"/>
  <c r="M44" i="2" a="1"/>
  <c r="M44" i="2" s="1"/>
  <c r="O45" i="2" a="1"/>
  <c r="O45" i="2" s="1"/>
  <c r="O44" i="2" a="1"/>
  <c r="O44" i="2" s="1"/>
  <c r="L44" i="2" a="1"/>
  <c r="L44" i="2" s="1"/>
  <c r="L45" i="2" a="1"/>
  <c r="L45" i="2" s="1"/>
  <c r="J44" i="2" a="1"/>
  <c r="J44" i="2" s="1"/>
  <c r="J45" i="2" a="1"/>
  <c r="J45" i="2" s="1"/>
  <c r="K45" i="2" a="1"/>
  <c r="K45" i="2" s="1"/>
  <c r="K44" i="2" a="1"/>
  <c r="K44" i="2" s="1"/>
  <c r="G45" i="2" a="1"/>
  <c r="G45" i="2" s="1"/>
  <c r="G44" i="2" a="1"/>
  <c r="G44" i="2" s="1"/>
  <c r="I44" i="2" a="1"/>
  <c r="I44" i="2" s="1"/>
  <c r="I45" i="2" a="1"/>
  <c r="I45" i="2" s="1"/>
  <c r="R45" i="2" a="1"/>
  <c r="R45" i="2" s="1"/>
  <c r="AD21" i="1"/>
  <c r="S21" i="1"/>
  <c r="AE21" i="1"/>
  <c r="AA21" i="1"/>
  <c r="T21" i="1"/>
  <c r="U21" i="1"/>
  <c r="V21" i="1"/>
  <c r="U23" i="1"/>
  <c r="T23" i="1"/>
  <c r="S23" i="1"/>
  <c r="V23" i="1"/>
  <c r="AC21" i="1"/>
  <c r="AB21" i="1"/>
  <c r="AG21" i="1" l="1"/>
  <c r="AG23" i="1"/>
  <c r="K4" i="1"/>
  <c r="L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<sst xmlns="http://schemas.openxmlformats.org/spreadsheetml/2006/main" count="308" uniqueCount="175">
  <si>
    <t>Consensus</t>
  </si>
  <si>
    <t>VA Actual</t>
  </si>
  <si>
    <t>YoY Growth</t>
  </si>
  <si>
    <t>Q2</t>
  </si>
  <si>
    <t>Q3</t>
  </si>
  <si>
    <t>Q4</t>
  </si>
  <si>
    <t>DATA</t>
  </si>
  <si>
    <t>Beat (1 Yes, 0 No)</t>
  </si>
  <si>
    <t>Avg Beat</t>
  </si>
  <si>
    <t>Beat Moving Avg (4)</t>
  </si>
  <si>
    <t>Avg Beat MA</t>
  </si>
  <si>
    <t>Beat Pct</t>
  </si>
  <si>
    <t>Beat Pct MA (4)</t>
  </si>
  <si>
    <t>Median Beat Pct</t>
  </si>
  <si>
    <t>Median Beat Pct MA</t>
  </si>
  <si>
    <t>Avg YoY Growth</t>
  </si>
  <si>
    <t>Avg Last 4 Qtr YoY GR</t>
  </si>
  <si>
    <t>US Pre-Q Revenue</t>
  </si>
  <si>
    <t>US to Total Proportion Revenue</t>
  </si>
  <si>
    <t>QTR</t>
  </si>
  <si>
    <t>Q1</t>
  </si>
  <si>
    <t>Q3E</t>
  </si>
  <si>
    <t>Q4E</t>
  </si>
  <si>
    <t>Avg Last 4 Qtr US to Total Proportion Revenue</t>
  </si>
  <si>
    <t>QTR Distributions</t>
  </si>
  <si>
    <t>Avg Positive Beat</t>
  </si>
  <si>
    <t>Avg Negative Beat</t>
  </si>
  <si>
    <t>Q3 Quarter Distribution Avg</t>
  </si>
  <si>
    <t>Q3 Quarter Distribution Standard Deviation</t>
  </si>
  <si>
    <t>Median Positive Beat</t>
  </si>
  <si>
    <t>Median Negative Beat</t>
  </si>
  <si>
    <t>Lower</t>
  </si>
  <si>
    <t>Upper</t>
  </si>
  <si>
    <t>GUIDANCE</t>
  </si>
  <si>
    <t>PARAMETERS</t>
  </si>
  <si>
    <t>Confidance Interval</t>
  </si>
  <si>
    <t>USA Guidance</t>
  </si>
  <si>
    <t>Lower Confidence Interval</t>
  </si>
  <si>
    <t>Upper Confidence Interval</t>
  </si>
  <si>
    <t>Avg</t>
  </si>
  <si>
    <t>Total</t>
  </si>
  <si>
    <t>Expected YoY Growth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</si>
  <si>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</si>
  <si>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</si>
  <si>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</si>
  <si>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</si>
  <si>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</si>
  <si>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</si>
  <si>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</si>
  <si>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</si>
  <si>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</si>
  <si>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</si>
  <si>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</si>
  <si>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</si>
  <si>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</si>
  <si>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</si>
  <si>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TICKER</t>
  </si>
  <si>
    <t>REVENUE_TYPE</t>
  </si>
  <si>
    <t>CutDate</t>
  </si>
  <si>
    <t>SS_12_12 Estimate</t>
  </si>
  <si>
    <t>SS_NO_LR</t>
  </si>
  <si>
    <t>NSS_12_12_Estimate</t>
  </si>
  <si>
    <t>Average</t>
  </si>
  <si>
    <t>SS_12_12 Estimate_GR</t>
  </si>
  <si>
    <t>SS_NO_LR_GR</t>
  </si>
  <si>
    <t>NSS_12_12_Estimate_GR</t>
  </si>
  <si>
    <t>Average_GR</t>
  </si>
  <si>
    <t>AVG_AVG_GR</t>
  </si>
  <si>
    <t>Calendar Year</t>
  </si>
  <si>
    <t>SS 12_03 LR</t>
  </si>
  <si>
    <t>NSS 12_03 LR</t>
  </si>
  <si>
    <t>2021Q3</t>
  </si>
  <si>
    <t>Reported Revenue</t>
  </si>
  <si>
    <t>SS 12_03_LR_GR</t>
  </si>
  <si>
    <t>NSS 12_03_LR_GR</t>
  </si>
  <si>
    <t>CORRELATION W/O 2021Q3</t>
  </si>
  <si>
    <t>Historical Projections</t>
  </si>
  <si>
    <t>Projection Accuracy</t>
  </si>
  <si>
    <t>Absolute Average</t>
  </si>
  <si>
    <t>Standard Deviation from 0</t>
  </si>
  <si>
    <t>NOTE:</t>
  </si>
  <si>
    <t>The Best Linear Regression Models (Linear Models) comes either from best correlations or Best (lowest) Accuracy or Best (Standard Deviation) Accuracy</t>
  </si>
  <si>
    <t>From Step 2. We input the historical values for the projection methodology and add a layered forward chaining linear models regression</t>
  </si>
  <si>
    <t>2021Q2 Results</t>
  </si>
  <si>
    <t>Notes</t>
  </si>
  <si>
    <t>CONSENSUS</t>
  </si>
  <si>
    <t>PROJ</t>
  </si>
  <si>
    <t>LR</t>
  </si>
  <si>
    <t>LR_CON</t>
  </si>
  <si>
    <t>LR_CON_PROJ</t>
  </si>
  <si>
    <t>RIDGE</t>
  </si>
  <si>
    <t>LASSO</t>
  </si>
  <si>
    <t>RIDGE_CON</t>
  </si>
  <si>
    <t>LASSO_CON</t>
  </si>
  <si>
    <t>QUAD</t>
  </si>
  <si>
    <t>CUBIC</t>
  </si>
  <si>
    <t>AVG</t>
  </si>
  <si>
    <t>STD</t>
  </si>
  <si>
    <t>MEDIAN</t>
  </si>
  <si>
    <t>1.</t>
  </si>
  <si>
    <t>2.</t>
  </si>
  <si>
    <t>3.</t>
  </si>
  <si>
    <t>4.</t>
  </si>
  <si>
    <t>5.</t>
  </si>
  <si>
    <t>STEP</t>
  </si>
  <si>
    <t>6.</t>
  </si>
  <si>
    <t>2. Past Proj &amp; Candidate Model'!A45:B45</t>
  </si>
  <si>
    <t>7.</t>
  </si>
  <si>
    <t>The predicted 2021Q2 Revenue is then:</t>
  </si>
  <si>
    <t>Acuuracy:</t>
  </si>
  <si>
    <t>off</t>
  </si>
  <si>
    <t xml:space="preserve">This methodology scored: </t>
  </si>
  <si>
    <t>Finding the best methodology in the previous quarter. (Do not put 2021Q3 data point into the pandas data frame in LR_adj.py)</t>
  </si>
  <si>
    <t xml:space="preserve">To explain each methodology result. </t>
  </si>
  <si>
    <t>1. Consensus is the benchmark. It is how well consensus performs in the same out of sample</t>
  </si>
  <si>
    <t>2. Projection is the inputted data series from past projection</t>
  </si>
  <si>
    <t>3. LR is the linear regression with the projection as X values and Reported Revenue as Y</t>
  </si>
  <si>
    <t>4. LR_CON is the linear regression that doesn't uses the projection and takes consensus values and run the regression with it. Example on the right</t>
  </si>
  <si>
    <t>5. LR_CON_PROJ is the multi-linear regression that takes both consensus and projection as X and outputs predicted reported revenue</t>
  </si>
  <si>
    <t>6. Ridge is a modified linear regression method. This takes projection as X and outputs predicted reported revenue as Y</t>
  </si>
  <si>
    <t>6. Lasso is an another modified linear regression method. This takes projection as X and outputs predicted reported revenue as Y</t>
  </si>
  <si>
    <t>7. Ridge_CON is the multi-linear regression with the projection and consensus as X and outputs predicted reported revenue as Y</t>
  </si>
  <si>
    <t>8. LASSO_CON is the multi-linear regression with the projection and consensus as X and outputs predicted reported revenue as Y</t>
  </si>
  <si>
    <t>Overall Result</t>
  </si>
  <si>
    <t>Step</t>
  </si>
  <si>
    <t>DATE</t>
  </si>
  <si>
    <t>REVENUE</t>
  </si>
  <si>
    <t>acc_CON</t>
  </si>
  <si>
    <t>acc_PROJ</t>
  </si>
  <si>
    <t>acc_LR</t>
  </si>
  <si>
    <t>acc_LR_CON</t>
  </si>
  <si>
    <t>acc_LR_CON_PROJ</t>
  </si>
  <si>
    <t>acc_RIDGE</t>
  </si>
  <si>
    <t>acc_LASSO</t>
  </si>
  <si>
    <t>acc_RIDGE_CON</t>
  </si>
  <si>
    <t>acc_LASSO_CON</t>
  </si>
  <si>
    <t>acc_QUAD</t>
  </si>
  <si>
    <t>acc_CUBIC</t>
  </si>
  <si>
    <t>Improved Alpha Model</t>
  </si>
  <si>
    <t>This is the same average and standard deviation calculation found in Cell</t>
  </si>
  <si>
    <t>Median value is there to show how often the back-test overshoots or undershoots the results. Negative means it overshoots.</t>
  </si>
  <si>
    <t>Average Undershoot or Overshoot:</t>
  </si>
  <si>
    <t>Average Undershoot</t>
  </si>
  <si>
    <t>Median Undershoot or Overshoot:</t>
  </si>
  <si>
    <t>Median Undershoot</t>
  </si>
  <si>
    <t>Average Overshoot</t>
  </si>
  <si>
    <t>Median Overshoot</t>
  </si>
  <si>
    <r>
      <t xml:space="preserve">You can find the script in this directory </t>
    </r>
    <r>
      <rPr>
        <b/>
        <sz val="10"/>
        <color theme="1"/>
        <rFont val="Arial"/>
        <family val="2"/>
      </rPr>
      <t>C:\dev\da.research\personal\rxia\LR_Adj.py</t>
    </r>
  </si>
  <si>
    <t>Scaling Average Undershoot or Overshoot:</t>
  </si>
  <si>
    <t>Scaling Median Undershoot or Overshoot:</t>
  </si>
  <si>
    <t>Scaling Average Undershoot</t>
  </si>
  <si>
    <t>Scaling Median Undershoot</t>
  </si>
  <si>
    <t>Scaling Average Overshoot</t>
  </si>
  <si>
    <t>Scaling Median Overshoot</t>
  </si>
  <si>
    <t>Depending on the belief, if you think the results currently is larger than what it is currently is then we can use the miss value at average overshoot</t>
  </si>
  <si>
    <t xml:space="preserve">However the average or median undershoot or overshoot is unbiased. </t>
  </si>
  <si>
    <t>Use:</t>
  </si>
  <si>
    <t>Total Revenue</t>
  </si>
  <si>
    <t>Input those as projection into python script in step 3.</t>
  </si>
  <si>
    <t>Consensus average scored:</t>
  </si>
  <si>
    <t>Since:</t>
  </si>
  <si>
    <t>Methodology performed the best at in 2021Q2, we use it to predict Q3</t>
  </si>
  <si>
    <t>These average are biased because it compares it to the relative the inputted reported revenue. Since we do not have 2021Q3, I input consensus in there. See Step 4 for the regression summary.</t>
  </si>
  <si>
    <t>Historical Average Beat\Miss:</t>
  </si>
  <si>
    <t>Improved Alpha Implied Beat/Miss:</t>
  </si>
  <si>
    <t>For Sheet 3 Regression Removed 2020Q2</t>
  </si>
  <si>
    <t>2017Q4</t>
  </si>
  <si>
    <t>which is not inline with the confidence interval in step1. If this value is unsatisfactory, use confidence interval.</t>
  </si>
  <si>
    <t>2017Q3</t>
  </si>
  <si>
    <r>
      <t xml:space="preserve">I store the output for each ticker in </t>
    </r>
    <r>
      <rPr>
        <b/>
        <sz val="10"/>
        <color theme="1"/>
        <rFont val="Arial"/>
        <family val="2"/>
      </rPr>
      <t>C:\dev\da.research\personal\rxia\Alphas</t>
    </r>
    <r>
      <rPr>
        <sz val="10"/>
        <color theme="1"/>
        <rFont val="Arial"/>
        <family val="2"/>
      </rPr>
      <t>\{TICKER}</t>
    </r>
  </si>
  <si>
    <t>2017Q2</t>
  </si>
  <si>
    <t>MMSI_END</t>
  </si>
  <si>
    <t>Endoscopy</t>
  </si>
  <si>
    <t>SSLR RMQ2</t>
  </si>
  <si>
    <t>SS_LR RM 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</si>
</sst>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0.0000"/>
    <numFmt numFmtId="166" formatCode="0.0"/>
    <numFmt numFmtId="167" formatCode="0.00000"/>
  </numFmts>
  <fonts count="1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Calibri"/>
      <family val="2"/>
    </font>
    <font>
      <sz val="11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9">
    <xf numFmtId="0" fontId="0" fillId="0" borderId="0" xfId="0"/>
    <xf numFmtId="10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0" fillId="0" borderId="1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8" borderId="1" xfId="0" applyFill="1" applyBorder="1"/>
    <xf numFmtId="164" fontId="0" fillId="0" borderId="0" xfId="1" applyNumberFormat="1" applyFont="1" applyBorder="1"/>
    <xf numFmtId="0" fontId="0" fillId="8" borderId="11" xfId="0" applyFill="1" applyBorder="1"/>
    <xf numFmtId="0" fontId="0" fillId="3" borderId="6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164" fontId="0" fillId="0" borderId="11" xfId="0" applyNumberFormat="1" applyBorder="1"/>
    <xf numFmtId="164" fontId="0" fillId="0" borderId="12" xfId="0" applyNumberFormat="1" applyBorder="1"/>
    <xf numFmtId="0" fontId="0" fillId="11" borderId="1" xfId="0" applyFill="1" applyBorder="1"/>
    <xf numFmtId="9" fontId="0" fillId="0" borderId="1" xfId="0" applyNumberFormat="1" applyBorder="1"/>
    <xf numFmtId="0" fontId="0" fillId="8" borderId="14" xfId="0" applyFill="1" applyBorder="1"/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0" borderId="9" xfId="1" applyNumberFormat="1" applyFont="1" applyBorder="1"/>
    <xf numFmtId="0" fontId="0" fillId="8" borderId="2" xfId="0" applyFill="1" applyBorder="1"/>
    <xf numFmtId="164" fontId="4" fillId="0" borderId="4" xfId="1" applyNumberFormat="1" applyFont="1" applyFill="1" applyBorder="1"/>
    <xf numFmtId="164" fontId="0" fillId="0" borderId="4" xfId="0" applyNumberFormat="1" applyBorder="1"/>
    <xf numFmtId="10" fontId="0" fillId="0" borderId="4" xfId="0" applyNumberFormat="1" applyFill="1" applyBorder="1"/>
    <xf numFmtId="0" fontId="0" fillId="8" borderId="10" xfId="0" applyFill="1" applyBorder="1"/>
    <xf numFmtId="164" fontId="0" fillId="0" borderId="7" xfId="0" applyNumberFormat="1" applyBorder="1"/>
    <xf numFmtId="10" fontId="0" fillId="0" borderId="12" xfId="1" applyNumberFormat="1" applyFont="1" applyBorder="1"/>
    <xf numFmtId="0" fontId="0" fillId="2" borderId="6" xfId="0" applyFill="1" applyBorder="1"/>
    <xf numFmtId="0" fontId="0" fillId="2" borderId="7" xfId="0" applyFill="1" applyBorder="1"/>
    <xf numFmtId="0" fontId="0" fillId="0" borderId="0" xfId="0" applyFill="1" applyAlignment="1">
      <alignment horizontal="center" vertical="center"/>
    </xf>
    <xf numFmtId="0" fontId="0" fillId="14" borderId="4" xfId="0" applyFill="1" applyBorder="1"/>
    <xf numFmtId="0" fontId="5" fillId="3" borderId="8" xfId="0" applyFont="1" applyFill="1" applyBorder="1"/>
    <xf numFmtId="0" fontId="6" fillId="5" borderId="10" xfId="0" applyFont="1" applyFill="1" applyBorder="1" applyAlignment="1">
      <alignment horizontal="left" vertical="center"/>
    </xf>
    <xf numFmtId="166" fontId="6" fillId="0" borderId="11" xfId="0" applyNumberFormat="1" applyFont="1" applyFill="1" applyBorder="1" applyAlignment="1">
      <alignment horizontal="center" vertical="center"/>
    </xf>
    <xf numFmtId="166" fontId="6" fillId="0" borderId="12" xfId="0" applyNumberFormat="1" applyFont="1" applyFill="1" applyBorder="1" applyAlignment="1">
      <alignment horizontal="center" vertical="center"/>
    </xf>
    <xf numFmtId="0" fontId="7" fillId="13" borderId="0" xfId="0" applyFont="1" applyFill="1" applyBorder="1"/>
    <xf numFmtId="0" fontId="7" fillId="13" borderId="9" xfId="0" applyFont="1" applyFill="1" applyBorder="1"/>
    <xf numFmtId="0" fontId="3" fillId="12" borderId="5" xfId="0" applyFont="1" applyFill="1" applyBorder="1"/>
    <xf numFmtId="0" fontId="0" fillId="10" borderId="8" xfId="0" applyFill="1" applyBorder="1"/>
    <xf numFmtId="0" fontId="0" fillId="10" borderId="0" xfId="0" applyFill="1" applyBorder="1"/>
    <xf numFmtId="0" fontId="0" fillId="0" borderId="3" xfId="0" applyBorder="1"/>
    <xf numFmtId="166" fontId="0" fillId="0" borderId="0" xfId="0" applyNumberFormat="1" applyBorder="1"/>
    <xf numFmtId="166" fontId="0" fillId="0" borderId="11" xfId="0" applyNumberFormat="1" applyBorder="1"/>
    <xf numFmtId="166" fontId="0" fillId="0" borderId="14" xfId="0" applyNumberFormat="1" applyBorder="1"/>
    <xf numFmtId="166" fontId="0" fillId="0" borderId="15" xfId="0" applyNumberFormat="1" applyBorder="1"/>
    <xf numFmtId="2" fontId="0" fillId="0" borderId="0" xfId="0" applyNumberFormat="1"/>
    <xf numFmtId="49" fontId="0" fillId="0" borderId="0" xfId="0" applyNumberFormat="1"/>
    <xf numFmtId="0" fontId="0" fillId="0" borderId="0" xfId="0" quotePrefix="1"/>
    <xf numFmtId="0" fontId="0" fillId="9" borderId="0" xfId="0" applyFill="1"/>
    <xf numFmtId="0" fontId="0" fillId="0" borderId="14" xfId="0" applyFill="1" applyBorder="1"/>
    <xf numFmtId="0" fontId="8" fillId="0" borderId="1" xfId="0" applyFont="1" applyBorder="1" applyAlignment="1">
      <alignment horizontal="center" vertical="top"/>
    </xf>
    <xf numFmtId="0" fontId="9" fillId="0" borderId="0" xfId="0" applyFont="1" applyFill="1" applyBorder="1" applyAlignment="1">
      <alignment horizontal="left" vertical="top"/>
    </xf>
    <xf numFmtId="10" fontId="4" fillId="0" borderId="5" xfId="1" applyNumberFormat="1" applyFont="1" applyBorder="1"/>
    <xf numFmtId="10" fontId="4" fillId="0" borderId="10" xfId="1" applyNumberFormat="1" applyFont="1" applyBorder="1"/>
    <xf numFmtId="0" fontId="0" fillId="0" borderId="0" xfId="0" applyAlignment="1">
      <alignment horizontal="right"/>
    </xf>
    <xf numFmtId="0" fontId="0" fillId="17" borderId="0" xfId="0" applyFill="1"/>
    <xf numFmtId="0" fontId="0" fillId="3" borderId="0" xfId="0" applyFill="1"/>
    <xf numFmtId="166" fontId="0" fillId="2" borderId="0" xfId="0" applyNumberFormat="1" applyFill="1"/>
    <xf numFmtId="164" fontId="0" fillId="0" borderId="1" xfId="0" applyNumberFormat="1" applyBorder="1"/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166" fontId="0" fillId="0" borderId="10" xfId="0" applyNumberFormat="1" applyBorder="1"/>
    <xf numFmtId="166" fontId="0" fillId="0" borderId="5" xfId="0" applyNumberFormat="1" applyBorder="1"/>
    <xf numFmtId="164" fontId="0" fillId="0" borderId="13" xfId="1" applyNumberFormat="1" applyFont="1" applyFill="1" applyBorder="1" applyAlignment="1">
      <alignment horizontal="center"/>
    </xf>
    <xf numFmtId="9" fontId="0" fillId="0" borderId="0" xfId="0" applyNumberFormat="1"/>
    <xf numFmtId="0" fontId="0" fillId="3" borderId="14" xfId="0" applyFill="1" applyBorder="1"/>
    <xf numFmtId="164" fontId="0" fillId="3" borderId="0" xfId="1" applyNumberFormat="1" applyFont="1" applyFill="1" applyBorder="1"/>
    <xf numFmtId="164" fontId="0" fillId="3" borderId="8" xfId="1" applyNumberFormat="1" applyFont="1" applyFill="1" applyBorder="1"/>
    <xf numFmtId="0" fontId="0" fillId="3" borderId="9" xfId="0" applyFill="1" applyBorder="1"/>
    <xf numFmtId="164" fontId="0" fillId="3" borderId="9" xfId="1" applyNumberFormat="1" applyFont="1" applyFill="1" applyBorder="1"/>
    <xf numFmtId="0" fontId="0" fillId="8" borderId="0" xfId="0" applyFill="1" applyBorder="1"/>
    <xf numFmtId="0" fontId="0" fillId="8" borderId="8" xfId="0" applyFill="1" applyBorder="1"/>
    <xf numFmtId="165" fontId="0" fillId="0" borderId="0" xfId="0" applyNumberFormat="1" applyBorder="1"/>
    <xf numFmtId="0" fontId="0" fillId="9" borderId="0" xfId="0" applyFill="1" applyAlignment="1"/>
    <xf numFmtId="0" fontId="0" fillId="8" borderId="0" xfId="0" applyFill="1" applyAlignment="1"/>
    <xf numFmtId="0" fontId="0" fillId="16" borderId="0" xfId="0" applyFill="1" applyAlignment="1"/>
    <xf numFmtId="0" fontId="0" fillId="2" borderId="0" xfId="0" applyFill="1" applyAlignment="1"/>
    <xf numFmtId="0" fontId="0" fillId="12" borderId="0" xfId="0" applyFill="1" applyAlignment="1"/>
    <xf numFmtId="164" fontId="0" fillId="0" borderId="15" xfId="0" applyNumberFormat="1" applyBorder="1"/>
    <xf numFmtId="164" fontId="0" fillId="0" borderId="13" xfId="0" applyNumberFormat="1" applyBorder="1"/>
    <xf numFmtId="167" fontId="4" fillId="0" borderId="3" xfId="0" applyNumberFormat="1" applyFont="1" applyBorder="1"/>
    <xf numFmtId="167" fontId="2" fillId="0" borderId="3" xfId="0" applyNumberFormat="1" applyFont="1" applyBorder="1"/>
    <xf numFmtId="3" fontId="0" fillId="0" borderId="0" xfId="0" applyNumberFormat="1"/>
    <xf numFmtId="0" fontId="0" fillId="10" borderId="0" xfId="0" applyFill="1" applyAlignment="1"/>
    <xf numFmtId="0" fontId="0" fillId="10" borderId="0" xfId="0" applyFill="1"/>
    <xf numFmtId="10" fontId="2" fillId="0" borderId="5" xfId="1" applyNumberFormat="1" applyFont="1" applyBorder="1"/>
    <xf numFmtId="10" fontId="2" fillId="0" borderId="10" xfId="1" applyNumberFormat="1" applyFont="1" applyBorder="1"/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0" fillId="12" borderId="2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164" fontId="0" fillId="0" borderId="5" xfId="1" applyNumberFormat="1" applyFont="1" applyBorder="1" applyAlignment="1">
      <alignment horizontal="center"/>
    </xf>
    <xf numFmtId="164" fontId="0" fillId="0" borderId="7" xfId="1" applyNumberFormat="1" applyFont="1" applyBorder="1" applyAlignment="1">
      <alignment horizontal="center"/>
    </xf>
    <xf numFmtId="164" fontId="0" fillId="0" borderId="10" xfId="1" applyNumberFormat="1" applyFont="1" applyBorder="1" applyAlignment="1">
      <alignment horizontal="center"/>
    </xf>
    <xf numFmtId="164" fontId="0" fillId="0" borderId="12" xfId="1" applyNumberFormat="1" applyFont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15" borderId="6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1" xfId="0" applyFill="1" applyBorder="1" applyAlignment="1">
      <alignment horizontal="center"/>
    </xf>
    <xf numFmtId="0" fontId="0" fillId="15" borderId="12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9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4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86475-E142-46B6-ADBD-612F8B77D2A2}">
  <dimension ref="A1:AH29"/>
  <sheetViews>
    <sheetView zoomScale="70" zoomScaleNormal="70" workbookViewId="0">
      <selection activeCell="R26" sqref="R26"/>
    </sheetView>
  </sheetViews>
  <sheetFormatPr defaultRowHeight="12.75" x14ac:dyDescent="0.2"/>
  <cols>
    <col min="1" max="1" width="17.85546875" bestFit="1" customWidth="1"/>
    <col min="2" max="31" width="10.7109375" customWidth="1"/>
    <col min="32" max="32" width="17.85546875" customWidth="1"/>
    <col min="33" max="34" width="10.7109375" customWidth="1"/>
  </cols>
  <sheetData>
    <row r="1" spans="1:33" x14ac:dyDescent="0.2">
      <c r="A1" s="118" t="s">
        <v>171</v>
      </c>
      <c r="B1" s="119"/>
      <c r="C1" s="120"/>
      <c r="G1" s="127" t="s">
        <v>35</v>
      </c>
      <c r="H1" s="128"/>
      <c r="I1" s="62" t="s">
        <v>31</v>
      </c>
      <c r="J1" s="62" t="s">
        <v>32</v>
      </c>
      <c r="K1" s="4" t="s">
        <v>39</v>
      </c>
      <c r="L1" s="129" t="s">
        <v>41</v>
      </c>
      <c r="M1" s="130"/>
    </row>
    <row r="2" spans="1:33" x14ac:dyDescent="0.2">
      <c r="A2" s="121"/>
      <c r="B2" s="122"/>
      <c r="C2" s="123"/>
      <c r="G2" s="60" t="s">
        <v>37</v>
      </c>
      <c r="H2" s="61"/>
      <c r="I2" s="63">
        <f>$B$7*($AG$25-2*$AG$26)</f>
        <v>6.6015829045477545</v>
      </c>
      <c r="J2" s="63">
        <f>$B$7*($AG$25+2*$AG$26)</f>
        <v>8.7430785592348848</v>
      </c>
      <c r="K2" s="65">
        <f>AVERAGE(I2:J2)</f>
        <v>7.6723307318913196</v>
      </c>
      <c r="L2" s="131">
        <f>$K$2/AB14-1</f>
        <v>9.5172015646474151E-3</v>
      </c>
      <c r="M2" s="132"/>
    </row>
    <row r="3" spans="1:33" x14ac:dyDescent="0.2">
      <c r="A3" s="124"/>
      <c r="B3" s="125"/>
      <c r="C3" s="126"/>
      <c r="G3" s="46" t="s">
        <v>38</v>
      </c>
      <c r="H3" s="19"/>
      <c r="I3" s="64">
        <f>$C$7*($AG$25-2*$AG$26)</f>
        <v>6.7344115344179309</v>
      </c>
      <c r="J3" s="64">
        <f>$C$7*($AG$25+2*$AG$26)</f>
        <v>8.9189956328613409</v>
      </c>
      <c r="K3" s="66">
        <f>AVERAGE(I3:J3)</f>
        <v>7.8267035836396364</v>
      </c>
      <c r="L3" s="133">
        <f>$K$3/AB15-1</f>
        <v>2.9829418899952165E-2</v>
      </c>
      <c r="M3" s="134"/>
    </row>
    <row r="4" spans="1:33" x14ac:dyDescent="0.2">
      <c r="A4" s="51"/>
      <c r="B4" s="51"/>
      <c r="C4" s="51"/>
      <c r="J4" s="4" t="s">
        <v>40</v>
      </c>
      <c r="K4" s="66">
        <f>AVERAGE(K2:K3)</f>
        <v>7.749517157765478</v>
      </c>
      <c r="L4" s="133">
        <f>$K$4/AB15-1</f>
        <v>1.9673310232299679E-2</v>
      </c>
      <c r="M4" s="134"/>
    </row>
    <row r="5" spans="1:33" x14ac:dyDescent="0.2">
      <c r="A5" s="59" t="s">
        <v>34</v>
      </c>
      <c r="B5" s="49" t="s">
        <v>31</v>
      </c>
      <c r="C5" s="50" t="s">
        <v>32</v>
      </c>
      <c r="D5" s="87"/>
      <c r="E5" s="87"/>
    </row>
    <row r="6" spans="1:33" ht="15.75" x14ac:dyDescent="0.25">
      <c r="A6" s="53" t="s">
        <v>33</v>
      </c>
      <c r="B6" s="57">
        <v>994</v>
      </c>
      <c r="C6" s="58">
        <v>1014</v>
      </c>
    </row>
    <row r="7" spans="1:33" ht="14.25" x14ac:dyDescent="0.2">
      <c r="A7" s="54" t="s">
        <v>36</v>
      </c>
      <c r="B7" s="55">
        <f>B6*$AG$24</f>
        <v>30.306796793103974</v>
      </c>
      <c r="C7" s="56">
        <f>C6*$AG$24</f>
        <v>30.916591497190574</v>
      </c>
    </row>
    <row r="10" spans="1:33" x14ac:dyDescent="0.2">
      <c r="G10" s="117" t="s">
        <v>15</v>
      </c>
      <c r="H10" s="117"/>
      <c r="I10" s="36">
        <f>AVERAGE(F13:AF13)</f>
        <v>1.088223088486586</v>
      </c>
      <c r="AC10" s="117" t="s">
        <v>16</v>
      </c>
      <c r="AD10" s="117"/>
      <c r="AE10" s="117"/>
      <c r="AF10" s="80">
        <f>AVERAGE(AB13:AF13)</f>
        <v>1.0313489498535624</v>
      </c>
    </row>
    <row r="11" spans="1:33" x14ac:dyDescent="0.2">
      <c r="A11" s="52" t="s">
        <v>6</v>
      </c>
      <c r="B11" s="135">
        <v>2013</v>
      </c>
      <c r="C11" s="136"/>
      <c r="D11" s="136"/>
      <c r="E11" s="137"/>
      <c r="F11" s="151">
        <v>2015</v>
      </c>
      <c r="G11" s="152"/>
      <c r="H11" s="152"/>
      <c r="I11" s="153"/>
      <c r="J11" s="151">
        <v>2016</v>
      </c>
      <c r="K11" s="152"/>
      <c r="L11" s="152"/>
      <c r="M11" s="153"/>
      <c r="N11" s="154">
        <v>2017</v>
      </c>
      <c r="O11" s="155"/>
      <c r="P11" s="155"/>
      <c r="Q11" s="156"/>
      <c r="R11" s="110">
        <v>2018</v>
      </c>
      <c r="S11" s="111"/>
      <c r="T11" s="111"/>
      <c r="U11" s="112"/>
      <c r="V11" s="157">
        <v>2019</v>
      </c>
      <c r="W11" s="158"/>
      <c r="X11" s="158"/>
      <c r="Y11" s="159"/>
      <c r="Z11" s="160">
        <v>2020</v>
      </c>
      <c r="AA11" s="161"/>
      <c r="AB11" s="161"/>
      <c r="AC11" s="162"/>
      <c r="AD11" s="151">
        <v>2021</v>
      </c>
      <c r="AE11" s="152"/>
      <c r="AF11" s="152"/>
      <c r="AG11" s="153"/>
    </row>
    <row r="12" spans="1:33" x14ac:dyDescent="0.2">
      <c r="A12" s="14" t="s">
        <v>19</v>
      </c>
      <c r="B12" s="81" t="s">
        <v>20</v>
      </c>
      <c r="C12" s="82" t="s">
        <v>3</v>
      </c>
      <c r="D12" s="82" t="s">
        <v>4</v>
      </c>
      <c r="E12" s="83" t="s">
        <v>5</v>
      </c>
      <c r="F12" s="21" t="s">
        <v>20</v>
      </c>
      <c r="G12" s="22" t="s">
        <v>3</v>
      </c>
      <c r="H12" s="22" t="s">
        <v>4</v>
      </c>
      <c r="I12" s="22" t="s">
        <v>5</v>
      </c>
      <c r="J12" s="21" t="s">
        <v>20</v>
      </c>
      <c r="K12" s="22" t="s">
        <v>3</v>
      </c>
      <c r="L12" s="22" t="s">
        <v>4</v>
      </c>
      <c r="M12" s="22" t="s">
        <v>5</v>
      </c>
      <c r="N12" s="23" t="s">
        <v>20</v>
      </c>
      <c r="O12" s="24" t="s">
        <v>3</v>
      </c>
      <c r="P12" s="24" t="s">
        <v>4</v>
      </c>
      <c r="Q12" s="24" t="s">
        <v>5</v>
      </c>
      <c r="R12" s="25" t="s">
        <v>20</v>
      </c>
      <c r="S12" s="26" t="s">
        <v>3</v>
      </c>
      <c r="T12" s="26" t="s">
        <v>4</v>
      </c>
      <c r="U12" s="26" t="s">
        <v>5</v>
      </c>
      <c r="V12" s="27" t="s">
        <v>20</v>
      </c>
      <c r="W12" s="28" t="s">
        <v>3</v>
      </c>
      <c r="X12" s="28" t="s">
        <v>4</v>
      </c>
      <c r="Y12" s="28" t="s">
        <v>5</v>
      </c>
      <c r="Z12" s="29" t="s">
        <v>20</v>
      </c>
      <c r="AA12" s="20" t="s">
        <v>3</v>
      </c>
      <c r="AB12" s="20" t="s">
        <v>4</v>
      </c>
      <c r="AC12" s="20" t="s">
        <v>5</v>
      </c>
      <c r="AD12" s="38" t="s">
        <v>20</v>
      </c>
      <c r="AE12" s="39" t="s">
        <v>3</v>
      </c>
      <c r="AF12" s="40" t="s">
        <v>21</v>
      </c>
      <c r="AG12" s="30" t="s">
        <v>22</v>
      </c>
    </row>
    <row r="13" spans="1:33" x14ac:dyDescent="0.2">
      <c r="A13" s="35" t="s">
        <v>2</v>
      </c>
      <c r="B13" s="31"/>
      <c r="C13" s="31"/>
      <c r="D13" s="31"/>
      <c r="E13" s="31"/>
      <c r="F13" s="86"/>
      <c r="G13" s="86"/>
      <c r="H13" s="86"/>
      <c r="I13" s="86"/>
      <c r="J13" s="86">
        <f t="shared" ref="J13:AE13" si="0">J15/F15</f>
        <v>1.1458333333333335</v>
      </c>
      <c r="K13" s="86">
        <f t="shared" si="0"/>
        <v>1.0377358490566038</v>
      </c>
      <c r="L13" s="86">
        <f t="shared" si="0"/>
        <v>1.2745098039215688</v>
      </c>
      <c r="M13" s="86">
        <f t="shared" si="0"/>
        <v>1.0701754385964912</v>
      </c>
      <c r="N13" s="86">
        <f t="shared" si="0"/>
        <v>1.1454545454545455</v>
      </c>
      <c r="O13" s="86">
        <f t="shared" si="0"/>
        <v>1.2545454545454546</v>
      </c>
      <c r="P13" s="86">
        <f t="shared" si="0"/>
        <v>1.0153846153846153</v>
      </c>
      <c r="Q13" s="86">
        <f t="shared" si="0"/>
        <v>1.2131147540983609</v>
      </c>
      <c r="R13" s="86">
        <f t="shared" si="0"/>
        <v>1.142857142857143</v>
      </c>
      <c r="S13" s="86">
        <f t="shared" si="0"/>
        <v>1.2173913043478262</v>
      </c>
      <c r="T13" s="86">
        <f t="shared" si="0"/>
        <v>1.4393939393939394</v>
      </c>
      <c r="U13" s="86">
        <f t="shared" si="0"/>
        <v>1.1081081081081079</v>
      </c>
      <c r="V13" s="86">
        <f t="shared" si="0"/>
        <v>1.0972222222222223</v>
      </c>
      <c r="W13" s="86">
        <f t="shared" si="0"/>
        <v>1.0595238095238095</v>
      </c>
      <c r="X13" s="86">
        <f t="shared" si="0"/>
        <v>0.90526315789473677</v>
      </c>
      <c r="Y13" s="86">
        <f t="shared" si="0"/>
        <v>1.0365853658536586</v>
      </c>
      <c r="Z13" s="86">
        <f t="shared" si="0"/>
        <v>1.0126582278481011</v>
      </c>
      <c r="AA13" s="86">
        <f t="shared" si="0"/>
        <v>0.6966292134831461</v>
      </c>
      <c r="AB13" s="86">
        <f t="shared" si="0"/>
        <v>0.88372093023255816</v>
      </c>
      <c r="AC13" s="86">
        <f t="shared" si="0"/>
        <v>0.92941176470588238</v>
      </c>
      <c r="AD13" s="86">
        <f t="shared" si="0"/>
        <v>0.98750000000000004</v>
      </c>
      <c r="AE13" s="86">
        <f t="shared" si="0"/>
        <v>1.2903225806451613</v>
      </c>
      <c r="AF13" s="86">
        <f>AF14/AB14</f>
        <v>1.0657894736842106</v>
      </c>
      <c r="AG13" s="32"/>
    </row>
    <row r="14" spans="1:33" x14ac:dyDescent="0.2">
      <c r="A14" s="15" t="s">
        <v>0</v>
      </c>
      <c r="B14" s="7"/>
      <c r="C14" s="7"/>
      <c r="D14" s="7"/>
      <c r="E14" s="7"/>
      <c r="F14" s="9">
        <v>4.8</v>
      </c>
      <c r="G14" s="6">
        <v>5.3</v>
      </c>
      <c r="H14" s="6">
        <v>5.0999999999999996</v>
      </c>
      <c r="I14" s="6">
        <v>5.7</v>
      </c>
      <c r="J14" s="9">
        <v>5.5</v>
      </c>
      <c r="K14" s="6">
        <v>5.5</v>
      </c>
      <c r="L14" s="6">
        <v>6.4</v>
      </c>
      <c r="M14" s="6">
        <v>6.1</v>
      </c>
      <c r="N14" s="9">
        <v>6.3</v>
      </c>
      <c r="O14" s="6">
        <v>6.8</v>
      </c>
      <c r="P14" s="6">
        <v>6.6</v>
      </c>
      <c r="Q14" s="6">
        <v>7.4</v>
      </c>
      <c r="R14" s="9">
        <v>7.2</v>
      </c>
      <c r="S14" s="6">
        <v>8.4</v>
      </c>
      <c r="T14" s="6">
        <v>9.5</v>
      </c>
      <c r="U14" s="6">
        <v>8.1999999999999993</v>
      </c>
      <c r="V14" s="9">
        <v>7.9</v>
      </c>
      <c r="W14" s="6">
        <v>8.9</v>
      </c>
      <c r="X14" s="6">
        <v>8.6</v>
      </c>
      <c r="Y14" s="6">
        <v>8.5</v>
      </c>
      <c r="Z14" s="9">
        <v>8</v>
      </c>
      <c r="AA14" s="6">
        <v>6.2</v>
      </c>
      <c r="AB14" s="6">
        <v>7.6</v>
      </c>
      <c r="AC14" s="6">
        <v>7.9</v>
      </c>
      <c r="AD14" s="6">
        <v>7.9</v>
      </c>
      <c r="AE14" s="6">
        <v>8</v>
      </c>
      <c r="AF14" s="6">
        <v>8.1</v>
      </c>
      <c r="AG14" s="6">
        <v>8.4</v>
      </c>
    </row>
    <row r="15" spans="1:33" x14ac:dyDescent="0.2">
      <c r="A15" s="15" t="s">
        <v>1</v>
      </c>
      <c r="B15" s="6"/>
      <c r="C15" s="6"/>
      <c r="D15" s="6"/>
      <c r="E15" s="6"/>
      <c r="F15" s="9">
        <v>4.8</v>
      </c>
      <c r="G15" s="6">
        <v>5.3</v>
      </c>
      <c r="H15" s="6">
        <v>5.0999999999999996</v>
      </c>
      <c r="I15" s="6">
        <v>5.7</v>
      </c>
      <c r="J15" s="9">
        <v>5.5</v>
      </c>
      <c r="K15" s="6">
        <v>5.5</v>
      </c>
      <c r="L15" s="6">
        <v>6.5</v>
      </c>
      <c r="M15" s="6">
        <v>6.1</v>
      </c>
      <c r="N15" s="9">
        <v>6.3</v>
      </c>
      <c r="O15" s="6">
        <v>6.9</v>
      </c>
      <c r="P15" s="6">
        <v>6.6</v>
      </c>
      <c r="Q15" s="6">
        <v>7.4</v>
      </c>
      <c r="R15" s="9">
        <v>7.2</v>
      </c>
      <c r="S15" s="6">
        <v>8.4</v>
      </c>
      <c r="T15" s="6">
        <v>9.5</v>
      </c>
      <c r="U15" s="6">
        <v>8.1999999999999993</v>
      </c>
      <c r="V15" s="9">
        <v>7.9</v>
      </c>
      <c r="W15" s="6">
        <v>8.9</v>
      </c>
      <c r="X15" s="6">
        <v>8.6</v>
      </c>
      <c r="Y15" s="6">
        <v>8.5</v>
      </c>
      <c r="Z15" s="9">
        <v>8</v>
      </c>
      <c r="AA15" s="6">
        <v>6.2</v>
      </c>
      <c r="AB15" s="6">
        <v>7.6</v>
      </c>
      <c r="AC15" s="6">
        <v>7.9</v>
      </c>
      <c r="AD15" s="9">
        <v>7.9</v>
      </c>
      <c r="AE15" s="6">
        <v>8</v>
      </c>
      <c r="AF15" s="9"/>
      <c r="AG15" s="10"/>
    </row>
    <row r="16" spans="1:33" x14ac:dyDescent="0.2">
      <c r="A16" s="15" t="s">
        <v>157</v>
      </c>
      <c r="B16" s="9"/>
      <c r="C16" s="6"/>
      <c r="D16" s="6"/>
      <c r="E16" s="10"/>
      <c r="F16" s="9">
        <v>129.6</v>
      </c>
      <c r="G16" s="6">
        <v>138.1</v>
      </c>
      <c r="H16" s="6">
        <v>136.1</v>
      </c>
      <c r="I16" s="10">
        <v>138.4</v>
      </c>
      <c r="J16" s="9">
        <v>138.1</v>
      </c>
      <c r="K16" s="6">
        <v>151.1</v>
      </c>
      <c r="L16" s="6">
        <v>157</v>
      </c>
      <c r="M16" s="10">
        <v>157.69999999999999</v>
      </c>
      <c r="N16" s="9">
        <v>171.1</v>
      </c>
      <c r="O16" s="6">
        <v>186.5</v>
      </c>
      <c r="P16" s="6">
        <v>179.3</v>
      </c>
      <c r="Q16" s="10">
        <v>190.9</v>
      </c>
      <c r="R16" s="9">
        <v>203</v>
      </c>
      <c r="S16" s="6">
        <v>224.8</v>
      </c>
      <c r="T16" s="6">
        <v>221.7</v>
      </c>
      <c r="U16" s="10">
        <v>233.2</v>
      </c>
      <c r="V16" s="9">
        <v>238.3</v>
      </c>
      <c r="W16" s="6">
        <v>255.5</v>
      </c>
      <c r="X16" s="6">
        <v>243</v>
      </c>
      <c r="Y16" s="10">
        <v>257.89999999999998</v>
      </c>
      <c r="Z16" s="9">
        <v>243.5</v>
      </c>
      <c r="AA16" s="6">
        <v>218.4</v>
      </c>
      <c r="AB16" s="6">
        <v>244</v>
      </c>
      <c r="AC16" s="10">
        <v>258</v>
      </c>
      <c r="AD16" s="9">
        <v>248.9</v>
      </c>
      <c r="AE16">
        <v>280.3</v>
      </c>
      <c r="AF16" s="105">
        <v>260.8</v>
      </c>
      <c r="AG16" s="10"/>
    </row>
    <row r="17" spans="1:34" x14ac:dyDescent="0.2">
      <c r="A17" s="88" t="s">
        <v>18</v>
      </c>
      <c r="B17" s="89"/>
      <c r="C17" s="89"/>
      <c r="D17" s="89"/>
      <c r="E17" s="89"/>
      <c r="F17" s="89">
        <f t="shared" ref="F17:H17" si="1">F15/F16</f>
        <v>3.7037037037037035E-2</v>
      </c>
      <c r="G17" s="89">
        <f t="shared" si="1"/>
        <v>3.8377986965966691E-2</v>
      </c>
      <c r="H17" s="89">
        <f t="shared" si="1"/>
        <v>3.7472446730345332E-2</v>
      </c>
      <c r="I17" s="89">
        <f t="shared" ref="I17:W17" si="2">I15/I16</f>
        <v>4.1184971098265896E-2</v>
      </c>
      <c r="J17" s="89">
        <f t="shared" si="2"/>
        <v>3.9826212889210719E-2</v>
      </c>
      <c r="K17" s="89">
        <f>K15/K16</f>
        <v>3.6399735274652546E-2</v>
      </c>
      <c r="L17" s="89">
        <f>L15/L16</f>
        <v>4.1401273885350316E-2</v>
      </c>
      <c r="M17" s="89">
        <f>M15/M16</f>
        <v>3.8681039949270767E-2</v>
      </c>
      <c r="N17" s="89">
        <f>N15/N16</f>
        <v>3.6820572764465223E-2</v>
      </c>
      <c r="O17" s="89">
        <f t="shared" si="2"/>
        <v>3.6997319034852552E-2</v>
      </c>
      <c r="P17" s="89">
        <f t="shared" si="2"/>
        <v>3.6809815950920241E-2</v>
      </c>
      <c r="Q17" s="89">
        <f t="shared" si="2"/>
        <v>3.8763750654793087E-2</v>
      </c>
      <c r="R17" s="89">
        <f t="shared" si="2"/>
        <v>3.5467980295566505E-2</v>
      </c>
      <c r="S17" s="89">
        <f t="shared" si="2"/>
        <v>3.7366548042704624E-2</v>
      </c>
      <c r="T17" s="89">
        <f t="shared" si="2"/>
        <v>4.2850699142986018E-2</v>
      </c>
      <c r="U17" s="89">
        <f t="shared" si="2"/>
        <v>3.5162950257289875E-2</v>
      </c>
      <c r="V17" s="89">
        <f t="shared" si="2"/>
        <v>3.3151489718841798E-2</v>
      </c>
      <c r="W17" s="89">
        <f t="shared" si="2"/>
        <v>3.4833659491193741E-2</v>
      </c>
      <c r="X17" s="89">
        <f t="shared" ref="X17:AA17" si="3">X15/X16</f>
        <v>3.539094650205761E-2</v>
      </c>
      <c r="Y17" s="89">
        <f t="shared" si="3"/>
        <v>3.2958511050794885E-2</v>
      </c>
      <c r="Z17" s="89">
        <f t="shared" si="3"/>
        <v>3.2854209445585217E-2</v>
      </c>
      <c r="AA17" s="89">
        <f t="shared" si="3"/>
        <v>2.8388278388278388E-2</v>
      </c>
      <c r="AB17" s="89">
        <f>AB15/AB16</f>
        <v>3.1147540983606555E-2</v>
      </c>
      <c r="AC17" s="89">
        <f>AC15/AC16</f>
        <v>3.0620155038759693E-2</v>
      </c>
      <c r="AD17" s="89">
        <f>AD15/AD16</f>
        <v>3.1739654479710729E-2</v>
      </c>
      <c r="AE17" s="89">
        <f>AE15/AE16</f>
        <v>2.8540849090260435E-2</v>
      </c>
      <c r="AF17" s="90">
        <f>AF14/AF16</f>
        <v>3.1058282208588955E-2</v>
      </c>
      <c r="AG17" s="91"/>
    </row>
    <row r="18" spans="1:34" x14ac:dyDescent="0.2">
      <c r="A18" s="88" t="s">
        <v>24</v>
      </c>
      <c r="B18" s="89"/>
      <c r="C18" s="89"/>
      <c r="D18" s="89"/>
      <c r="E18" s="92"/>
      <c r="F18" s="89">
        <f>F15/SUM(F15:I15)</f>
        <v>0.22966507177033493</v>
      </c>
      <c r="G18" s="89">
        <f>G15/SUM(F15:I15)</f>
        <v>0.25358851674641147</v>
      </c>
      <c r="H18" s="89">
        <f>H15/SUM(F15:I15)</f>
        <v>0.24401913875598086</v>
      </c>
      <c r="I18" s="92">
        <f>I15/SUM(F15:I15)</f>
        <v>0.27272727272727276</v>
      </c>
      <c r="J18" s="89">
        <f>J15/SUM(J15:M15)</f>
        <v>0.23305084745762711</v>
      </c>
      <c r="K18" s="89">
        <f>K15/SUM(J15:M15)</f>
        <v>0.23305084745762711</v>
      </c>
      <c r="L18" s="89">
        <f>L15/SUM(J15:M15)</f>
        <v>0.27542372881355931</v>
      </c>
      <c r="M18" s="92">
        <f>M15/SUM(J15:M15)</f>
        <v>0.25847457627118642</v>
      </c>
      <c r="N18" s="89">
        <f>N15/SUM(N15:Q15)</f>
        <v>0.23161764705882357</v>
      </c>
      <c r="O18" s="89">
        <f>O15/SUM(N15:Q15)</f>
        <v>0.25367647058823534</v>
      </c>
      <c r="P18" s="89">
        <f>P15/SUM(N15:Q15)</f>
        <v>0.24264705882352944</v>
      </c>
      <c r="Q18" s="92">
        <f>Q15/SUM(N15:Q15)</f>
        <v>0.2720588235294118</v>
      </c>
      <c r="R18" s="89">
        <f>R15/SUM(R15:U15)</f>
        <v>0.21621621621621623</v>
      </c>
      <c r="S18" s="89">
        <f>S15/SUM(R15:U15)</f>
        <v>0.25225225225225228</v>
      </c>
      <c r="T18" s="89">
        <f>T15/SUM(R15:U15)</f>
        <v>0.28528528528528529</v>
      </c>
      <c r="U18" s="92">
        <f>U15/SUM(R15:U15)</f>
        <v>0.24624624624624625</v>
      </c>
      <c r="V18" s="89">
        <f>V15/SUM(V15:Y15)</f>
        <v>0.23303834808259588</v>
      </c>
      <c r="W18" s="89">
        <f>W15/SUM(V15:Y15)</f>
        <v>0.26253687315634222</v>
      </c>
      <c r="X18" s="89">
        <f>X15/SUM(V15:Y15)</f>
        <v>0.25368731563421831</v>
      </c>
      <c r="Y18" s="92">
        <f>Y15/SUM(V15:Y15)</f>
        <v>0.2507374631268437</v>
      </c>
      <c r="Z18" s="89"/>
      <c r="AA18" s="89"/>
      <c r="AB18" s="89"/>
      <c r="AC18" s="92"/>
      <c r="AD18" s="89">
        <f>AD15/SUM(AD15:AE15,AF14:AG14)</f>
        <v>0.24382716049382719</v>
      </c>
      <c r="AE18" s="89">
        <f>AE15/SUM(AD15:AE15,AF14:AG14)</f>
        <v>0.24691358024691359</v>
      </c>
      <c r="AF18" s="89">
        <f>AF14/SUM(AD15:AE15,AF14:AG14)</f>
        <v>0.25</v>
      </c>
      <c r="AG18" s="92">
        <f>AG14/SUM(AD15:AE15,AF14:AG14)</f>
        <v>0.2592592592592593</v>
      </c>
      <c r="AH18" s="3"/>
    </row>
    <row r="19" spans="1:34" x14ac:dyDescent="0.2">
      <c r="A19" s="16" t="s">
        <v>17</v>
      </c>
      <c r="B19" s="12"/>
      <c r="C19" s="12"/>
      <c r="D19" s="12"/>
      <c r="E19" s="12"/>
      <c r="F19" s="11"/>
      <c r="G19" s="12"/>
      <c r="H19" s="12"/>
      <c r="I19" s="6"/>
      <c r="J19" s="9"/>
      <c r="K19" s="12"/>
      <c r="L19" s="12"/>
      <c r="M19" s="6"/>
      <c r="N19" s="84"/>
      <c r="O19" s="84">
        <v>6.4</v>
      </c>
      <c r="P19" s="84">
        <v>7</v>
      </c>
      <c r="Q19" s="84">
        <v>7.3</v>
      </c>
      <c r="R19" s="84">
        <v>7.1</v>
      </c>
      <c r="S19" s="64">
        <v>7.6</v>
      </c>
      <c r="T19" s="64">
        <v>8.1999999999999993</v>
      </c>
      <c r="U19" s="64">
        <v>9.1</v>
      </c>
      <c r="V19" s="84">
        <v>8.1999999999999993</v>
      </c>
      <c r="W19" s="64">
        <v>9.3000000000000007</v>
      </c>
      <c r="X19" s="64">
        <v>9.9</v>
      </c>
      <c r="Y19" s="64">
        <v>8.6</v>
      </c>
      <c r="Z19" s="84">
        <v>7.8</v>
      </c>
      <c r="AA19" s="64">
        <v>4</v>
      </c>
      <c r="AB19" s="64">
        <v>6.7</v>
      </c>
      <c r="AC19" s="64">
        <v>7.1</v>
      </c>
      <c r="AD19" s="84">
        <v>7.3</v>
      </c>
      <c r="AE19" s="64">
        <v>7.7</v>
      </c>
      <c r="AF19" s="85"/>
      <c r="AG19" s="13"/>
    </row>
    <row r="20" spans="1:34" x14ac:dyDescent="0.2">
      <c r="G20" s="7"/>
      <c r="H20" s="7"/>
      <c r="I20" s="7"/>
      <c r="J20" s="7"/>
      <c r="M20" s="113" t="s">
        <v>7</v>
      </c>
      <c r="N20" s="114"/>
      <c r="O20" s="7">
        <f t="shared" ref="O20:AE20" si="4">IF(O15&gt;O19,1,0)</f>
        <v>1</v>
      </c>
      <c r="P20" s="7">
        <f t="shared" si="4"/>
        <v>0</v>
      </c>
      <c r="Q20" s="7">
        <f t="shared" si="4"/>
        <v>1</v>
      </c>
      <c r="R20" s="7">
        <f t="shared" si="4"/>
        <v>1</v>
      </c>
      <c r="S20" s="7">
        <f t="shared" si="4"/>
        <v>1</v>
      </c>
      <c r="T20" s="7">
        <f t="shared" si="4"/>
        <v>1</v>
      </c>
      <c r="U20" s="7">
        <f t="shared" si="4"/>
        <v>0</v>
      </c>
      <c r="V20" s="7">
        <f t="shared" si="4"/>
        <v>0</v>
      </c>
      <c r="W20" s="7"/>
      <c r="X20" s="7"/>
      <c r="Y20" s="7"/>
      <c r="Z20" s="7"/>
      <c r="AA20" s="7">
        <f t="shared" si="4"/>
        <v>1</v>
      </c>
      <c r="AB20" s="7">
        <f t="shared" si="4"/>
        <v>1</v>
      </c>
      <c r="AC20" s="7">
        <f t="shared" si="4"/>
        <v>1</v>
      </c>
      <c r="AD20" s="7">
        <f t="shared" si="4"/>
        <v>1</v>
      </c>
      <c r="AE20" s="8">
        <f t="shared" si="4"/>
        <v>1</v>
      </c>
      <c r="AF20" s="46" t="s">
        <v>8</v>
      </c>
      <c r="AG20" s="43">
        <f>AVERAGE(O20:AE20)</f>
        <v>0.76923076923076927</v>
      </c>
    </row>
    <row r="21" spans="1:34" x14ac:dyDescent="0.2">
      <c r="I21" s="6"/>
      <c r="J21" s="6"/>
      <c r="M21" s="138" t="s">
        <v>9</v>
      </c>
      <c r="N21" s="139"/>
      <c r="P21" s="6"/>
      <c r="Q21" s="6"/>
      <c r="R21" s="6">
        <f t="shared" ref="R21:AE21" si="5">AVERAGE(O20:R20)</f>
        <v>0.75</v>
      </c>
      <c r="S21" s="6">
        <f t="shared" si="5"/>
        <v>0.75</v>
      </c>
      <c r="T21" s="6">
        <f t="shared" si="5"/>
        <v>1</v>
      </c>
      <c r="U21" s="6">
        <f t="shared" si="5"/>
        <v>0.75</v>
      </c>
      <c r="V21" s="6">
        <f t="shared" si="5"/>
        <v>0.5</v>
      </c>
      <c r="W21" s="6"/>
      <c r="X21" s="6"/>
      <c r="Y21" s="6"/>
      <c r="Z21" s="6"/>
      <c r="AA21" s="6">
        <f t="shared" si="5"/>
        <v>1</v>
      </c>
      <c r="AB21" s="6">
        <f t="shared" si="5"/>
        <v>1</v>
      </c>
      <c r="AC21" s="6">
        <f t="shared" si="5"/>
        <v>1</v>
      </c>
      <c r="AD21" s="6">
        <f>AVERAGE(AA20:AD20)</f>
        <v>1</v>
      </c>
      <c r="AE21" s="10">
        <f t="shared" si="5"/>
        <v>1</v>
      </c>
      <c r="AF21" s="42" t="s">
        <v>10</v>
      </c>
      <c r="AG21" s="43">
        <f>AVERAGE(R21:AE21)</f>
        <v>0.875</v>
      </c>
    </row>
    <row r="22" spans="1:34" x14ac:dyDescent="0.2">
      <c r="G22" s="18"/>
      <c r="H22" s="18"/>
      <c r="I22" s="18"/>
      <c r="J22" s="18"/>
      <c r="M22" s="149" t="s">
        <v>11</v>
      </c>
      <c r="N22" s="150"/>
      <c r="O22" s="18">
        <f t="shared" ref="O22:AE22" si="6">O15/O19-1</f>
        <v>7.8125E-2</v>
      </c>
      <c r="P22" s="18">
        <f t="shared" si="6"/>
        <v>-5.7142857142857162E-2</v>
      </c>
      <c r="Q22" s="18">
        <f t="shared" si="6"/>
        <v>1.3698630136986356E-2</v>
      </c>
      <c r="R22" s="18">
        <f t="shared" si="6"/>
        <v>1.4084507042253502E-2</v>
      </c>
      <c r="S22" s="18">
        <f t="shared" si="6"/>
        <v>0.10526315789473695</v>
      </c>
      <c r="T22" s="18">
        <f t="shared" si="6"/>
        <v>0.1585365853658538</v>
      </c>
      <c r="U22" s="18">
        <f t="shared" si="6"/>
        <v>-9.8901098901098994E-2</v>
      </c>
      <c r="V22" s="18">
        <f t="shared" si="6"/>
        <v>-3.6585365853658458E-2</v>
      </c>
      <c r="W22" s="18"/>
      <c r="X22" s="18"/>
      <c r="Y22" s="18"/>
      <c r="Z22" s="18"/>
      <c r="AA22" s="18">
        <f t="shared" si="6"/>
        <v>0.55000000000000004</v>
      </c>
      <c r="AB22" s="18">
        <f t="shared" si="6"/>
        <v>0.13432835820895517</v>
      </c>
      <c r="AC22" s="18">
        <f t="shared" si="6"/>
        <v>0.11267605633802824</v>
      </c>
      <c r="AD22" s="18">
        <f t="shared" si="6"/>
        <v>8.2191780821917915E-2</v>
      </c>
      <c r="AE22" s="41">
        <f t="shared" si="6"/>
        <v>3.8961038961038863E-2</v>
      </c>
      <c r="AF22" s="42" t="s">
        <v>13</v>
      </c>
      <c r="AG22" s="44">
        <f>MEDIAN(O22:AE22)</f>
        <v>7.8125E-2</v>
      </c>
    </row>
    <row r="23" spans="1:34" x14ac:dyDescent="0.2">
      <c r="I23" s="6"/>
      <c r="J23" s="33"/>
      <c r="M23" s="138" t="s">
        <v>12</v>
      </c>
      <c r="N23" s="139"/>
      <c r="P23" s="33"/>
      <c r="Q23" s="33"/>
      <c r="R23" s="33">
        <f t="shared" ref="R23:V23" si="7">AVERAGE(O22:R22)</f>
        <v>1.2191320009095674E-2</v>
      </c>
      <c r="S23" s="33">
        <f t="shared" si="7"/>
        <v>1.8975859482779911E-2</v>
      </c>
      <c r="T23" s="33">
        <f t="shared" si="7"/>
        <v>7.2895720109957651E-2</v>
      </c>
      <c r="U23" s="33">
        <f t="shared" si="7"/>
        <v>4.4745787850436314E-2</v>
      </c>
      <c r="V23" s="33">
        <f t="shared" si="7"/>
        <v>3.2078319626458324E-2</v>
      </c>
      <c r="W23" s="33"/>
      <c r="X23" s="33"/>
      <c r="Y23" s="33"/>
      <c r="Z23" s="33"/>
      <c r="AA23" s="33">
        <f>AVERAGE(AA22,T22:V22)</f>
        <v>0.1432625301527741</v>
      </c>
      <c r="AB23" s="33">
        <f>AVERAGE(AA22:AB22,U22:V22)</f>
        <v>0.13721047336354944</v>
      </c>
      <c r="AC23" s="33">
        <f>AVERAGE(AA22:AC22,V22)</f>
        <v>0.19010476217333125</v>
      </c>
      <c r="AD23" s="33">
        <f>AVERAGE(AA22:AD22)</f>
        <v>0.21979904884222534</v>
      </c>
      <c r="AE23" s="34">
        <f>AVERAGE(AB22:AE22)</f>
        <v>9.2039308582485047E-2</v>
      </c>
      <c r="AF23" s="19" t="s">
        <v>14</v>
      </c>
      <c r="AG23" s="34">
        <f>MEDIAN(R23:AE23)</f>
        <v>8.2467514346221349E-2</v>
      </c>
    </row>
    <row r="24" spans="1:34" x14ac:dyDescent="0.2">
      <c r="M24" s="113" t="s">
        <v>25</v>
      </c>
      <c r="N24" s="114"/>
      <c r="O24" s="102">
        <f>AVERAGE(O22,Q22:T22,AA22:AE22)</f>
        <v>0.12878651147697709</v>
      </c>
      <c r="P24" s="113" t="s">
        <v>29</v>
      </c>
      <c r="Q24" s="147"/>
      <c r="R24" s="47">
        <f>MEDIAN(O22,Q22:T22,AA22:AE22)</f>
        <v>9.3727469358327431E-2</v>
      </c>
      <c r="AB24" s="3"/>
      <c r="AC24" s="140" t="s">
        <v>23</v>
      </c>
      <c r="AD24" s="141"/>
      <c r="AE24" s="141"/>
      <c r="AF24" s="142"/>
      <c r="AG24" s="45">
        <f>AVERAGE(AC17:AF17)</f>
        <v>3.0489735204329953E-2</v>
      </c>
    </row>
    <row r="25" spans="1:34" x14ac:dyDescent="0.2">
      <c r="M25" s="115" t="s">
        <v>26</v>
      </c>
      <c r="N25" s="116"/>
      <c r="O25" s="101">
        <f>AVERAGE(P22,U22:V22)</f>
        <v>-6.4209773965871533E-2</v>
      </c>
      <c r="P25" s="115" t="s">
        <v>30</v>
      </c>
      <c r="Q25" s="148"/>
      <c r="R25" s="34">
        <f>MEDIAN(P22,U22:V22)</f>
        <v>-5.7142857142857162E-2</v>
      </c>
      <c r="AC25" s="143" t="s">
        <v>27</v>
      </c>
      <c r="AD25" s="144"/>
      <c r="AE25" s="144"/>
      <c r="AF25" s="144"/>
      <c r="AG25" s="47">
        <f>AVERAGE(AF18,X18,P18,L18,H18)</f>
        <v>0.25315544840545756</v>
      </c>
    </row>
    <row r="26" spans="1:34" x14ac:dyDescent="0.2">
      <c r="AC26" s="145" t="s">
        <v>28</v>
      </c>
      <c r="AD26" s="146"/>
      <c r="AE26" s="146"/>
      <c r="AF26" s="146"/>
      <c r="AG26" s="48">
        <f>_xlfn.STDEV.S(AF18,X18,T18,L18,H18,P18)</f>
        <v>1.7665143476779499E-2</v>
      </c>
    </row>
    <row r="29" spans="1:34" ht="18" customHeight="1" x14ac:dyDescent="0.2"/>
  </sheetData>
  <mergeCells count="27">
    <mergeCell ref="AC26:AF26"/>
    <mergeCell ref="P24:Q24"/>
    <mergeCell ref="P25:Q25"/>
    <mergeCell ref="M22:N22"/>
    <mergeCell ref="F11:I11"/>
    <mergeCell ref="J11:M11"/>
    <mergeCell ref="N11:Q11"/>
    <mergeCell ref="V11:Y11"/>
    <mergeCell ref="Z11:AC11"/>
    <mergeCell ref="AD11:AG11"/>
    <mergeCell ref="M20:N20"/>
    <mergeCell ref="M21:N21"/>
    <mergeCell ref="L4:M4"/>
    <mergeCell ref="B11:E11"/>
    <mergeCell ref="M23:N23"/>
    <mergeCell ref="AC24:AF24"/>
    <mergeCell ref="AC25:AF25"/>
    <mergeCell ref="A1:C3"/>
    <mergeCell ref="G1:H1"/>
    <mergeCell ref="L1:M1"/>
    <mergeCell ref="L2:M2"/>
    <mergeCell ref="L3:M3"/>
    <mergeCell ref="R11:U11"/>
    <mergeCell ref="M24:N24"/>
    <mergeCell ref="M25:N25"/>
    <mergeCell ref="G10:H10"/>
    <mergeCell ref="AC10:AE10"/>
  </mergeCells>
  <conditionalFormatting sqref="AG22:AG23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{8C038067-089E-49FF-8126-BD91D38602DD}</x14:id>
        </ext>
      </extLst>
    </cfRule>
  </conditionalFormatting>
  <conditionalFormatting sqref="AG20:AG21">
    <cfRule type="dataBar" priority="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{B86A584F-5630-40E1-B995-7746D53887D9}</x14:id>
        </ext>
      </extLst>
    </cfRule>
  </conditionalFormatting>
  <conditionalFormatting sqref="AG20:AG21 AG24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{62207A90-4DCB-469A-A9CB-D988FA8A2AE2}</x14:id>
        </ext>
      </extLst>
    </cfRule>
  </conditionalFormatting>
  <conditionalFormatting sqref="G20:J20 AG20 O20:AE20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21 AG21 P21:AE2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2:J22 O22:AE22">
    <cfRule type="dataBar" priority="1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{56CFC7B0-C261-494B-BB2F-961FC5395604}</x14:id>
        </ext>
      </extLst>
    </cfRule>
  </conditionalFormatting>
  <conditionalFormatting sqref="P23:AE23 J23">
    <cfRule type="dataBar" priority="1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{41DE4205-EE7F-4DBF-8BBA-9EEAD7B09998}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C038067-089E-49FF-8126-BD91D38602D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AG22:AG23</xm:sqref>
        </x14:conditionalFormatting>
        <x14:conditionalFormatting xmlns:xm="http://schemas.microsoft.com/office/excel/2006/main">
          <x14:cfRule type="dataBar" id="{B86A584F-5630-40E1-B995-7746D53887D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AG20:AG21</xm:sqref>
        </x14:conditionalFormatting>
        <x14:conditionalFormatting xmlns:xm="http://schemas.microsoft.com/office/excel/2006/main">
          <x14:cfRule type="dataBar" id="{62207A90-4DCB-469A-A9CB-D988FA8A2AE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AG20:AG21 AG24</xm:sqref>
        </x14:conditionalFormatting>
        <x14:conditionalFormatting xmlns:xm="http://schemas.microsoft.com/office/excel/2006/main">
          <x14:cfRule type="dataBar" id="{56CFC7B0-C261-494B-BB2F-961FC539560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G22:J22 O22:AE22</xm:sqref>
        </x14:conditionalFormatting>
        <x14:conditionalFormatting xmlns:xm="http://schemas.microsoft.com/office/excel/2006/main">
          <x14:cfRule type="dataBar" id="{41DE4205-EE7F-4DBF-8BBA-9EEAD7B0999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P23:AE23 J23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249C6-FF3D-4DBB-B370-A9A55622C4B9}">
  <dimension ref="A1:U47"/>
  <sheetViews>
    <sheetView zoomScale="85" zoomScaleNormal="85" workbookViewId="0">
      <selection activeCell="F16" sqref="F16"/>
    </sheetView>
  </sheetViews>
  <sheetFormatPr defaultRowHeight="12.75" x14ac:dyDescent="0.2"/>
  <cols>
    <col min="1" max="1" width="7.5703125" bestFit="1" customWidth="1"/>
    <col min="2" max="2" width="16" bestFit="1" customWidth="1"/>
    <col min="3" max="3" width="12.7109375" bestFit="1" customWidth="1"/>
    <col min="4" max="4" width="11.5703125" customWidth="1"/>
    <col min="5" max="5" width="18" bestFit="1" customWidth="1"/>
    <col min="6" max="6" width="12.140625" bestFit="1" customWidth="1"/>
    <col min="7" max="7" width="10.7109375" bestFit="1" customWidth="1"/>
    <col min="8" max="8" width="19.7109375" bestFit="1" customWidth="1"/>
    <col min="9" max="9" width="13.5703125" bestFit="1" customWidth="1"/>
    <col min="10" max="10" width="8.7109375" bestFit="1" customWidth="1"/>
    <col min="11" max="11" width="21.85546875" bestFit="1" customWidth="1"/>
    <col min="12" max="12" width="16.42578125" bestFit="1" customWidth="1"/>
    <col min="13" max="13" width="14.5703125" bestFit="1" customWidth="1"/>
    <col min="14" max="14" width="23.5703125" bestFit="1" customWidth="1"/>
    <col min="15" max="15" width="17.85546875" bestFit="1" customWidth="1"/>
    <col min="16" max="16" width="11.42578125" bestFit="1" customWidth="1"/>
    <col min="17" max="17" width="14" bestFit="1" customWidth="1"/>
    <col min="18" max="18" width="10.28515625" bestFit="1" customWidth="1"/>
    <col min="19" max="19" width="16.140625" bestFit="1" customWidth="1"/>
  </cols>
  <sheetData>
    <row r="1" spans="1:21" x14ac:dyDescent="0.2">
      <c r="A1" t="s">
        <v>80</v>
      </c>
      <c r="B1" t="s">
        <v>81</v>
      </c>
    </row>
    <row r="4" spans="1:21" x14ac:dyDescent="0.2">
      <c r="A4" s="165" t="s">
        <v>76</v>
      </c>
      <c r="B4" s="165"/>
      <c r="T4" s="71" t="s">
        <v>165</v>
      </c>
    </row>
    <row r="5" spans="1:21" x14ac:dyDescent="0.2">
      <c r="A5" s="17" t="s">
        <v>56</v>
      </c>
      <c r="B5" s="17" t="s">
        <v>57</v>
      </c>
      <c r="C5" s="17" t="s">
        <v>68</v>
      </c>
      <c r="D5" s="17" t="s">
        <v>58</v>
      </c>
      <c r="E5" s="17" t="s">
        <v>59</v>
      </c>
      <c r="F5" s="17" t="s">
        <v>69</v>
      </c>
      <c r="G5" s="17" t="s">
        <v>60</v>
      </c>
      <c r="H5" s="17" t="s">
        <v>61</v>
      </c>
      <c r="I5" s="17" t="s">
        <v>70</v>
      </c>
      <c r="J5" s="17" t="s">
        <v>62</v>
      </c>
      <c r="K5" s="17" t="s">
        <v>63</v>
      </c>
      <c r="L5" s="17" t="s">
        <v>73</v>
      </c>
      <c r="M5" s="17" t="s">
        <v>64</v>
      </c>
      <c r="N5" s="17" t="s">
        <v>65</v>
      </c>
      <c r="O5" s="17" t="s">
        <v>74</v>
      </c>
      <c r="P5" s="17" t="s">
        <v>66</v>
      </c>
      <c r="Q5" s="17" t="s">
        <v>67</v>
      </c>
      <c r="R5" s="17" t="s">
        <v>0</v>
      </c>
      <c r="S5" s="17" t="s">
        <v>72</v>
      </c>
      <c r="T5" s="37" t="s">
        <v>0</v>
      </c>
      <c r="U5" s="37" t="s">
        <v>72</v>
      </c>
    </row>
    <row r="6" spans="1:21" x14ac:dyDescent="0.2">
      <c r="A6" t="s">
        <v>171</v>
      </c>
      <c r="B6" t="s">
        <v>172</v>
      </c>
      <c r="C6" t="s">
        <v>170</v>
      </c>
      <c r="D6">
        <v>20170720</v>
      </c>
      <c r="E6">
        <v>6.9329679999999998</v>
      </c>
      <c r="F6">
        <v>7.0026450000000002</v>
      </c>
      <c r="G6">
        <v>6.8671069999999999</v>
      </c>
      <c r="H6">
        <v>6.569839</v>
      </c>
      <c r="I6">
        <v>8.2534039999999997</v>
      </c>
      <c r="J6">
        <v>7.1251926000000001</v>
      </c>
      <c r="R6">
        <v>6.4</v>
      </c>
      <c r="S6">
        <v>6.7119999999999997</v>
      </c>
      <c r="T6" s="94"/>
      <c r="U6" s="93"/>
    </row>
    <row r="7" spans="1:21" x14ac:dyDescent="0.2">
      <c r="A7" t="s">
        <v>171</v>
      </c>
      <c r="B7" t="s">
        <v>172</v>
      </c>
      <c r="C7" t="s">
        <v>168</v>
      </c>
      <c r="D7">
        <v>20171019</v>
      </c>
      <c r="E7">
        <v>6.7179010000000003</v>
      </c>
      <c r="F7">
        <v>6.5528639999999996</v>
      </c>
      <c r="G7">
        <v>5.0669740000000001</v>
      </c>
      <c r="H7">
        <v>6.9072129999999996</v>
      </c>
      <c r="I7">
        <v>8.2763989999999996</v>
      </c>
      <c r="J7">
        <v>6.704270199999999</v>
      </c>
      <c r="K7">
        <v>6.5037876291943073</v>
      </c>
      <c r="L7">
        <v>6.2808871744890675</v>
      </c>
      <c r="M7">
        <v>4.9525265134211542</v>
      </c>
      <c r="N7">
        <v>7.0566742436154062</v>
      </c>
      <c r="O7">
        <v>6.7307004586228905</v>
      </c>
      <c r="P7">
        <v>6.3154870483641368</v>
      </c>
      <c r="Q7">
        <v>6.306677177951161</v>
      </c>
      <c r="R7">
        <v>7</v>
      </c>
      <c r="S7">
        <v>6.3890000000000002</v>
      </c>
      <c r="T7" s="94"/>
      <c r="U7" s="93"/>
    </row>
    <row r="8" spans="1:21" x14ac:dyDescent="0.2">
      <c r="A8" t="s">
        <v>171</v>
      </c>
      <c r="B8" t="s">
        <v>172</v>
      </c>
      <c r="C8" t="s">
        <v>166</v>
      </c>
      <c r="D8">
        <v>20180222</v>
      </c>
      <c r="E8">
        <v>7.1431100000000001</v>
      </c>
      <c r="F8">
        <v>7.1190230000000003</v>
      </c>
      <c r="G8">
        <v>6.7873859999999997</v>
      </c>
      <c r="H8">
        <v>6.9346839999999998</v>
      </c>
      <c r="I8">
        <v>8.3796169999999996</v>
      </c>
      <c r="J8">
        <v>7.2727640000000005</v>
      </c>
      <c r="K8">
        <v>6.7933912378286019</v>
      </c>
      <c r="L8">
        <v>6.9410013616946733</v>
      </c>
      <c r="M8">
        <v>8.5582853107199686</v>
      </c>
      <c r="N8">
        <v>6.4144099908313246</v>
      </c>
      <c r="O8">
        <v>6.4686795565317716</v>
      </c>
      <c r="P8">
        <v>6.9307602184649433</v>
      </c>
      <c r="Q8">
        <v>7.0177546126785471</v>
      </c>
      <c r="R8">
        <v>7.3</v>
      </c>
      <c r="S8">
        <v>7.1609999999999996</v>
      </c>
      <c r="T8" s="94"/>
      <c r="U8" s="93"/>
    </row>
    <row r="9" spans="1:21" x14ac:dyDescent="0.2">
      <c r="A9" t="s">
        <v>171</v>
      </c>
      <c r="B9" t="s">
        <v>172</v>
      </c>
      <c r="C9" t="s">
        <v>42</v>
      </c>
      <c r="D9">
        <v>20180419</v>
      </c>
      <c r="E9">
        <v>7.9694039999999999</v>
      </c>
      <c r="F9">
        <v>8.0089459999999999</v>
      </c>
      <c r="G9">
        <v>6.6453800000000003</v>
      </c>
      <c r="H9">
        <v>7.3285090000000004</v>
      </c>
      <c r="I9">
        <v>8.9220179999999996</v>
      </c>
      <c r="J9">
        <v>7.7748514000000002</v>
      </c>
      <c r="K9">
        <v>7.9893634626934205</v>
      </c>
      <c r="L9">
        <v>8.0561703910775382</v>
      </c>
      <c r="M9">
        <v>7.011177230821998</v>
      </c>
      <c r="N9">
        <v>7.5676776258298144</v>
      </c>
      <c r="O9">
        <v>7.6245216097585367</v>
      </c>
      <c r="P9">
        <v>7.6553715857409923</v>
      </c>
      <c r="Q9">
        <v>7.6507136509870506</v>
      </c>
      <c r="R9">
        <v>7.1</v>
      </c>
      <c r="S9">
        <v>6.9180000000000001</v>
      </c>
      <c r="T9" s="9"/>
      <c r="U9" s="63"/>
    </row>
    <row r="10" spans="1:21" x14ac:dyDescent="0.2">
      <c r="A10" t="s">
        <v>171</v>
      </c>
      <c r="B10" t="s">
        <v>172</v>
      </c>
      <c r="C10" t="s">
        <v>43</v>
      </c>
      <c r="D10">
        <v>20180719</v>
      </c>
      <c r="E10">
        <v>7.1857689999999996</v>
      </c>
      <c r="F10">
        <v>7.2145200000000003</v>
      </c>
      <c r="G10">
        <v>6.8384039999999997</v>
      </c>
      <c r="H10">
        <v>6.2737290000000003</v>
      </c>
      <c r="I10">
        <v>7.8932599999999997</v>
      </c>
      <c r="J10">
        <v>7.0811364000000001</v>
      </c>
      <c r="K10">
        <v>6.2377500176926652</v>
      </c>
      <c r="L10">
        <v>6.2317874736575822</v>
      </c>
      <c r="M10">
        <v>7.1189426145683159</v>
      </c>
      <c r="N10">
        <v>5.9223038713604632</v>
      </c>
      <c r="O10">
        <v>6.1203163544390975</v>
      </c>
      <c r="P10">
        <v>6.3007379941949759</v>
      </c>
      <c r="Q10">
        <v>6.3219730543188497</v>
      </c>
      <c r="R10">
        <v>7.6</v>
      </c>
      <c r="S10">
        <v>8.1210000000000004</v>
      </c>
      <c r="T10" s="9"/>
      <c r="U10" s="63"/>
    </row>
    <row r="11" spans="1:21" x14ac:dyDescent="0.2">
      <c r="A11" t="s">
        <v>171</v>
      </c>
      <c r="B11" t="s">
        <v>172</v>
      </c>
      <c r="C11" t="s">
        <v>44</v>
      </c>
      <c r="D11">
        <v>20181018</v>
      </c>
      <c r="E11">
        <v>8.094557</v>
      </c>
      <c r="F11">
        <v>8.1725329999999996</v>
      </c>
      <c r="G11">
        <v>7.7111229999999997</v>
      </c>
      <c r="H11">
        <v>8.2291439999999998</v>
      </c>
      <c r="I11">
        <v>9.3498300000000008</v>
      </c>
      <c r="J11">
        <v>8.3114373999999991</v>
      </c>
      <c r="K11">
        <v>9.1480671584349587</v>
      </c>
      <c r="L11">
        <v>9.1993840883385172</v>
      </c>
      <c r="M11">
        <v>9.1574042544137502</v>
      </c>
      <c r="N11">
        <v>10.652178062520711</v>
      </c>
      <c r="O11">
        <v>9.6195956334898405</v>
      </c>
      <c r="P11">
        <v>9.5319704793993232</v>
      </c>
      <c r="Q11">
        <v>9.5514332794328496</v>
      </c>
      <c r="R11">
        <v>8.1999999999999993</v>
      </c>
      <c r="S11">
        <v>9.2289999999999992</v>
      </c>
      <c r="T11" s="9"/>
      <c r="U11" s="63"/>
    </row>
    <row r="12" spans="1:21" x14ac:dyDescent="0.2">
      <c r="A12" t="s">
        <v>171</v>
      </c>
      <c r="B12" t="s">
        <v>172</v>
      </c>
      <c r="C12" t="s">
        <v>45</v>
      </c>
      <c r="D12">
        <v>20190221</v>
      </c>
      <c r="E12">
        <v>8.2320069999999994</v>
      </c>
      <c r="F12">
        <v>8.0108300000000003</v>
      </c>
      <c r="G12">
        <v>7.2342839999999997</v>
      </c>
      <c r="H12">
        <v>8.1134500000000003</v>
      </c>
      <c r="I12">
        <v>8.7579419999999999</v>
      </c>
      <c r="J12">
        <v>8.0697025999999994</v>
      </c>
      <c r="K12">
        <v>9.3857134618979128</v>
      </c>
      <c r="L12">
        <v>9.0463935807906797</v>
      </c>
      <c r="M12">
        <v>8.658298802392336</v>
      </c>
      <c r="N12">
        <v>9.0992489680579176</v>
      </c>
      <c r="O12">
        <v>8.6447611045334511</v>
      </c>
      <c r="P12">
        <v>8.960578262359288</v>
      </c>
      <c r="Q12">
        <v>8.9658323633385972</v>
      </c>
      <c r="R12">
        <v>9.1</v>
      </c>
      <c r="S12">
        <v>7.9210000000000003</v>
      </c>
      <c r="T12" s="9"/>
      <c r="U12" s="63"/>
    </row>
    <row r="13" spans="1:21" x14ac:dyDescent="0.2">
      <c r="A13" t="s">
        <v>171</v>
      </c>
      <c r="B13" t="s">
        <v>172</v>
      </c>
      <c r="C13" t="s">
        <v>46</v>
      </c>
      <c r="D13">
        <v>20190418</v>
      </c>
      <c r="E13">
        <v>8.3545069999999999</v>
      </c>
      <c r="F13">
        <v>8.3467529999999996</v>
      </c>
      <c r="G13">
        <v>7.7600819999999997</v>
      </c>
      <c r="H13">
        <v>8.204008</v>
      </c>
      <c r="I13">
        <v>8.2481639999999992</v>
      </c>
      <c r="J13">
        <v>8.1397517499999985</v>
      </c>
      <c r="K13">
        <v>8.0388719235782968</v>
      </c>
      <c r="L13">
        <v>8.2531561040491432</v>
      </c>
      <c r="M13">
        <v>8.4967094908079375</v>
      </c>
      <c r="N13">
        <v>8.0094099757809563</v>
      </c>
      <c r="O13">
        <v>7.4599383101646479</v>
      </c>
      <c r="P13">
        <v>7.98975833530098</v>
      </c>
      <c r="Q13">
        <v>8.0413073566136593</v>
      </c>
      <c r="R13">
        <v>8.1999999999999993</v>
      </c>
      <c r="S13">
        <v>7.5679999999999996</v>
      </c>
      <c r="T13" s="9"/>
      <c r="U13" s="63"/>
    </row>
    <row r="14" spans="1:21" x14ac:dyDescent="0.2">
      <c r="A14" t="s">
        <v>171</v>
      </c>
      <c r="B14" t="s">
        <v>172</v>
      </c>
      <c r="C14" t="s">
        <v>47</v>
      </c>
      <c r="D14">
        <v>20190718</v>
      </c>
      <c r="E14">
        <v>9.4344520000000003</v>
      </c>
      <c r="F14">
        <v>9.4454820000000002</v>
      </c>
      <c r="G14">
        <v>8.7006870000000003</v>
      </c>
      <c r="H14">
        <v>2.7032829999999999</v>
      </c>
      <c r="I14">
        <v>9.1109950000000008</v>
      </c>
      <c r="J14">
        <v>7.8789798000000006</v>
      </c>
      <c r="K14">
        <v>8.5462772053455698</v>
      </c>
      <c r="L14">
        <v>8.5642174598912888</v>
      </c>
      <c r="M14">
        <v>8.4853226056116426</v>
      </c>
      <c r="N14">
        <v>2.493713529289586</v>
      </c>
      <c r="O14">
        <v>8.3596798220791921</v>
      </c>
      <c r="P14">
        <v>7.3255451711288382</v>
      </c>
      <c r="Q14">
        <v>7.2957926322243525</v>
      </c>
      <c r="R14">
        <v>9.3000000000000007</v>
      </c>
      <c r="S14">
        <v>8.5489999999999995</v>
      </c>
      <c r="T14" s="9"/>
      <c r="U14" s="63"/>
    </row>
    <row r="15" spans="1:21" x14ac:dyDescent="0.2">
      <c r="A15" t="s">
        <v>171</v>
      </c>
      <c r="B15" t="s">
        <v>172</v>
      </c>
      <c r="C15" t="s">
        <v>48</v>
      </c>
      <c r="D15">
        <v>20191024</v>
      </c>
      <c r="E15">
        <v>7.9931010000000002</v>
      </c>
      <c r="F15">
        <v>8.2167770000000004</v>
      </c>
      <c r="G15">
        <v>7.3856729999999997</v>
      </c>
      <c r="H15">
        <v>7.884728</v>
      </c>
      <c r="I15">
        <v>8.3483719999999995</v>
      </c>
      <c r="J15">
        <v>7.9657302000000003</v>
      </c>
      <c r="K15">
        <v>7.2429241729143348</v>
      </c>
      <c r="L15">
        <v>7.436912861937591</v>
      </c>
      <c r="M15">
        <v>7.2569118366170384</v>
      </c>
      <c r="N15">
        <v>24.935065870646913</v>
      </c>
      <c r="O15">
        <v>7.8334179996806039</v>
      </c>
      <c r="P15">
        <v>8.6431275632665034</v>
      </c>
      <c r="Q15">
        <v>10.55806005084383</v>
      </c>
      <c r="R15">
        <v>9.9</v>
      </c>
      <c r="S15">
        <v>8.34</v>
      </c>
      <c r="T15" s="9"/>
      <c r="U15" s="63"/>
    </row>
    <row r="16" spans="1:21" x14ac:dyDescent="0.2">
      <c r="A16" t="s">
        <v>171</v>
      </c>
      <c r="B16" t="s">
        <v>172</v>
      </c>
      <c r="C16" t="s">
        <v>49</v>
      </c>
      <c r="D16" s="178">
        <v>20200220</v>
      </c>
      <c r="E16">
        <v>9.5567360000000008</v>
      </c>
      <c r="F16">
        <v>9.5120609999999992</v>
      </c>
      <c r="G16">
        <v>9.9071599999999993</v>
      </c>
      <c r="H16">
        <v>9.1520550000000007</v>
      </c>
      <c r="I16">
        <v>9.3007179999999998</v>
      </c>
      <c r="J16">
        <f>AVERAGE(E16:I16)</f>
        <v>9.4857460000000007</v>
      </c>
      <c r="K16">
        <f>(E16/E15)*$S15</f>
        <v>9.9714964492504237</v>
      </c>
      <c r="L16">
        <f t="shared" ref="L16:P16" si="0">(F16/F15)*$S15</f>
        <v>9.6547087428562293</v>
      </c>
      <c r="M16">
        <f t="shared" si="0"/>
        <v>11.187296594365876</v>
      </c>
      <c r="N16">
        <f t="shared" si="0"/>
        <v>9.680503715537176</v>
      </c>
      <c r="O16">
        <f t="shared" si="0"/>
        <v>9.2913909586204362</v>
      </c>
      <c r="P16">
        <f t="shared" si="0"/>
        <v>9.9314337359806633</v>
      </c>
      <c r="Q16">
        <f>AVERAGE(K16:P16)</f>
        <v>9.9528050327684667</v>
      </c>
      <c r="R16">
        <v>8.6</v>
      </c>
      <c r="S16">
        <v>8.1380000000000017</v>
      </c>
      <c r="T16" s="9"/>
      <c r="U16" s="63"/>
    </row>
    <row r="17" spans="1:21" x14ac:dyDescent="0.2">
      <c r="A17" t="s">
        <v>171</v>
      </c>
      <c r="B17" t="s">
        <v>172</v>
      </c>
      <c r="C17" t="s">
        <v>50</v>
      </c>
      <c r="D17">
        <v>20200416</v>
      </c>
      <c r="E17">
        <v>8.6437220000000003</v>
      </c>
      <c r="F17">
        <v>8.614649</v>
      </c>
      <c r="G17">
        <v>7.9954799999999997</v>
      </c>
      <c r="H17">
        <v>8.2910590000000006</v>
      </c>
      <c r="I17">
        <v>9.099558</v>
      </c>
      <c r="J17">
        <v>8.5288936</v>
      </c>
      <c r="K17">
        <v>7.7462028480610181</v>
      </c>
      <c r="L17">
        <v>7.7521340659153539</v>
      </c>
      <c r="M17">
        <v>6.8530407222004737</v>
      </c>
      <c r="N17">
        <v>7.3720695630872957</v>
      </c>
      <c r="O17">
        <v>7.911996324156334</v>
      </c>
      <c r="P17">
        <v>7.5229444713966975</v>
      </c>
      <c r="Q17">
        <v>7.5263979991361962</v>
      </c>
      <c r="R17">
        <v>7.8</v>
      </c>
      <c r="S17">
        <v>7.5780000000000003</v>
      </c>
      <c r="T17" s="9"/>
      <c r="U17" s="63"/>
    </row>
    <row r="18" spans="1:21" x14ac:dyDescent="0.2">
      <c r="A18" t="s">
        <v>171</v>
      </c>
      <c r="B18" t="s">
        <v>172</v>
      </c>
      <c r="C18" t="s">
        <v>51</v>
      </c>
      <c r="D18">
        <v>20200723</v>
      </c>
      <c r="E18">
        <v>7.6099209999999999</v>
      </c>
      <c r="F18">
        <v>7.6010970000000002</v>
      </c>
      <c r="G18">
        <v>6.6142240000000001</v>
      </c>
      <c r="H18">
        <v>7.5010209999999997</v>
      </c>
      <c r="I18">
        <v>8.3093889999999995</v>
      </c>
      <c r="J18">
        <v>7.527130399999999</v>
      </c>
      <c r="K18">
        <v>6.6716608120899767</v>
      </c>
      <c r="L18">
        <v>6.6864143932039486</v>
      </c>
      <c r="M18">
        <v>6.2688655930600792</v>
      </c>
      <c r="N18">
        <v>6.8559079290112388</v>
      </c>
      <c r="O18">
        <v>6.9199569739541191</v>
      </c>
      <c r="P18">
        <v>6.6879242310163178</v>
      </c>
      <c r="Q18">
        <v>6.6817883220559473</v>
      </c>
      <c r="R18">
        <v>4</v>
      </c>
      <c r="S18">
        <v>5.84</v>
      </c>
      <c r="T18" s="9"/>
      <c r="U18" s="63"/>
    </row>
    <row r="19" spans="1:21" x14ac:dyDescent="0.2">
      <c r="A19" t="s">
        <v>171</v>
      </c>
      <c r="B19" t="s">
        <v>172</v>
      </c>
      <c r="C19" t="s">
        <v>52</v>
      </c>
      <c r="D19">
        <v>20201022</v>
      </c>
      <c r="E19">
        <v>7.753126</v>
      </c>
      <c r="F19">
        <v>7.8074269999999997</v>
      </c>
      <c r="G19">
        <v>7.414212</v>
      </c>
      <c r="H19">
        <v>7.1231039999999997</v>
      </c>
      <c r="I19">
        <v>8.4376859999999994</v>
      </c>
      <c r="J19">
        <v>7.7071109999999994</v>
      </c>
      <c r="K19">
        <v>5.9498982762107522</v>
      </c>
      <c r="L19">
        <v>5.9985254338946072</v>
      </c>
      <c r="M19">
        <v>6.5463458872877593</v>
      </c>
      <c r="N19">
        <v>5.5457686840231482</v>
      </c>
      <c r="O19">
        <v>5.9301696237834092</v>
      </c>
      <c r="P19">
        <v>5.9796397628503959</v>
      </c>
      <c r="Q19">
        <v>5.9917246113416782</v>
      </c>
      <c r="R19">
        <v>6.7</v>
      </c>
      <c r="S19">
        <v>7.093</v>
      </c>
      <c r="T19" s="9"/>
      <c r="U19" s="63"/>
    </row>
    <row r="20" spans="1:21" x14ac:dyDescent="0.2">
      <c r="A20" t="s">
        <v>171</v>
      </c>
      <c r="B20" t="s">
        <v>172</v>
      </c>
      <c r="C20" t="s">
        <v>53</v>
      </c>
      <c r="D20">
        <v>20210218</v>
      </c>
      <c r="E20">
        <v>7.1069149999999999</v>
      </c>
      <c r="F20">
        <v>7.1085909999999997</v>
      </c>
      <c r="G20">
        <v>7.17807</v>
      </c>
      <c r="H20">
        <v>7.4964130000000004</v>
      </c>
      <c r="I20">
        <v>9.1988939999999992</v>
      </c>
      <c r="J20">
        <v>7.6177765999999991</v>
      </c>
      <c r="K20">
        <v>6.5018094759455733</v>
      </c>
      <c r="L20">
        <v>6.4581117393732912</v>
      </c>
      <c r="M20">
        <v>6.8670885739442031</v>
      </c>
      <c r="N20">
        <v>7.4647313037967722</v>
      </c>
      <c r="O20">
        <v>7.7328968086747958</v>
      </c>
      <c r="P20">
        <v>7.0107838623058623</v>
      </c>
      <c r="Q20">
        <v>7.005903627340083</v>
      </c>
      <c r="R20">
        <v>7.1</v>
      </c>
      <c r="S20">
        <v>7.3490000000000002</v>
      </c>
    </row>
    <row r="21" spans="1:21" x14ac:dyDescent="0.2">
      <c r="A21" t="s">
        <v>171</v>
      </c>
      <c r="B21" t="s">
        <v>172</v>
      </c>
      <c r="C21" t="s">
        <v>54</v>
      </c>
      <c r="D21">
        <v>20210422</v>
      </c>
      <c r="E21">
        <v>6.7048620000000003</v>
      </c>
      <c r="F21">
        <v>6.6421099999999997</v>
      </c>
      <c r="G21">
        <v>6.8677760000000001</v>
      </c>
      <c r="H21">
        <v>6.6275930000000001</v>
      </c>
      <c r="I21">
        <v>8.4619540000000004</v>
      </c>
      <c r="J21">
        <v>7.0608590000000007</v>
      </c>
      <c r="K21">
        <v>6.933251746784646</v>
      </c>
      <c r="L21">
        <v>6.86674284538244</v>
      </c>
      <c r="M21">
        <v>7.0313170286720537</v>
      </c>
      <c r="N21">
        <v>6.4972648861528839</v>
      </c>
      <c r="O21">
        <v>6.7602583469273601</v>
      </c>
      <c r="P21">
        <v>6.811732020469071</v>
      </c>
      <c r="Q21">
        <v>6.8167611457314088</v>
      </c>
      <c r="R21">
        <v>7.3</v>
      </c>
      <c r="S21">
        <v>7.4729999999999999</v>
      </c>
    </row>
    <row r="22" spans="1:21" x14ac:dyDescent="0.2">
      <c r="A22" t="s">
        <v>171</v>
      </c>
      <c r="B22" t="s">
        <v>172</v>
      </c>
      <c r="C22" t="s">
        <v>55</v>
      </c>
      <c r="D22">
        <v>20210722</v>
      </c>
      <c r="E22">
        <v>7.7789679999999999</v>
      </c>
      <c r="F22">
        <v>7.5492239999999997</v>
      </c>
      <c r="G22">
        <v>7.5553929999999996</v>
      </c>
      <c r="H22">
        <v>7.419454</v>
      </c>
      <c r="I22">
        <v>8.8802369999999993</v>
      </c>
      <c r="J22">
        <v>7.8366552</v>
      </c>
      <c r="K22">
        <v>8.6701602305908754</v>
      </c>
      <c r="L22">
        <v>8.4935887770603014</v>
      </c>
      <c r="M22">
        <v>8.2212133722765568</v>
      </c>
      <c r="N22">
        <v>8.3658697421522419</v>
      </c>
      <c r="O22">
        <v>7.8423979970819975</v>
      </c>
      <c r="P22">
        <v>8.2940792769831528</v>
      </c>
      <c r="Q22">
        <v>8.3145515660241873</v>
      </c>
      <c r="R22">
        <v>7.8</v>
      </c>
      <c r="S22">
        <v>7.5069999999999997</v>
      </c>
    </row>
    <row r="23" spans="1:21" x14ac:dyDescent="0.2">
      <c r="A23" t="s">
        <v>171</v>
      </c>
      <c r="B23" t="s">
        <v>172</v>
      </c>
      <c r="C23" t="s">
        <v>71</v>
      </c>
      <c r="D23" s="12">
        <v>20211014</v>
      </c>
      <c r="E23">
        <v>8.3028983089999997</v>
      </c>
      <c r="F23">
        <v>7.9707738351371198</v>
      </c>
      <c r="G23">
        <v>7.6168504575550324</v>
      </c>
      <c r="H23">
        <v>8.3384675040000005</v>
      </c>
      <c r="I23">
        <v>9.6705579862552877</v>
      </c>
      <c r="J23">
        <f>AVERAGE(E23:I23)</f>
        <v>8.3799096183894868</v>
      </c>
      <c r="K23" s="95">
        <f>(E23/E22)*$S21</f>
        <v>7.9763227028517143</v>
      </c>
      <c r="L23" s="95">
        <f>(F23/F22)*$S21</f>
        <v>7.8902934751942313</v>
      </c>
      <c r="M23" s="95">
        <f>(G23/G22)*$S21</f>
        <v>7.5337872522724831</v>
      </c>
      <c r="N23" s="95">
        <f t="shared" ref="N23:O23" si="1">(H23/H22)*$S21</f>
        <v>8.3986459997449963</v>
      </c>
      <c r="O23" s="95">
        <f t="shared" si="1"/>
        <v>8.1380800795390673</v>
      </c>
      <c r="P23" s="95">
        <f>(J23/J22)*$S21</f>
        <v>7.9910450287802171</v>
      </c>
      <c r="Q23" s="95">
        <f>(K23/K22)*$S21</f>
        <v>6.8749663181655656</v>
      </c>
      <c r="R23" s="6">
        <v>7.6139999999999999</v>
      </c>
      <c r="S23" s="10"/>
    </row>
    <row r="24" spans="1:21" x14ac:dyDescent="0.2">
      <c r="A24" s="163" t="s">
        <v>75</v>
      </c>
      <c r="B24" s="164"/>
      <c r="C24" s="164"/>
      <c r="D24" s="164"/>
      <c r="E24" s="103">
        <f t="shared" ref="E24:Q24" si="2">CORREL(E$8:E$22,$S$8:$S$22)</f>
        <v>0.40085157727428983</v>
      </c>
      <c r="F24" s="104">
        <f t="shared" si="2"/>
        <v>0.42343747290380879</v>
      </c>
      <c r="G24" s="103">
        <f t="shared" si="2"/>
        <v>0.50471650763599885</v>
      </c>
      <c r="H24" s="103">
        <f t="shared" si="2"/>
        <v>-0.11252676598102333</v>
      </c>
      <c r="I24" s="103">
        <f t="shared" si="2"/>
        <v>0.36254221153804767</v>
      </c>
      <c r="J24" s="104">
        <f>CORREL(J$8:J$22,$S$8:$S$22)</f>
        <v>0.36409490189280602</v>
      </c>
      <c r="K24" s="103">
        <f>CORREL(K$8:K$22,$S$8:$S$22)</f>
        <v>0.51111519826504304</v>
      </c>
      <c r="L24" s="103">
        <f t="shared" si="2"/>
        <v>0.53318053853913716</v>
      </c>
      <c r="M24" s="103">
        <f t="shared" si="2"/>
        <v>0.55631241726201108</v>
      </c>
      <c r="N24" s="103">
        <f t="shared" si="2"/>
        <v>0.2909315984610642</v>
      </c>
      <c r="O24" s="103">
        <f t="shared" si="2"/>
        <v>0.6011471156275352</v>
      </c>
      <c r="P24" s="103">
        <f t="shared" si="2"/>
        <v>0.57163725913526586</v>
      </c>
      <c r="Q24" s="103">
        <f t="shared" si="2"/>
        <v>0.57488508020830553</v>
      </c>
      <c r="R24" s="104">
        <f>CORREL(R$8:R$22,$S$8:$S$22)</f>
        <v>0.82481457161687677</v>
      </c>
      <c r="S24" s="5"/>
    </row>
    <row r="26" spans="1:21" x14ac:dyDescent="0.2">
      <c r="A26" s="166" t="s">
        <v>77</v>
      </c>
      <c r="B26" s="167"/>
    </row>
    <row r="27" spans="1:21" x14ac:dyDescent="0.2">
      <c r="A27" s="17" t="s">
        <v>56</v>
      </c>
      <c r="B27" s="17" t="s">
        <v>57</v>
      </c>
      <c r="C27" s="17" t="s">
        <v>68</v>
      </c>
      <c r="D27" s="17" t="s">
        <v>58</v>
      </c>
      <c r="E27" s="17" t="s">
        <v>59</v>
      </c>
      <c r="F27" s="17" t="s">
        <v>69</v>
      </c>
      <c r="G27" s="17" t="s">
        <v>60</v>
      </c>
      <c r="H27" s="17" t="s">
        <v>61</v>
      </c>
      <c r="I27" s="17" t="s">
        <v>70</v>
      </c>
      <c r="J27" s="17" t="s">
        <v>62</v>
      </c>
      <c r="K27" s="17" t="s">
        <v>63</v>
      </c>
      <c r="L27" s="17" t="s">
        <v>73</v>
      </c>
      <c r="M27" s="17" t="s">
        <v>64</v>
      </c>
      <c r="N27" s="17" t="s">
        <v>65</v>
      </c>
      <c r="O27" s="17" t="s">
        <v>74</v>
      </c>
      <c r="P27" s="17" t="s">
        <v>66</v>
      </c>
      <c r="Q27" s="17" t="s">
        <v>67</v>
      </c>
      <c r="R27" s="17" t="s">
        <v>0</v>
      </c>
    </row>
    <row r="28" spans="1:21" x14ac:dyDescent="0.2">
      <c r="A28" s="9" t="str">
        <f t="shared" ref="A28:D28" si="3">A7</f>
        <v>MMSI_END</v>
      </c>
      <c r="B28" s="9" t="str">
        <f t="shared" si="3"/>
        <v>Endoscopy</v>
      </c>
      <c r="C28" s="9" t="str">
        <f t="shared" si="3"/>
        <v>2017Q3</v>
      </c>
      <c r="D28" s="9">
        <f t="shared" si="3"/>
        <v>20171019</v>
      </c>
      <c r="E28" s="18">
        <f t="shared" ref="E28:R28" si="4">$S7/E7-1</f>
        <v>-4.895889355916383E-2</v>
      </c>
      <c r="F28" s="18">
        <f t="shared" si="4"/>
        <v>-2.5006470453224683E-2</v>
      </c>
      <c r="G28" s="18">
        <f t="shared" si="4"/>
        <v>0.26091035793749873</v>
      </c>
      <c r="H28" s="18">
        <f t="shared" si="4"/>
        <v>-7.5024905124541408E-2</v>
      </c>
      <c r="I28" s="18">
        <f t="shared" si="4"/>
        <v>-0.22804591707093869</v>
      </c>
      <c r="J28" s="18">
        <f t="shared" si="4"/>
        <v>-4.7025282483393771E-2</v>
      </c>
      <c r="K28" s="18"/>
      <c r="L28" s="18"/>
      <c r="M28" s="18"/>
      <c r="N28" s="18"/>
      <c r="O28" s="18"/>
      <c r="P28" s="18"/>
      <c r="Q28" s="18"/>
      <c r="R28" s="41">
        <f t="shared" si="4"/>
        <v>-8.72857142857143E-2</v>
      </c>
    </row>
    <row r="29" spans="1:21" x14ac:dyDescent="0.2">
      <c r="A29" s="9" t="str">
        <f>A8</f>
        <v>MMSI_END</v>
      </c>
      <c r="B29" s="9" t="str">
        <f t="shared" ref="B29:D30" si="5">B8</f>
        <v>Endoscopy</v>
      </c>
      <c r="C29" s="9" t="str">
        <f t="shared" si="5"/>
        <v>2017Q4</v>
      </c>
      <c r="D29" s="9">
        <f t="shared" si="5"/>
        <v>20180222</v>
      </c>
      <c r="E29" s="18">
        <f t="shared" ref="E29:R30" si="6">$S8/E8-1</f>
        <v>2.5045113402983876E-3</v>
      </c>
      <c r="F29" s="18">
        <f t="shared" si="6"/>
        <v>5.8964551736944149E-3</v>
      </c>
      <c r="G29" s="18">
        <f t="shared" si="6"/>
        <v>5.5045344407994357E-2</v>
      </c>
      <c r="H29" s="18">
        <f t="shared" si="6"/>
        <v>3.2635373147500202E-2</v>
      </c>
      <c r="I29" s="18">
        <f t="shared" si="6"/>
        <v>-0.14542633631107482</v>
      </c>
      <c r="J29" s="18">
        <f t="shared" si="6"/>
        <v>-1.5367472394264503E-2</v>
      </c>
      <c r="K29" s="18">
        <f t="shared" si="6"/>
        <v>5.4112702964079329E-2</v>
      </c>
      <c r="L29" s="18">
        <f t="shared" si="6"/>
        <v>3.169551867824616E-2</v>
      </c>
      <c r="M29" s="18">
        <f t="shared" si="6"/>
        <v>-0.16326696995831069</v>
      </c>
      <c r="N29" s="18">
        <f t="shared" si="6"/>
        <v>0.1163926238322528</v>
      </c>
      <c r="O29" s="18">
        <f t="shared" si="6"/>
        <v>0.10702654806407197</v>
      </c>
      <c r="P29" s="18">
        <f t="shared" si="6"/>
        <v>3.3219989478448619E-2</v>
      </c>
      <c r="Q29" s="18">
        <f t="shared" si="6"/>
        <v>2.0411854678227037E-2</v>
      </c>
      <c r="R29" s="41">
        <f t="shared" si="6"/>
        <v>-1.9041095890411031E-2</v>
      </c>
    </row>
    <row r="30" spans="1:21" x14ac:dyDescent="0.2">
      <c r="A30" s="9" t="str">
        <f>A9</f>
        <v>MMSI_END</v>
      </c>
      <c r="B30" s="9" t="str">
        <f t="shared" si="5"/>
        <v>Endoscopy</v>
      </c>
      <c r="C30" s="9" t="str">
        <f t="shared" si="5"/>
        <v>2018Q1</v>
      </c>
      <c r="D30" s="9">
        <f t="shared" si="5"/>
        <v>20180419</v>
      </c>
      <c r="E30" s="18">
        <f t="shared" ref="E30:E40" si="7">$S9/E9-1</f>
        <v>-0.13193006653948025</v>
      </c>
      <c r="F30" s="18">
        <f t="shared" si="6"/>
        <v>-0.13621592654014647</v>
      </c>
      <c r="G30" s="18">
        <f t="shared" si="6"/>
        <v>4.1023989598788946E-2</v>
      </c>
      <c r="H30" s="18">
        <f t="shared" si="6"/>
        <v>-5.6015350462147229E-2</v>
      </c>
      <c r="I30" s="18">
        <f t="shared" si="6"/>
        <v>-0.22461487972788219</v>
      </c>
      <c r="J30" s="18">
        <f t="shared" si="6"/>
        <v>-0.11020807420190692</v>
      </c>
      <c r="K30" s="18">
        <f t="shared" ref="K30:Q30" si="8">$S9/K9-1</f>
        <v>-0.13409872609954288</v>
      </c>
      <c r="L30" s="18">
        <f t="shared" si="8"/>
        <v>-0.14127933445127938</v>
      </c>
      <c r="M30" s="18">
        <f t="shared" si="8"/>
        <v>-1.3289812502867426E-2</v>
      </c>
      <c r="N30" s="18">
        <f t="shared" si="8"/>
        <v>-8.5849009161324541E-2</v>
      </c>
      <c r="O30" s="18">
        <f t="shared" si="8"/>
        <v>-9.2664385507710723E-2</v>
      </c>
      <c r="P30" s="18">
        <f t="shared" si="8"/>
        <v>-9.6320809183767286E-2</v>
      </c>
      <c r="Q30" s="18">
        <f t="shared" si="8"/>
        <v>-9.5770627997888824E-2</v>
      </c>
      <c r="R30" s="41">
        <f>$S9/R9-1</f>
        <v>-2.5633802816901308E-2</v>
      </c>
    </row>
    <row r="31" spans="1:21" x14ac:dyDescent="0.2">
      <c r="A31" s="9" t="str">
        <f t="shared" ref="A31:D31" si="9">A10</f>
        <v>MMSI_END</v>
      </c>
      <c r="B31" s="9" t="str">
        <f t="shared" si="9"/>
        <v>Endoscopy</v>
      </c>
      <c r="C31" s="9" t="str">
        <f t="shared" si="9"/>
        <v>2018Q2</v>
      </c>
      <c r="D31" s="9">
        <f t="shared" si="9"/>
        <v>20180719</v>
      </c>
      <c r="E31" s="18">
        <f t="shared" si="7"/>
        <v>0.13015044040519541</v>
      </c>
      <c r="F31" s="18">
        <f t="shared" ref="F31:J31" si="10">$S10/F10-1</f>
        <v>0.12564661266445998</v>
      </c>
      <c r="G31" s="18">
        <f t="shared" si="10"/>
        <v>0.1875577985740533</v>
      </c>
      <c r="H31" s="18">
        <f t="shared" si="10"/>
        <v>0.29444545660164789</v>
      </c>
      <c r="I31" s="18">
        <f t="shared" si="10"/>
        <v>2.8852464000932443E-2</v>
      </c>
      <c r="J31" s="18">
        <f t="shared" si="10"/>
        <v>0.14684981919003848</v>
      </c>
      <c r="K31" s="18">
        <f t="shared" ref="K31:Q31" si="11">$S10/K10-1</f>
        <v>0.30191174333144355</v>
      </c>
      <c r="L31" s="18">
        <f t="shared" si="11"/>
        <v>0.30315740617412223</v>
      </c>
      <c r="M31" s="18">
        <f t="shared" si="11"/>
        <v>0.14075930088002941</v>
      </c>
      <c r="N31" s="18">
        <f t="shared" si="11"/>
        <v>0.37125689197951539</v>
      </c>
      <c r="O31" s="18">
        <f t="shared" si="11"/>
        <v>0.32689219473267861</v>
      </c>
      <c r="P31" s="18">
        <f t="shared" si="11"/>
        <v>0.28889663520084108</v>
      </c>
      <c r="Q31" s="18">
        <f t="shared" si="11"/>
        <v>0.28456732261016948</v>
      </c>
      <c r="R31" s="41">
        <f t="shared" ref="R31:R38" si="12">$S10/R10-1</f>
        <v>6.8552631578947532E-2</v>
      </c>
    </row>
    <row r="32" spans="1:21" x14ac:dyDescent="0.2">
      <c r="A32" s="9" t="str">
        <f t="shared" ref="A32:D32" si="13">A11</f>
        <v>MMSI_END</v>
      </c>
      <c r="B32" s="9" t="str">
        <f t="shared" si="13"/>
        <v>Endoscopy</v>
      </c>
      <c r="C32" s="9" t="str">
        <f t="shared" si="13"/>
        <v>2018Q3</v>
      </c>
      <c r="D32" s="9">
        <f t="shared" si="13"/>
        <v>20181018</v>
      </c>
      <c r="E32" s="18">
        <f t="shared" si="7"/>
        <v>0.14014886793681236</v>
      </c>
      <c r="F32" s="18">
        <f t="shared" ref="F32:J32" si="14">$S11/F11-1</f>
        <v>0.12927044773022023</v>
      </c>
      <c r="G32" s="18">
        <f t="shared" si="14"/>
        <v>0.19684253512750338</v>
      </c>
      <c r="H32" s="18">
        <f t="shared" si="14"/>
        <v>0.12150182327590819</v>
      </c>
      <c r="I32" s="18">
        <f t="shared" si="14"/>
        <v>-1.2923229620217858E-2</v>
      </c>
      <c r="J32" s="18">
        <f t="shared" si="14"/>
        <v>0.11039758297403535</v>
      </c>
      <c r="K32" s="18">
        <f t="shared" ref="K32:Q32" si="15">$S11/K11-1</f>
        <v>8.8469881302102316E-3</v>
      </c>
      <c r="L32" s="18">
        <f t="shared" si="15"/>
        <v>3.2193363574224421E-3</v>
      </c>
      <c r="M32" s="18">
        <f t="shared" si="15"/>
        <v>7.8183449804283267E-3</v>
      </c>
      <c r="N32" s="18">
        <f t="shared" si="15"/>
        <v>-0.13360441913077958</v>
      </c>
      <c r="O32" s="18">
        <f t="shared" si="15"/>
        <v>-4.0604163456727238E-2</v>
      </c>
      <c r="P32" s="18">
        <f t="shared" si="15"/>
        <v>-3.17846640475975E-2</v>
      </c>
      <c r="Q32" s="18">
        <f t="shared" si="15"/>
        <v>-3.3757580668772214E-2</v>
      </c>
      <c r="R32" s="41">
        <f t="shared" si="12"/>
        <v>0.12548780487804878</v>
      </c>
    </row>
    <row r="33" spans="1:18" x14ac:dyDescent="0.2">
      <c r="A33" s="9" t="str">
        <f t="shared" ref="A33:D33" si="16">A12</f>
        <v>MMSI_END</v>
      </c>
      <c r="B33" s="9" t="str">
        <f t="shared" si="16"/>
        <v>Endoscopy</v>
      </c>
      <c r="C33" s="9" t="str">
        <f t="shared" si="16"/>
        <v>2018Q4</v>
      </c>
      <c r="D33" s="9">
        <f t="shared" si="16"/>
        <v>20190221</v>
      </c>
      <c r="E33" s="18">
        <f t="shared" si="7"/>
        <v>-3.7780215687377217E-2</v>
      </c>
      <c r="F33" s="18">
        <f t="shared" ref="F33:J33" si="17">$S12/F12-1</f>
        <v>-1.1213569630113218E-2</v>
      </c>
      <c r="G33" s="18">
        <f t="shared" si="17"/>
        <v>9.4925219966481844E-2</v>
      </c>
      <c r="H33" s="18">
        <f t="shared" si="17"/>
        <v>-2.3719872557296795E-2</v>
      </c>
      <c r="I33" s="18">
        <f t="shared" si="17"/>
        <v>-9.556377514260761E-2</v>
      </c>
      <c r="J33" s="18">
        <f t="shared" si="17"/>
        <v>-1.8427271408985924E-2</v>
      </c>
      <c r="K33" s="18">
        <f t="shared" ref="K33:Q33" si="18">$S12/K12-1</f>
        <v>-0.15605776458487031</v>
      </c>
      <c r="L33" s="18">
        <f t="shared" si="18"/>
        <v>-0.12440245615450185</v>
      </c>
      <c r="M33" s="18">
        <f t="shared" si="18"/>
        <v>-8.5155157984223906E-2</v>
      </c>
      <c r="N33" s="18">
        <f t="shared" si="18"/>
        <v>-0.12948859539881286</v>
      </c>
      <c r="O33" s="18">
        <f t="shared" si="18"/>
        <v>-8.3722510753235113E-2</v>
      </c>
      <c r="P33" s="18">
        <f t="shared" si="18"/>
        <v>-0.11601687211708711</v>
      </c>
      <c r="Q33" s="18">
        <f t="shared" si="18"/>
        <v>-0.11653489837830666</v>
      </c>
      <c r="R33" s="41">
        <f t="shared" si="12"/>
        <v>-0.1295604395604395</v>
      </c>
    </row>
    <row r="34" spans="1:18" x14ac:dyDescent="0.2">
      <c r="A34" s="9" t="str">
        <f t="shared" ref="A34:D34" si="19">A13</f>
        <v>MMSI_END</v>
      </c>
      <c r="B34" s="9" t="str">
        <f t="shared" si="19"/>
        <v>Endoscopy</v>
      </c>
      <c r="C34" s="9" t="str">
        <f t="shared" si="19"/>
        <v>2019Q1</v>
      </c>
      <c r="D34" s="9">
        <f t="shared" si="19"/>
        <v>20190418</v>
      </c>
      <c r="E34" s="18">
        <f t="shared" si="7"/>
        <v>-9.4141641152494127E-2</v>
      </c>
      <c r="F34" s="18">
        <f t="shared" ref="F34:J34" si="20">$S13/F13-1</f>
        <v>-9.3300113229659476E-2</v>
      </c>
      <c r="G34" s="18">
        <f t="shared" si="20"/>
        <v>-2.4752573490847141E-2</v>
      </c>
      <c r="H34" s="18">
        <f t="shared" si="20"/>
        <v>-7.75240589721512E-2</v>
      </c>
      <c r="I34" s="18">
        <f t="shared" si="20"/>
        <v>-8.2462472860626912E-2</v>
      </c>
      <c r="J34" s="18">
        <f t="shared" si="20"/>
        <v>-7.0241914933093508E-2</v>
      </c>
      <c r="K34" s="18">
        <f t="shared" ref="K34:Q34" si="21">$S13/K13-1</f>
        <v>-5.8574378103625868E-2</v>
      </c>
      <c r="L34" s="18">
        <f t="shared" si="21"/>
        <v>-8.3017465732048157E-2</v>
      </c>
      <c r="M34" s="18">
        <f t="shared" si="21"/>
        <v>-0.10930225304426977</v>
      </c>
      <c r="N34" s="18">
        <f t="shared" si="21"/>
        <v>-5.511142232894839E-2</v>
      </c>
      <c r="O34" s="18">
        <f t="shared" si="21"/>
        <v>1.4485600998618287E-2</v>
      </c>
      <c r="P34" s="18">
        <f t="shared" si="21"/>
        <v>-5.2787370731544492E-2</v>
      </c>
      <c r="Q34" s="18">
        <f t="shared" si="21"/>
        <v>-5.8859503265272228E-2</v>
      </c>
      <c r="R34" s="41">
        <f t="shared" si="12"/>
        <v>-7.7073170731707275E-2</v>
      </c>
    </row>
    <row r="35" spans="1:18" x14ac:dyDescent="0.2">
      <c r="A35" s="9" t="str">
        <f t="shared" ref="A35:D35" si="22">A14</f>
        <v>MMSI_END</v>
      </c>
      <c r="B35" s="9" t="str">
        <f t="shared" si="22"/>
        <v>Endoscopy</v>
      </c>
      <c r="C35" s="9" t="str">
        <f t="shared" si="22"/>
        <v>2019Q2</v>
      </c>
      <c r="D35" s="9">
        <f t="shared" si="22"/>
        <v>20190718</v>
      </c>
      <c r="E35" s="18">
        <f t="shared" si="7"/>
        <v>-9.3853039900992696E-2</v>
      </c>
      <c r="F35" s="18">
        <f t="shared" ref="F35:J35" si="23">$S14/F14-1</f>
        <v>-9.4911196697002986E-2</v>
      </c>
      <c r="G35" s="18">
        <f>$S14/G14-1</f>
        <v>-1.7433910678547604E-2</v>
      </c>
      <c r="H35" s="18">
        <f t="shared" si="23"/>
        <v>2.1624509901479052</v>
      </c>
      <c r="I35" s="18">
        <f t="shared" si="23"/>
        <v>-6.1683164133006452E-2</v>
      </c>
      <c r="J35" s="18">
        <f t="shared" si="23"/>
        <v>8.5038953901112713E-2</v>
      </c>
      <c r="K35" s="18">
        <f t="shared" ref="K35:Q35" si="24">$S14/K14-1</f>
        <v>3.1859423571312107E-4</v>
      </c>
      <c r="L35" s="18">
        <f t="shared" si="24"/>
        <v>-1.7768651908428579E-3</v>
      </c>
      <c r="M35" s="18">
        <f t="shared" si="24"/>
        <v>7.5044164315267725E-3</v>
      </c>
      <c r="N35" s="18">
        <f t="shared" si="24"/>
        <v>2.4282205632639187</v>
      </c>
      <c r="O35" s="18">
        <f t="shared" si="24"/>
        <v>2.2646821642712256E-2</v>
      </c>
      <c r="P35" s="18">
        <f t="shared" si="24"/>
        <v>0.16701211995702314</v>
      </c>
      <c r="Q35" s="18">
        <f t="shared" si="24"/>
        <v>0.17177124281746026</v>
      </c>
      <c r="R35" s="41">
        <f t="shared" si="12"/>
        <v>-8.0752688172043174E-2</v>
      </c>
    </row>
    <row r="36" spans="1:18" x14ac:dyDescent="0.2">
      <c r="A36" s="9" t="str">
        <f t="shared" ref="A36:D36" si="25">A15</f>
        <v>MMSI_END</v>
      </c>
      <c r="B36" s="9" t="str">
        <f t="shared" si="25"/>
        <v>Endoscopy</v>
      </c>
      <c r="C36" s="9" t="str">
        <f t="shared" si="25"/>
        <v>2019Q3</v>
      </c>
      <c r="D36" s="9">
        <f t="shared" si="25"/>
        <v>20191024</v>
      </c>
      <c r="E36" s="18">
        <f t="shared" si="7"/>
        <v>4.3399801904167035E-2</v>
      </c>
      <c r="F36" s="18">
        <f t="shared" ref="F36:J36" si="26">$S15/F15-1</f>
        <v>1.4996512622893254E-2</v>
      </c>
      <c r="G36" s="18">
        <f>$S15/G15-1</f>
        <v>0.12921327548620143</v>
      </c>
      <c r="H36" s="18">
        <f t="shared" si="26"/>
        <v>5.7740989923812158E-2</v>
      </c>
      <c r="I36" s="18">
        <f t="shared" si="26"/>
        <v>-1.0028302524132116E-3</v>
      </c>
      <c r="J36" s="18">
        <f t="shared" si="26"/>
        <v>4.698499580113813E-2</v>
      </c>
      <c r="K36" s="18">
        <f t="shared" ref="K36:Q36" si="27">$S15/K15-1</f>
        <v>0.15146863350969397</v>
      </c>
      <c r="L36" s="18">
        <f t="shared" si="27"/>
        <v>0.12143306703033252</v>
      </c>
      <c r="M36" s="18">
        <f t="shared" si="27"/>
        <v>0.1492491830916145</v>
      </c>
      <c r="N36" s="18">
        <f t="shared" si="27"/>
        <v>-0.66553126254951311</v>
      </c>
      <c r="O36" s="18">
        <f t="shared" si="27"/>
        <v>6.4669343617313801E-2</v>
      </c>
      <c r="P36" s="18">
        <f t="shared" si="27"/>
        <v>-3.5071513297432189E-2</v>
      </c>
      <c r="Q36" s="18">
        <f t="shared" si="27"/>
        <v>-0.21008215904839034</v>
      </c>
      <c r="R36" s="41">
        <f t="shared" si="12"/>
        <v>-0.15757575757575759</v>
      </c>
    </row>
    <row r="37" spans="1:18" x14ac:dyDescent="0.2">
      <c r="A37" s="9" t="str">
        <f t="shared" ref="A37:D37" si="28">A16</f>
        <v>MMSI_END</v>
      </c>
      <c r="B37" s="9" t="str">
        <f t="shared" si="28"/>
        <v>Endoscopy</v>
      </c>
      <c r="C37" s="9" t="str">
        <f t="shared" si="28"/>
        <v>2019Q4</v>
      </c>
      <c r="D37" s="9">
        <f t="shared" si="28"/>
        <v>20200220</v>
      </c>
      <c r="E37" s="18">
        <f t="shared" si="7"/>
        <v>-0.14845403284133818</v>
      </c>
      <c r="F37" s="18">
        <f t="shared" ref="F37:J37" si="29">$S16/F16-1</f>
        <v>-0.14445460347657546</v>
      </c>
      <c r="G37" s="18">
        <f t="shared" si="29"/>
        <v>-0.17857387990100071</v>
      </c>
      <c r="H37" s="18">
        <f t="shared" si="29"/>
        <v>-0.11080079829065703</v>
      </c>
      <c r="I37" s="18">
        <f t="shared" si="29"/>
        <v>-0.12501378925799045</v>
      </c>
      <c r="J37" s="18">
        <f t="shared" si="29"/>
        <v>-0.14208118159604932</v>
      </c>
      <c r="K37" s="18">
        <f t="shared" ref="K37:Q37" si="30">$S16/K16-1</f>
        <v>-0.18387375040265386</v>
      </c>
      <c r="L37" s="18">
        <f t="shared" si="30"/>
        <v>-0.15709523541851844</v>
      </c>
      <c r="M37" s="18">
        <f t="shared" si="30"/>
        <v>-0.27256777977099089</v>
      </c>
      <c r="N37" s="18">
        <f t="shared" si="30"/>
        <v>-0.15934126579192998</v>
      </c>
      <c r="O37" s="18">
        <f t="shared" si="30"/>
        <v>-0.12413544578600821</v>
      </c>
      <c r="P37" s="18">
        <f t="shared" si="30"/>
        <v>-0.18058155384788177</v>
      </c>
      <c r="Q37" s="18">
        <f t="shared" si="30"/>
        <v>-0.18234106131823424</v>
      </c>
      <c r="R37" s="41">
        <f t="shared" si="12"/>
        <v>-5.3720930232557862E-2</v>
      </c>
    </row>
    <row r="38" spans="1:18" x14ac:dyDescent="0.2">
      <c r="A38" s="9" t="str">
        <f t="shared" ref="A38:D38" si="31">A17</f>
        <v>MMSI_END</v>
      </c>
      <c r="B38" s="9" t="str">
        <f t="shared" si="31"/>
        <v>Endoscopy</v>
      </c>
      <c r="C38" s="9" t="str">
        <f t="shared" si="31"/>
        <v>2020Q1</v>
      </c>
      <c r="D38" s="9">
        <f t="shared" si="31"/>
        <v>20200416</v>
      </c>
      <c r="E38" s="18">
        <f t="shared" si="7"/>
        <v>-0.12329434010024853</v>
      </c>
      <c r="F38" s="18">
        <f t="shared" ref="F38:J38" si="32">$S17/F17-1</f>
        <v>-0.12033560508385188</v>
      </c>
      <c r="G38" s="18">
        <f t="shared" ref="G38:G43" si="33">$S17/G17-1</f>
        <v>-5.2214501193174057E-2</v>
      </c>
      <c r="H38" s="18">
        <f t="shared" si="32"/>
        <v>-8.6003368206642894E-2</v>
      </c>
      <c r="I38" s="18">
        <f t="shared" si="32"/>
        <v>-0.16721229756434319</v>
      </c>
      <c r="J38" s="18">
        <f t="shared" si="32"/>
        <v>-0.11149085034898309</v>
      </c>
      <c r="K38" s="18">
        <f t="shared" ref="K38:Q38" si="34">$S17/K17-1</f>
        <v>-2.1714232296811242E-2</v>
      </c>
      <c r="L38" s="18">
        <f t="shared" si="34"/>
        <v>-2.2462726319580573E-2</v>
      </c>
      <c r="M38" s="18">
        <f t="shared" si="34"/>
        <v>0.10578651246752635</v>
      </c>
      <c r="N38" s="18">
        <f t="shared" si="34"/>
        <v>2.7933870557030449E-2</v>
      </c>
      <c r="O38" s="18">
        <f t="shared" si="34"/>
        <v>-4.2213912958553923E-2</v>
      </c>
      <c r="P38" s="18">
        <f t="shared" si="34"/>
        <v>7.318348395715546E-3</v>
      </c>
      <c r="Q38" s="18">
        <f t="shared" si="34"/>
        <v>6.8561350156777223E-3</v>
      </c>
      <c r="R38" s="41">
        <f t="shared" si="12"/>
        <v>-2.8461538461538427E-2</v>
      </c>
    </row>
    <row r="39" spans="1:18" x14ac:dyDescent="0.2">
      <c r="A39" s="9" t="str">
        <f t="shared" ref="A39:D39" si="35">A18</f>
        <v>MMSI_END</v>
      </c>
      <c r="B39" s="9" t="str">
        <f t="shared" si="35"/>
        <v>Endoscopy</v>
      </c>
      <c r="C39" s="9" t="str">
        <f t="shared" si="35"/>
        <v>2020Q2</v>
      </c>
      <c r="D39" s="9">
        <f t="shared" si="35"/>
        <v>20200723</v>
      </c>
      <c r="E39" s="18">
        <f t="shared" si="7"/>
        <v>-0.23258073244124344</v>
      </c>
      <c r="F39" s="18">
        <f t="shared" ref="F39:J39" si="36">$S18/F18-1</f>
        <v>-0.23168984687341843</v>
      </c>
      <c r="G39" s="18">
        <f t="shared" si="33"/>
        <v>-0.11705439670625006</v>
      </c>
      <c r="H39" s="18">
        <f t="shared" si="36"/>
        <v>-0.22143932139371425</v>
      </c>
      <c r="I39" s="18">
        <f t="shared" si="36"/>
        <v>-0.29718057488944127</v>
      </c>
      <c r="J39" s="18">
        <f t="shared" si="36"/>
        <v>-0.22413991924465659</v>
      </c>
      <c r="K39" s="18">
        <f t="shared" ref="K39:Q39" si="37">$S18/K18-1</f>
        <v>-0.12465573947987463</v>
      </c>
      <c r="L39" s="18">
        <f t="shared" si="37"/>
        <v>-0.1265871876059973</v>
      </c>
      <c r="M39" s="18">
        <f t="shared" si="37"/>
        <v>-6.8411993636432911E-2</v>
      </c>
      <c r="N39" s="18">
        <f t="shared" si="37"/>
        <v>-0.14817992591650131</v>
      </c>
      <c r="O39" s="18">
        <f t="shared" si="37"/>
        <v>-0.15606411687514055</v>
      </c>
      <c r="P39" s="18">
        <f t="shared" si="37"/>
        <v>-0.12678436563080875</v>
      </c>
      <c r="Q39" s="18">
        <f t="shared" si="37"/>
        <v>-0.12598248874141738</v>
      </c>
      <c r="R39" s="41">
        <f t="shared" ref="R39" si="38">$S18/R18-1</f>
        <v>0.45999999999999996</v>
      </c>
    </row>
    <row r="40" spans="1:18" x14ac:dyDescent="0.2">
      <c r="A40" s="9" t="str">
        <f t="shared" ref="A40:D40" si="39">A19</f>
        <v>MMSI_END</v>
      </c>
      <c r="B40" s="9" t="str">
        <f t="shared" si="39"/>
        <v>Endoscopy</v>
      </c>
      <c r="C40" s="9" t="str">
        <f t="shared" si="39"/>
        <v>2020Q3</v>
      </c>
      <c r="D40" s="9">
        <f t="shared" si="39"/>
        <v>20201022</v>
      </c>
      <c r="E40" s="18">
        <f t="shared" si="7"/>
        <v>-8.5143205463189986E-2</v>
      </c>
      <c r="F40" s="18">
        <f t="shared" ref="F40:I40" si="40">$S19/F19-1</f>
        <v>-9.1506074920713276E-2</v>
      </c>
      <c r="G40" s="18">
        <f t="shared" si="33"/>
        <v>-4.3323821870753121E-2</v>
      </c>
      <c r="H40" s="18">
        <f t="shared" si="40"/>
        <v>-4.2262474337030342E-3</v>
      </c>
      <c r="I40" s="18">
        <f t="shared" si="40"/>
        <v>-0.15936667944268124</v>
      </c>
      <c r="J40" s="18">
        <f>$S19/J19-1</f>
        <v>-7.9681089321277376E-2</v>
      </c>
      <c r="K40" s="18">
        <f t="shared" ref="K40:Q40" si="41">$S19/K19-1</f>
        <v>0.19212122135930754</v>
      </c>
      <c r="L40" s="18">
        <f t="shared" si="41"/>
        <v>0.18245726856821776</v>
      </c>
      <c r="M40" s="18">
        <f t="shared" si="41"/>
        <v>8.3505229042935003E-2</v>
      </c>
      <c r="N40" s="18">
        <f t="shared" si="41"/>
        <v>0.27899312144667765</v>
      </c>
      <c r="O40" s="18">
        <f t="shared" si="41"/>
        <v>0.19608720323158524</v>
      </c>
      <c r="P40" s="18">
        <f t="shared" si="41"/>
        <v>0.18619185792203696</v>
      </c>
      <c r="Q40" s="18">
        <f t="shared" si="41"/>
        <v>0.18379940002144424</v>
      </c>
      <c r="R40" s="41">
        <f>$S19/R19-1</f>
        <v>5.8656716417910371E-2</v>
      </c>
    </row>
    <row r="41" spans="1:18" x14ac:dyDescent="0.2">
      <c r="A41" s="9" t="str">
        <f t="shared" ref="A41:D41" si="42">A20</f>
        <v>MMSI_END</v>
      </c>
      <c r="B41" s="9" t="str">
        <f t="shared" si="42"/>
        <v>Endoscopy</v>
      </c>
      <c r="C41" s="9" t="str">
        <f t="shared" si="42"/>
        <v>2020Q4</v>
      </c>
      <c r="D41" s="9">
        <f t="shared" si="42"/>
        <v>20210218</v>
      </c>
      <c r="E41" s="18">
        <f t="shared" ref="E41:I41" si="43">$S20/E20-1</f>
        <v>3.4063303135045242E-2</v>
      </c>
      <c r="F41" s="18">
        <f t="shared" si="43"/>
        <v>3.3819500939075153E-2</v>
      </c>
      <c r="G41" s="18">
        <f t="shared" si="33"/>
        <v>2.3812807620990029E-2</v>
      </c>
      <c r="H41" s="18">
        <f t="shared" si="43"/>
        <v>-1.9664471527916061E-2</v>
      </c>
      <c r="I41" s="18">
        <f t="shared" si="43"/>
        <v>-0.2010996104531696</v>
      </c>
      <c r="J41" s="18">
        <f>$S20/J20-1</f>
        <v>-3.528281467324712E-2</v>
      </c>
      <c r="K41" s="18">
        <f t="shared" ref="K41:Q41" si="44">$S20/K20-1</f>
        <v>0.13030073046414792</v>
      </c>
      <c r="L41" s="18">
        <f t="shared" si="44"/>
        <v>0.13794872194533481</v>
      </c>
      <c r="M41" s="18">
        <f t="shared" si="44"/>
        <v>7.0176963769524425E-2</v>
      </c>
      <c r="N41" s="18">
        <f t="shared" si="44"/>
        <v>-1.5503746764187976E-2</v>
      </c>
      <c r="O41" s="18">
        <f t="shared" si="44"/>
        <v>-4.9644631006085405E-2</v>
      </c>
      <c r="P41" s="18">
        <f t="shared" si="44"/>
        <v>4.8242271383174273E-2</v>
      </c>
      <c r="Q41" s="18">
        <f t="shared" si="44"/>
        <v>4.8972465353506411E-2</v>
      </c>
      <c r="R41" s="41">
        <f>$S20/R20-1</f>
        <v>3.5070422535211421E-2</v>
      </c>
    </row>
    <row r="42" spans="1:18" x14ac:dyDescent="0.2">
      <c r="A42" s="9" t="str">
        <f t="shared" ref="A42:D42" si="45">A21</f>
        <v>MMSI_END</v>
      </c>
      <c r="B42" s="9" t="str">
        <f t="shared" si="45"/>
        <v>Endoscopy</v>
      </c>
      <c r="C42" s="9" t="str">
        <f t="shared" si="45"/>
        <v>2021Q1</v>
      </c>
      <c r="D42" s="9">
        <f t="shared" si="45"/>
        <v>20210422</v>
      </c>
      <c r="E42" s="18">
        <f t="shared" ref="E42:J42" si="46">$S21/E21-1</f>
        <v>0.11456432660359006</v>
      </c>
      <c r="F42" s="18">
        <f t="shared" si="46"/>
        <v>0.12509428479805362</v>
      </c>
      <c r="G42" s="18">
        <f t="shared" si="33"/>
        <v>8.8125180553355165E-2</v>
      </c>
      <c r="H42" s="18">
        <f t="shared" si="46"/>
        <v>0.12755867778845187</v>
      </c>
      <c r="I42" s="18">
        <f t="shared" si="46"/>
        <v>-0.11687064240717926</v>
      </c>
      <c r="J42" s="18">
        <f t="shared" si="46"/>
        <v>5.836981024546728E-2</v>
      </c>
      <c r="K42" s="18">
        <f t="shared" ref="K42:Q42" si="47">$S21/K21-1</f>
        <v>7.7849221826636672E-2</v>
      </c>
      <c r="L42" s="18">
        <f t="shared" si="47"/>
        <v>8.8288897410107481E-2</v>
      </c>
      <c r="M42" s="18">
        <f t="shared" si="47"/>
        <v>6.2816534872039975E-2</v>
      </c>
      <c r="N42" s="18">
        <f t="shared" si="47"/>
        <v>0.15017628662895133</v>
      </c>
      <c r="O42" s="18">
        <f t="shared" si="47"/>
        <v>0.10543112651849929</v>
      </c>
      <c r="P42" s="18">
        <f t="shared" si="47"/>
        <v>9.7077803052709077E-2</v>
      </c>
      <c r="Q42" s="18">
        <f t="shared" si="47"/>
        <v>9.6268424291134469E-2</v>
      </c>
      <c r="R42" s="41">
        <f>$S21/R21-1</f>
        <v>2.3698630136986365E-2</v>
      </c>
    </row>
    <row r="43" spans="1:18" x14ac:dyDescent="0.2">
      <c r="A43" s="9" t="str">
        <f t="shared" ref="A43:D43" si="48">A22</f>
        <v>MMSI_END</v>
      </c>
      <c r="B43" s="9" t="str">
        <f t="shared" si="48"/>
        <v>Endoscopy</v>
      </c>
      <c r="C43" s="9" t="str">
        <f t="shared" si="48"/>
        <v>2021Q2</v>
      </c>
      <c r="D43" s="9">
        <f t="shared" si="48"/>
        <v>20210722</v>
      </c>
      <c r="E43" s="18">
        <f>$S22/E22-1</f>
        <v>-3.496196410629282E-2</v>
      </c>
      <c r="F43" s="18">
        <f t="shared" ref="F43:J43" si="49">$S22/F22-1</f>
        <v>-5.5931576543496453E-3</v>
      </c>
      <c r="G43" s="18">
        <f t="shared" si="33"/>
        <v>-6.4050936860596819E-3</v>
      </c>
      <c r="H43" s="18">
        <f t="shared" si="49"/>
        <v>1.1799520557712162E-2</v>
      </c>
      <c r="I43" s="18">
        <f t="shared" si="49"/>
        <v>-0.15463967909865461</v>
      </c>
      <c r="J43" s="18">
        <f t="shared" si="49"/>
        <v>-4.206580378833058E-2</v>
      </c>
      <c r="K43" s="18">
        <f t="shared" ref="K43:Q43" si="50">$S22/K22-1</f>
        <v>-0.13415671679133501</v>
      </c>
      <c r="L43" s="18">
        <f t="shared" si="50"/>
        <v>-0.11615688055500228</v>
      </c>
      <c r="M43" s="18">
        <f t="shared" si="50"/>
        <v>-8.6874447838200641E-2</v>
      </c>
      <c r="N43" s="18">
        <f t="shared" si="50"/>
        <v>-0.10266353273763562</v>
      </c>
      <c r="O43" s="18">
        <f t="shared" si="50"/>
        <v>-4.2767275673434635E-2</v>
      </c>
      <c r="P43" s="18">
        <f t="shared" si="50"/>
        <v>-9.4896522048851351E-2</v>
      </c>
      <c r="Q43" s="18">
        <f t="shared" si="50"/>
        <v>-9.7125089622883798E-2</v>
      </c>
      <c r="R43" s="41">
        <f>$S22/R22-1</f>
        <v>-3.7564102564102586E-2</v>
      </c>
    </row>
    <row r="44" spans="1:18" x14ac:dyDescent="0.2">
      <c r="A44" s="172" t="s">
        <v>78</v>
      </c>
      <c r="B44" s="172"/>
      <c r="C44" s="168"/>
      <c r="D44" s="169"/>
      <c r="E44" s="74" cm="1">
        <f t="array" ref="E44">SUM(ABS(E28:E43))/COUNT(E28:E43)</f>
        <v>9.3495586444808099E-2</v>
      </c>
      <c r="F44" s="108" cm="1">
        <f t="array" ref="F44">SUM(ABS(F28:F43))/COUNT(F28:F43)</f>
        <v>8.6809398655465747E-2</v>
      </c>
      <c r="G44" s="74" cm="1">
        <f t="array" ref="G44">SUM(ABS(G28:G43))/COUNT(G28:G43)</f>
        <v>9.4825917924968722E-2</v>
      </c>
      <c r="H44" s="74" cm="1">
        <f t="array" ref="H44">SUM(ABS(H28:H43))/COUNT(H28:H43)</f>
        <v>0.21765945158823169</v>
      </c>
      <c r="I44" s="74" cm="1">
        <f t="array" ref="I44">SUM(ABS(I28:I43))/COUNT(I28:I43)</f>
        <v>0.13137239638957249</v>
      </c>
      <c r="J44" s="108" cm="1">
        <f t="array" ref="J44">SUM(ABS(J28:J43))/COUNT(J28:J43)</f>
        <v>8.3978302281623798E-2</v>
      </c>
      <c r="K44" s="74" cm="1">
        <f t="array" ref="K44">SUM(ABS(K28:K43))/COUNT(K28:K43)</f>
        <v>0.11533740957199641</v>
      </c>
      <c r="L44" s="74" cm="1">
        <f t="array" ref="L44">SUM(ABS(L28:L43))/COUNT(L28:L43)</f>
        <v>0.10939855783943694</v>
      </c>
      <c r="M44" s="74" cm="1">
        <f t="array" ref="M44">SUM(ABS(M28:M43))/COUNT(M28:M43)</f>
        <v>9.5098993351394739E-2</v>
      </c>
      <c r="N44" s="74" cm="1">
        <f t="array" ref="N44">SUM(ABS(N28:N43))/COUNT(N28:N43)</f>
        <v>0.32454976916586542</v>
      </c>
      <c r="O44" s="74" cm="1">
        <f t="array" ref="O44">SUM(ABS(O28:O43))/COUNT(O28:O43)</f>
        <v>9.7937018721491673E-2</v>
      </c>
      <c r="P44" s="74" cm="1">
        <f t="array" ref="P44">SUM(ABS(P28:P43))/COUNT(P28:P43)</f>
        <v>0.10414684641966128</v>
      </c>
      <c r="Q44" s="74" cm="1">
        <f t="array" ref="Q44">SUM(ABS(Q28:Q43))/COUNT(Q28:Q43)</f>
        <v>0.11554001692191902</v>
      </c>
      <c r="R44" s="108" cm="1">
        <f t="array" ref="R44">SUM(ABS(R28:R43))/COUNT(R28:R43)</f>
        <v>9.175846536489235E-2</v>
      </c>
    </row>
    <row r="45" spans="1:18" x14ac:dyDescent="0.2">
      <c r="A45" s="173" t="s">
        <v>79</v>
      </c>
      <c r="B45" s="173"/>
      <c r="C45" s="170"/>
      <c r="D45" s="171"/>
      <c r="E45" s="75" cm="1">
        <f t="array" ref="E45">SQRT(SUM(POWER(E28:E43,2))/COUNT(E28:E43))</f>
        <v>0.10939105568053374</v>
      </c>
      <c r="F45" s="109" cm="1">
        <f t="array" ref="F45">SQRT(SUM(POWER(F28:F43,2))/COUNT(F28:F43))</f>
        <v>0.10723847129095236</v>
      </c>
      <c r="G45" s="75" cm="1">
        <f t="array" ref="G45">SQRT(SUM(POWER(G28:G43,2))/COUNT(G28:G43))</f>
        <v>0.12039086748860658</v>
      </c>
      <c r="H45" s="75" cm="1">
        <f t="array" ref="H45">SQRT(SUM(POWER(H28:H43,2))/COUNT(H28:H43))</f>
        <v>0.55243308582853778</v>
      </c>
      <c r="I45" s="75" cm="1">
        <f t="array" ref="I45">SQRT(SUM(POWER(I28:I43,2))/COUNT(I28:I43))</f>
        <v>0.15404119874681302</v>
      </c>
      <c r="J45" s="109" cm="1">
        <f t="array" ref="J45">SQRT(SUM(POWER(J28:J43,2))/COUNT(J28:J43))</f>
        <v>9.9588230691391749E-2</v>
      </c>
      <c r="K45" s="75" cm="1">
        <f t="array" ref="K45">SQRT(SUM(POWER(K28:K43,2))/COUNT(K28:K43))</f>
        <v>0.13919649000196768</v>
      </c>
      <c r="L45" s="75" cm="1">
        <f t="array" ref="L45">SQRT(SUM(POWER(L28:L43,2))/COUNT(L28:L43))</f>
        <v>0.13286883487134202</v>
      </c>
      <c r="M45" s="75" cm="1">
        <f t="array" ref="M45">SQRT(SUM(POWER(M28:M43,2))/COUNT(M28:M43))</f>
        <v>0.11598627683024866</v>
      </c>
      <c r="N45" s="75" cm="1">
        <f t="array" ref="N45">SQRT(SUM(POWER(N28:N43,2))/COUNT(N28:N43))</f>
        <v>0.66807624928892062</v>
      </c>
      <c r="O45" s="75" cm="1">
        <f t="array" ref="O45">SQRT(SUM(POWER(O28:O43,2))/COUNT(O28:O43))</f>
        <v>0.12539804471280303</v>
      </c>
      <c r="P45" s="75" cm="1">
        <f t="array" ref="P45">SQRT(SUM(POWER(P28:P43,2))/COUNT(P28:P43))</f>
        <v>0.12764115916448038</v>
      </c>
      <c r="Q45" s="75" cm="1">
        <f t="array" ref="Q45">SQRT(SUM(POWER(Q28:Q43,2))/COUNT(Q28:Q43))</f>
        <v>0.13818821958548611</v>
      </c>
      <c r="R45" s="109" cm="1">
        <f t="array" ref="R45">SQRT(SUM(POWER(R28:R43,2))/COUNT(R28:R43))</f>
        <v>0.13809001367811546</v>
      </c>
    </row>
    <row r="46" spans="1:18" x14ac:dyDescent="0.2">
      <c r="I46" s="3"/>
      <c r="J46" s="3"/>
      <c r="R46" s="3"/>
    </row>
    <row r="47" spans="1:18" x14ac:dyDescent="0.2">
      <c r="B47" t="s">
        <v>158</v>
      </c>
      <c r="J47" s="3"/>
    </row>
  </sheetData>
  <mergeCells count="7">
    <mergeCell ref="A24:D24"/>
    <mergeCell ref="A4:B4"/>
    <mergeCell ref="A26:B26"/>
    <mergeCell ref="C44:D44"/>
    <mergeCell ref="C45:D45"/>
    <mergeCell ref="A44:B44"/>
    <mergeCell ref="A45:B4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46E01-FCEE-49F0-80B2-AA1066C7B862}">
  <dimension ref="A1:Q39"/>
  <sheetViews>
    <sheetView zoomScale="85" zoomScaleNormal="85" workbookViewId="0">
      <selection activeCell="C9" sqref="C9:M11"/>
    </sheetView>
  </sheetViews>
  <sheetFormatPr defaultRowHeight="12.75" x14ac:dyDescent="0.2"/>
  <cols>
    <col min="1" max="1" width="9.140625" style="68"/>
    <col min="3" max="3" width="13" bestFit="1" customWidth="1"/>
    <col min="4" max="4" width="8.85546875" customWidth="1"/>
    <col min="5" max="5" width="6.42578125" customWidth="1"/>
    <col min="6" max="6" width="8.5703125" bestFit="1" customWidth="1"/>
    <col min="7" max="7" width="14.5703125" bestFit="1" customWidth="1"/>
    <col min="8" max="8" width="8.28515625" bestFit="1" customWidth="1"/>
    <col min="9" max="9" width="7.5703125" bestFit="1" customWidth="1"/>
    <col min="10" max="10" width="12" bestFit="1" customWidth="1"/>
    <col min="11" max="11" width="12.5703125" bestFit="1" customWidth="1"/>
    <col min="12" max="12" width="7.42578125" bestFit="1" customWidth="1"/>
    <col min="13" max="13" width="7.5703125" bestFit="1" customWidth="1"/>
  </cols>
  <sheetData>
    <row r="1" spans="1:17" x14ac:dyDescent="0.2">
      <c r="A1" s="68" t="s">
        <v>104</v>
      </c>
      <c r="B1" t="s">
        <v>84</v>
      </c>
    </row>
    <row r="2" spans="1:17" x14ac:dyDescent="0.2">
      <c r="A2" s="68" t="s">
        <v>99</v>
      </c>
      <c r="B2" t="s">
        <v>82</v>
      </c>
    </row>
    <row r="3" spans="1:17" x14ac:dyDescent="0.2">
      <c r="A3" s="68" t="s">
        <v>100</v>
      </c>
      <c r="B3" t="s">
        <v>147</v>
      </c>
    </row>
    <row r="4" spans="1:17" x14ac:dyDescent="0.2">
      <c r="A4" s="68" t="s">
        <v>101</v>
      </c>
      <c r="B4" t="s">
        <v>169</v>
      </c>
      <c r="O4" s="6"/>
      <c r="P4" s="6"/>
      <c r="Q4" s="6"/>
    </row>
    <row r="5" spans="1:17" x14ac:dyDescent="0.2">
      <c r="O5" s="6"/>
      <c r="P5" s="6"/>
      <c r="Q5" s="6"/>
    </row>
    <row r="6" spans="1:17" x14ac:dyDescent="0.2">
      <c r="O6" s="6"/>
      <c r="P6" s="6"/>
      <c r="Q6" s="6"/>
    </row>
    <row r="7" spans="1:17" x14ac:dyDescent="0.2">
      <c r="A7" s="68" t="s">
        <v>102</v>
      </c>
      <c r="B7" s="174" t="s">
        <v>83</v>
      </c>
      <c r="C7" s="174"/>
      <c r="D7" s="174" t="s">
        <v>112</v>
      </c>
      <c r="E7" s="174"/>
      <c r="F7" s="174"/>
      <c r="G7" s="174"/>
      <c r="H7" s="174"/>
      <c r="I7" s="174"/>
      <c r="J7" s="174"/>
      <c r="K7" s="174"/>
      <c r="L7" s="174"/>
      <c r="M7" s="174"/>
      <c r="N7" s="174"/>
      <c r="O7" s="6"/>
      <c r="P7" s="6"/>
      <c r="Q7" s="6"/>
    </row>
    <row r="8" spans="1:17" ht="15" x14ac:dyDescent="0.2">
      <c r="A8" s="68" t="s">
        <v>173</v>
      </c>
      <c r="C8" s="72" t="s">
        <v>85</v>
      </c>
      <c r="D8" s="72" t="s">
        <v>86</v>
      </c>
      <c r="E8" s="72" t="s">
        <v>87</v>
      </c>
      <c r="F8" s="72" t="s">
        <v>88</v>
      </c>
      <c r="G8" s="72" t="s">
        <v>89</v>
      </c>
      <c r="H8" s="72" t="s">
        <v>90</v>
      </c>
      <c r="I8" s="72" t="s">
        <v>91</v>
      </c>
      <c r="J8" s="72" t="s">
        <v>92</v>
      </c>
      <c r="K8" s="72" t="s">
        <v>93</v>
      </c>
      <c r="L8" s="72" t="s">
        <v>94</v>
      </c>
      <c r="M8" s="72" t="s">
        <v>95</v>
      </c>
      <c r="O8" s="6"/>
      <c r="P8" s="6"/>
      <c r="Q8" s="6"/>
    </row>
    <row r="9" spans="1:17" ht="15" x14ac:dyDescent="0.2">
      <c r="B9" s="72" t="s">
        <v>96</v>
      </c>
      <c r="C9" s="2">
        <v>6.6659761587508914E-2</v>
      </c>
      <c r="D9" s="2">
        <v>8.6492010353946103E-2</v>
      </c>
      <c r="E9" s="2">
        <v>6.276169303850368E-2</v>
      </c>
      <c r="F9" s="2">
        <v>2.880716274499398E-2</v>
      </c>
      <c r="G9" s="2">
        <v>4.3095548329308321E-2</v>
      </c>
      <c r="H9" s="2">
        <v>5.3091062965625643E-2</v>
      </c>
      <c r="I9" s="2">
        <v>5.2456547288579909E-2</v>
      </c>
      <c r="J9" s="2">
        <v>2.512292514821678E-2</v>
      </c>
      <c r="K9" s="2">
        <v>3.1347575755790127E-2</v>
      </c>
      <c r="L9" s="2">
        <v>7.8701689341360306E-2</v>
      </c>
      <c r="M9" s="2">
        <v>0.11281794366152501</v>
      </c>
      <c r="O9" s="6"/>
      <c r="P9" s="6"/>
      <c r="Q9" s="6"/>
    </row>
    <row r="10" spans="1:17" ht="15" x14ac:dyDescent="0.2">
      <c r="B10" s="72" t="s">
        <v>97</v>
      </c>
      <c r="C10" s="2">
        <v>8.1897584526827605E-2</v>
      </c>
      <c r="D10" s="2">
        <v>0.1014530799978674</v>
      </c>
      <c r="E10" s="2">
        <v>7.0733769769172589E-2</v>
      </c>
      <c r="F10" s="2">
        <v>3.8493167665941061E-2</v>
      </c>
      <c r="G10" s="2">
        <v>5.2081062561675343E-2</v>
      </c>
      <c r="H10" s="2">
        <v>6.0629275071386081E-2</v>
      </c>
      <c r="I10" s="2">
        <v>6.3846391467428806E-2</v>
      </c>
      <c r="J10" s="2">
        <v>2.936271211462968E-2</v>
      </c>
      <c r="K10" s="2">
        <v>3.9006710526951399E-2</v>
      </c>
      <c r="L10" s="2">
        <v>9.6093214665360749E-2</v>
      </c>
      <c r="M10" s="2">
        <v>0.1719147936409304</v>
      </c>
      <c r="O10" s="6"/>
      <c r="P10" s="6"/>
      <c r="Q10" s="6"/>
    </row>
    <row r="11" spans="1:17" ht="15" x14ac:dyDescent="0.2">
      <c r="B11" s="72" t="s">
        <v>98</v>
      </c>
      <c r="C11" s="2">
        <v>4.3026508591980983E-2</v>
      </c>
      <c r="D11" s="2">
        <v>0.1007228253207386</v>
      </c>
      <c r="E11" s="2">
        <v>6.2222355688230202E-2</v>
      </c>
      <c r="F11" s="2">
        <v>1.5740149575571569E-4</v>
      </c>
      <c r="G11" s="2">
        <v>2.5087706173276599E-2</v>
      </c>
      <c r="H11" s="2">
        <v>2.64436138339279E-2</v>
      </c>
      <c r="I11" s="2">
        <v>4.8471491336948613E-2</v>
      </c>
      <c r="J11" s="2">
        <v>9.8571181062019342E-3</v>
      </c>
      <c r="K11" s="2">
        <v>1.823674027219457E-2</v>
      </c>
      <c r="L11" s="2">
        <v>5.9851305295111068E-3</v>
      </c>
      <c r="M11" s="2">
        <v>1.22314615718897E-2</v>
      </c>
      <c r="O11" s="6"/>
      <c r="P11" s="6"/>
      <c r="Q11" s="6"/>
    </row>
    <row r="12" spans="1:17" x14ac:dyDescent="0.2">
      <c r="O12" s="6"/>
      <c r="P12" s="6"/>
      <c r="Q12" s="6"/>
    </row>
    <row r="13" spans="1:17" x14ac:dyDescent="0.2">
      <c r="O13" s="6"/>
      <c r="P13" s="6"/>
      <c r="Q13" s="6"/>
    </row>
    <row r="14" spans="1:17" x14ac:dyDescent="0.2">
      <c r="A14" s="68" t="s">
        <v>103</v>
      </c>
      <c r="B14" t="s">
        <v>139</v>
      </c>
      <c r="O14" s="6"/>
      <c r="P14" s="6"/>
      <c r="Q14" s="6"/>
    </row>
    <row r="15" spans="1:17" x14ac:dyDescent="0.2">
      <c r="B15" t="s">
        <v>140</v>
      </c>
      <c r="H15" s="69" t="s">
        <v>106</v>
      </c>
      <c r="O15" s="6"/>
      <c r="P15" s="6"/>
      <c r="Q15" s="6"/>
    </row>
    <row r="16" spans="1:17" x14ac:dyDescent="0.2">
      <c r="H16" s="69"/>
      <c r="O16" s="6"/>
      <c r="P16" s="6"/>
      <c r="Q16" s="6"/>
    </row>
    <row r="17" spans="1:17" x14ac:dyDescent="0.2">
      <c r="O17" s="6"/>
      <c r="P17" s="6"/>
      <c r="Q17" s="6"/>
    </row>
    <row r="18" spans="1:17" x14ac:dyDescent="0.2">
      <c r="O18" s="6"/>
      <c r="P18" s="6"/>
      <c r="Q18" s="6"/>
    </row>
    <row r="19" spans="1:17" x14ac:dyDescent="0.2">
      <c r="A19" s="68" t="s">
        <v>105</v>
      </c>
      <c r="B19" s="175" t="s">
        <v>108</v>
      </c>
      <c r="C19" s="175"/>
      <c r="D19" s="175"/>
      <c r="E19" s="175"/>
      <c r="F19" s="67" t="e">
        <f>#REF!+#REF!*'2. Past Proj &amp; Candidate Model'!R22</f>
        <v>#REF!</v>
      </c>
      <c r="G19" s="70" t="s">
        <v>109</v>
      </c>
      <c r="H19" s="2" t="e">
        <f>'2. Past Proj &amp; Candidate Model'!S22/'3. Improved Alpha Model'!F19-1</f>
        <v>#REF!</v>
      </c>
      <c r="O19" s="6"/>
      <c r="P19" s="6"/>
      <c r="Q19" s="6"/>
    </row>
    <row r="20" spans="1:17" x14ac:dyDescent="0.2">
      <c r="O20" s="6"/>
      <c r="P20" s="6"/>
      <c r="Q20" s="6"/>
    </row>
    <row r="21" spans="1:17" x14ac:dyDescent="0.2">
      <c r="O21" s="6"/>
      <c r="P21" s="6"/>
      <c r="Q21" s="6"/>
    </row>
    <row r="22" spans="1:17" x14ac:dyDescent="0.2">
      <c r="O22" s="6"/>
      <c r="P22" s="6"/>
      <c r="Q22" s="6"/>
    </row>
    <row r="23" spans="1:17" x14ac:dyDescent="0.2">
      <c r="B23" s="176" t="s">
        <v>159</v>
      </c>
      <c r="C23" s="176"/>
      <c r="D23" s="176"/>
      <c r="E23" s="3">
        <f>C9</f>
        <v>6.6659761587508914E-2</v>
      </c>
      <c r="F23" t="s">
        <v>110</v>
      </c>
      <c r="G23" s="176" t="s">
        <v>111</v>
      </c>
      <c r="H23" s="176"/>
      <c r="I23" s="3" t="e">
        <f>#REF!</f>
        <v>#REF!</v>
      </c>
      <c r="O23" s="6"/>
      <c r="P23" s="6"/>
      <c r="Q23" s="6"/>
    </row>
    <row r="24" spans="1:17" x14ac:dyDescent="0.2">
      <c r="O24" s="6"/>
      <c r="P24" s="6"/>
      <c r="Q24" s="6"/>
    </row>
    <row r="25" spans="1:17" x14ac:dyDescent="0.2">
      <c r="O25" s="6"/>
      <c r="P25" s="6"/>
      <c r="Q25" s="6"/>
    </row>
    <row r="26" spans="1:17" x14ac:dyDescent="0.2">
      <c r="A26" s="68" t="s">
        <v>107</v>
      </c>
      <c r="B26" t="s">
        <v>113</v>
      </c>
      <c r="O26" s="6"/>
      <c r="P26" s="6"/>
      <c r="Q26" s="6"/>
    </row>
    <row r="27" spans="1:17" x14ac:dyDescent="0.2">
      <c r="B27" t="s">
        <v>114</v>
      </c>
      <c r="O27" s="6"/>
      <c r="P27" s="6"/>
      <c r="Q27" s="6"/>
    </row>
    <row r="28" spans="1:17" x14ac:dyDescent="0.2">
      <c r="B28" t="s">
        <v>115</v>
      </c>
      <c r="O28" s="6"/>
      <c r="P28" s="6"/>
      <c r="Q28" s="6"/>
    </row>
    <row r="29" spans="1:17" x14ac:dyDescent="0.2">
      <c r="B29" t="s">
        <v>116</v>
      </c>
      <c r="O29" s="6"/>
      <c r="P29" s="6"/>
      <c r="Q29" s="6"/>
    </row>
    <row r="30" spans="1:17" x14ac:dyDescent="0.2">
      <c r="B30" t="s">
        <v>117</v>
      </c>
      <c r="O30" s="6"/>
      <c r="P30" s="6"/>
      <c r="Q30" s="6"/>
    </row>
    <row r="31" spans="1:17" x14ac:dyDescent="0.2">
      <c r="B31" t="s">
        <v>118</v>
      </c>
      <c r="O31" s="6"/>
      <c r="P31" s="6"/>
      <c r="Q31" s="6"/>
    </row>
    <row r="32" spans="1:17" x14ac:dyDescent="0.2">
      <c r="B32" t="s">
        <v>119</v>
      </c>
      <c r="O32" s="6"/>
      <c r="P32" s="6"/>
      <c r="Q32" s="6"/>
    </row>
    <row r="33" spans="2:17" x14ac:dyDescent="0.2">
      <c r="B33" t="s">
        <v>120</v>
      </c>
      <c r="O33" s="6"/>
      <c r="P33" s="6"/>
      <c r="Q33" s="6"/>
    </row>
    <row r="34" spans="2:17" x14ac:dyDescent="0.2">
      <c r="B34" t="s">
        <v>121</v>
      </c>
      <c r="O34" s="6"/>
      <c r="P34" s="6"/>
      <c r="Q34" s="6"/>
    </row>
    <row r="35" spans="2:17" x14ac:dyDescent="0.2">
      <c r="B35" t="s">
        <v>122</v>
      </c>
      <c r="O35" s="6"/>
      <c r="P35" s="6"/>
      <c r="Q35" s="6"/>
    </row>
    <row r="36" spans="2:17" x14ac:dyDescent="0.2">
      <c r="O36" s="6"/>
      <c r="P36" s="6"/>
      <c r="Q36" s="6"/>
    </row>
    <row r="37" spans="2:17" x14ac:dyDescent="0.2">
      <c r="O37" s="6"/>
      <c r="P37" s="6"/>
      <c r="Q37" s="6"/>
    </row>
    <row r="38" spans="2:17" x14ac:dyDescent="0.2">
      <c r="O38" s="6"/>
      <c r="P38" s="6"/>
    </row>
    <row r="39" spans="2:17" x14ac:dyDescent="0.2">
      <c r="O39" s="6"/>
      <c r="P39" s="6"/>
    </row>
  </sheetData>
  <mergeCells count="5">
    <mergeCell ref="D7:N7"/>
    <mergeCell ref="B7:C7"/>
    <mergeCell ref="B19:E19"/>
    <mergeCell ref="B23:D23"/>
    <mergeCell ref="G23:H23"/>
  </mergeCells>
  <conditionalFormatting sqref="C9:K9">
    <cfRule type="colorScale" priority="8">
      <colorScale>
        <cfvo type="min"/>
        <cfvo type="max"/>
        <color rgb="FF63BE7B"/>
        <color rgb="FFFCFCFF"/>
      </colorScale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0:K10">
    <cfRule type="colorScale" priority="7">
      <colorScale>
        <cfvo type="min"/>
        <cfvo type="max"/>
        <color rgb="FF63BE7B"/>
        <color rgb="FFFCFCFF"/>
      </colorScale>
    </cfRule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7F763-2C58-4893-AC1B-19A7BE0B0DA5}">
  <dimension ref="A1:Y48"/>
  <sheetViews>
    <sheetView tabSelected="1" topLeftCell="A3" zoomScale="85" zoomScaleNormal="85" workbookViewId="0">
      <selection activeCell="K19" sqref="K19"/>
    </sheetView>
  </sheetViews>
  <sheetFormatPr defaultRowHeight="12.75" x14ac:dyDescent="0.2"/>
  <cols>
    <col min="1" max="1" width="9.140625" style="68"/>
    <col min="3" max="3" width="18.5703125" customWidth="1"/>
    <col min="4" max="13" width="14.7109375" customWidth="1"/>
    <col min="18" max="18" width="15.42578125" customWidth="1"/>
    <col min="22" max="22" width="17.85546875" customWidth="1"/>
    <col min="23" max="23" width="16.5703125" customWidth="1"/>
  </cols>
  <sheetData>
    <row r="1" spans="1:25" x14ac:dyDescent="0.2">
      <c r="A1" s="68" t="s">
        <v>124</v>
      </c>
      <c r="B1" t="s">
        <v>84</v>
      </c>
    </row>
    <row r="2" spans="1:25" x14ac:dyDescent="0.2">
      <c r="A2" s="68" t="s">
        <v>99</v>
      </c>
      <c r="B2" s="76" t="s">
        <v>160</v>
      </c>
      <c r="C2" s="77" t="str">
        <f>J5</f>
        <v>RIDGE_CON</v>
      </c>
      <c r="D2" t="s">
        <v>161</v>
      </c>
    </row>
    <row r="4" spans="1:25" x14ac:dyDescent="0.2">
      <c r="A4" s="68" t="s">
        <v>100</v>
      </c>
      <c r="B4" t="s">
        <v>123</v>
      </c>
    </row>
    <row r="5" spans="1:25" ht="15" x14ac:dyDescent="0.2">
      <c r="A5" s="68" t="s">
        <v>174</v>
      </c>
      <c r="C5" s="72" t="s">
        <v>85</v>
      </c>
      <c r="D5" s="72" t="s">
        <v>86</v>
      </c>
      <c r="E5" s="72" t="s">
        <v>87</v>
      </c>
      <c r="F5" s="72" t="s">
        <v>88</v>
      </c>
      <c r="G5" s="72" t="s">
        <v>89</v>
      </c>
      <c r="H5" s="72" t="s">
        <v>90</v>
      </c>
      <c r="I5" s="72" t="s">
        <v>91</v>
      </c>
      <c r="J5" s="72" t="s">
        <v>92</v>
      </c>
      <c r="K5" s="72" t="s">
        <v>93</v>
      </c>
      <c r="L5" s="72" t="s">
        <v>94</v>
      </c>
      <c r="M5" s="72" t="s">
        <v>95</v>
      </c>
    </row>
    <row r="6" spans="1:25" ht="15" x14ac:dyDescent="0.2">
      <c r="B6" s="72" t="s">
        <v>96</v>
      </c>
      <c r="C6" s="2">
        <v>5.9993785428758023E-2</v>
      </c>
      <c r="D6" s="2">
        <v>8.2528570221324288E-2</v>
      </c>
      <c r="E6" s="2">
        <v>5.7557674294521202E-2</v>
      </c>
      <c r="F6" s="2">
        <v>2.7373516241578778E-2</v>
      </c>
      <c r="G6" s="2">
        <v>3.9696845181458787E-2</v>
      </c>
      <c r="H6" s="2">
        <v>4.8781750912939958E-2</v>
      </c>
      <c r="I6" s="2">
        <v>4.7965294032574289E-2</v>
      </c>
      <c r="J6" s="2">
        <v>2.326863895504739E-2</v>
      </c>
      <c r="K6" s="2">
        <v>2.9150762600176221E-2</v>
      </c>
      <c r="L6" s="2">
        <v>7.2972721122802411E-2</v>
      </c>
      <c r="M6" s="2">
        <v>0.1036794091775983</v>
      </c>
    </row>
    <row r="7" spans="1:25" ht="15" x14ac:dyDescent="0.2">
      <c r="B7" s="72" t="s">
        <v>97</v>
      </c>
      <c r="C7" s="2">
        <v>7.7694870591281537E-2</v>
      </c>
      <c r="D7" s="2">
        <v>9.7380789939945853E-2</v>
      </c>
      <c r="E7" s="2">
        <v>6.718954260458046E-2</v>
      </c>
      <c r="F7" s="2">
        <v>3.6803419277103608E-2</v>
      </c>
      <c r="G7" s="2">
        <v>4.9492321401607149E-2</v>
      </c>
      <c r="H7" s="2">
        <v>5.7604808665722609E-2</v>
      </c>
      <c r="I7" s="2">
        <v>6.0616967499977817E-2</v>
      </c>
      <c r="J7" s="2">
        <v>2.793352286496106E-2</v>
      </c>
      <c r="K7" s="2">
        <v>3.7123692123352703E-2</v>
      </c>
      <c r="L7" s="2">
        <v>9.1413143033672747E-2</v>
      </c>
      <c r="M7" s="2">
        <v>0.16323345942107251</v>
      </c>
    </row>
    <row r="8" spans="1:25" ht="15" x14ac:dyDescent="0.2">
      <c r="B8" s="72" t="s">
        <v>98</v>
      </c>
      <c r="C8" s="2">
        <v>3.6160918587360258E-2</v>
      </c>
      <c r="D8" s="2">
        <v>7.3790217174233286E-2</v>
      </c>
      <c r="E8" s="2">
        <v>3.6471930643454553E-2</v>
      </c>
      <c r="F8" s="2">
        <v>-6.6398061198609248E-3</v>
      </c>
      <c r="G8" s="2">
        <v>1.7887813786693348E-2</v>
      </c>
      <c r="H8" s="2">
        <v>1.822077813634837E-2</v>
      </c>
      <c r="I8" s="2">
        <v>2.8007753032736171E-2</v>
      </c>
      <c r="J8" s="2">
        <v>9.30019664540227E-3</v>
      </c>
      <c r="K8" s="2">
        <v>1.6537686078545218E-2</v>
      </c>
      <c r="L8" s="2">
        <v>1.3698568842646201E-2</v>
      </c>
      <c r="M8" s="2">
        <v>1.6832030197074022E-2</v>
      </c>
    </row>
    <row r="10" spans="1:25" ht="15" x14ac:dyDescent="0.2">
      <c r="A10" s="68" t="s">
        <v>101</v>
      </c>
      <c r="B10" s="73" t="s">
        <v>162</v>
      </c>
    </row>
    <row r="12" spans="1:25" x14ac:dyDescent="0.2">
      <c r="A12" s="68" t="s">
        <v>102</v>
      </c>
      <c r="B12" t="s">
        <v>138</v>
      </c>
    </row>
    <row r="13" spans="1:25" ht="15" x14ac:dyDescent="0.2">
      <c r="B13" s="72" t="s">
        <v>125</v>
      </c>
      <c r="C13" s="72" t="s">
        <v>126</v>
      </c>
      <c r="D13" s="72" t="s">
        <v>85</v>
      </c>
      <c r="E13" s="72" t="s">
        <v>86</v>
      </c>
      <c r="F13" s="72" t="s">
        <v>87</v>
      </c>
      <c r="G13" s="72" t="s">
        <v>88</v>
      </c>
      <c r="H13" s="72" t="s">
        <v>89</v>
      </c>
      <c r="I13" s="72" t="s">
        <v>90</v>
      </c>
      <c r="J13" s="72" t="s">
        <v>91</v>
      </c>
      <c r="K13" s="72" t="s">
        <v>92</v>
      </c>
      <c r="L13" s="72" t="s">
        <v>93</v>
      </c>
      <c r="M13" s="72" t="s">
        <v>94</v>
      </c>
      <c r="N13" s="72" t="s">
        <v>95</v>
      </c>
      <c r="O13" s="72" t="s">
        <v>127</v>
      </c>
      <c r="P13" s="72" t="s">
        <v>128</v>
      </c>
      <c r="Q13" s="72" t="s">
        <v>129</v>
      </c>
      <c r="R13" s="72" t="s">
        <v>130</v>
      </c>
      <c r="S13" s="72" t="s">
        <v>131</v>
      </c>
      <c r="T13" s="72" t="s">
        <v>132</v>
      </c>
      <c r="U13" s="72" t="s">
        <v>133</v>
      </c>
      <c r="V13" s="72" t="s">
        <v>134</v>
      </c>
      <c r="W13" s="72" t="s">
        <v>135</v>
      </c>
      <c r="X13" s="72" t="s">
        <v>136</v>
      </c>
      <c r="Y13" s="72" t="s">
        <v>137</v>
      </c>
    </row>
    <row r="14" spans="1:25" x14ac:dyDescent="0.2">
      <c r="B14" t="s">
        <v>170</v>
      </c>
      <c r="C14">
        <v>6.7119999999999997</v>
      </c>
      <c r="D14">
        <v>6.4</v>
      </c>
      <c r="E14">
        <v>7.0026450000000002</v>
      </c>
    </row>
    <row r="15" spans="1:25" x14ac:dyDescent="0.2">
      <c r="B15" t="s">
        <v>168</v>
      </c>
      <c r="C15">
        <v>6.3890000000000002</v>
      </c>
      <c r="D15">
        <v>7</v>
      </c>
      <c r="E15">
        <v>6.5528639999999996</v>
      </c>
    </row>
    <row r="16" spans="1:25" x14ac:dyDescent="0.2">
      <c r="B16" t="s">
        <v>166</v>
      </c>
      <c r="C16">
        <v>7.1609999999999996</v>
      </c>
      <c r="D16">
        <v>7.3</v>
      </c>
      <c r="E16">
        <v>7.1190230000000003</v>
      </c>
    </row>
    <row r="17" spans="2:25" x14ac:dyDescent="0.2">
      <c r="B17" t="s">
        <v>42</v>
      </c>
      <c r="C17">
        <v>6.9180000000000001</v>
      </c>
      <c r="D17">
        <v>7.1</v>
      </c>
      <c r="E17">
        <v>8.0089459999999999</v>
      </c>
    </row>
    <row r="18" spans="2:25" x14ac:dyDescent="0.2">
      <c r="B18" t="s">
        <v>43</v>
      </c>
      <c r="C18">
        <v>8.1210000000000004</v>
      </c>
      <c r="D18">
        <v>7.6</v>
      </c>
      <c r="E18">
        <v>7.2145200000000003</v>
      </c>
    </row>
    <row r="19" spans="2:25" x14ac:dyDescent="0.2">
      <c r="B19" t="s">
        <v>44</v>
      </c>
      <c r="C19">
        <v>9.2289999999999992</v>
      </c>
      <c r="D19">
        <v>8.1999999999999993</v>
      </c>
      <c r="E19">
        <v>8.1725329999999996</v>
      </c>
    </row>
    <row r="20" spans="2:25" x14ac:dyDescent="0.2">
      <c r="B20" t="s">
        <v>45</v>
      </c>
      <c r="C20">
        <v>7.9210000000000003</v>
      </c>
      <c r="D20">
        <v>9.1</v>
      </c>
      <c r="E20">
        <v>8.0108300000000003</v>
      </c>
    </row>
    <row r="21" spans="2:25" x14ac:dyDescent="0.2">
      <c r="B21" t="s">
        <v>46</v>
      </c>
      <c r="C21">
        <v>7.5679999999999996</v>
      </c>
      <c r="D21">
        <v>8.1999999999999993</v>
      </c>
      <c r="E21">
        <v>8.3467529999999996</v>
      </c>
      <c r="F21">
        <v>8.460747443565463</v>
      </c>
      <c r="G21">
        <v>8.0157396969697068</v>
      </c>
      <c r="H21">
        <v>8.3723550862217646</v>
      </c>
      <c r="I21">
        <v>8.3034360594936025</v>
      </c>
      <c r="J21">
        <v>8.4333744187844992</v>
      </c>
      <c r="K21">
        <v>7.9986643030675424</v>
      </c>
      <c r="L21">
        <v>8.0745777923891424</v>
      </c>
      <c r="M21">
        <v>8.3730132510593016</v>
      </c>
      <c r="N21">
        <v>11.0704874756052</v>
      </c>
      <c r="O21" s="2">
        <v>8.3509513742071828E-2</v>
      </c>
      <c r="P21" s="2">
        <v>0.1029007663847781</v>
      </c>
      <c r="Q21" s="2">
        <v>0.1179634571307431</v>
      </c>
      <c r="R21" s="2">
        <v>5.9162222115447527E-2</v>
      </c>
      <c r="S21" s="2">
        <v>0.10628370589611059</v>
      </c>
      <c r="T21" s="2">
        <v>9.7177069171987762E-2</v>
      </c>
      <c r="U21" s="2">
        <v>0.1143465141100026</v>
      </c>
      <c r="V21" s="2">
        <v>5.6905959707656217E-2</v>
      </c>
      <c r="W21" s="2">
        <v>6.6936811890742964E-2</v>
      </c>
      <c r="X21" s="2">
        <v>0.1063706727086815</v>
      </c>
      <c r="Y21" s="2">
        <v>0.46280225629032851</v>
      </c>
    </row>
    <row r="22" spans="2:25" x14ac:dyDescent="0.2">
      <c r="B22" t="s">
        <v>47</v>
      </c>
      <c r="C22">
        <v>8.5489999999999995</v>
      </c>
      <c r="D22">
        <v>9.3000000000000007</v>
      </c>
      <c r="E22">
        <v>9.4454820000000002</v>
      </c>
      <c r="F22">
        <v>9.0809389187786795</v>
      </c>
      <c r="G22">
        <v>8.7292870075850288</v>
      </c>
      <c r="H22">
        <v>9.0848952011472051</v>
      </c>
      <c r="I22">
        <v>8.7750664546662485</v>
      </c>
      <c r="J22">
        <v>9.0311080900621654</v>
      </c>
      <c r="K22">
        <v>8.6104449980812454</v>
      </c>
      <c r="L22">
        <v>9.0350654053619834</v>
      </c>
      <c r="M22">
        <v>6.8491731632489703</v>
      </c>
      <c r="N22">
        <v>7.5834672027591381</v>
      </c>
      <c r="O22" s="2">
        <v>8.7846531758100532E-2</v>
      </c>
      <c r="P22" s="2">
        <v>0.1048639606971578</v>
      </c>
      <c r="Q22" s="2">
        <v>6.2222355688230202E-2</v>
      </c>
      <c r="R22" s="2">
        <v>2.108866622821726E-2</v>
      </c>
      <c r="S22" s="2">
        <v>6.2685132898257834E-2</v>
      </c>
      <c r="T22" s="2">
        <v>2.64436138339279E-2</v>
      </c>
      <c r="U22" s="2">
        <v>5.63935068501773E-2</v>
      </c>
      <c r="V22" s="2">
        <v>7.1873901136092488E-3</v>
      </c>
      <c r="W22" s="2">
        <v>5.6856404885013978E-2</v>
      </c>
      <c r="X22" s="2">
        <v>-0.19883341171494079</v>
      </c>
      <c r="Y22" s="2">
        <v>-0.11294102201905031</v>
      </c>
    </row>
    <row r="23" spans="2:25" x14ac:dyDescent="0.2">
      <c r="B23" t="s">
        <v>48</v>
      </c>
      <c r="C23">
        <v>8.34</v>
      </c>
      <c r="D23">
        <v>9.9</v>
      </c>
      <c r="E23">
        <v>8.2167770000000004</v>
      </c>
      <c r="F23">
        <v>7.9314974122755224</v>
      </c>
      <c r="G23">
        <v>9.0711575043630042</v>
      </c>
      <c r="H23">
        <v>8.8458114959006533</v>
      </c>
      <c r="I23">
        <v>7.8978318983514164</v>
      </c>
      <c r="J23">
        <v>7.9249413109707332</v>
      </c>
      <c r="K23">
        <v>8.5407392601842425</v>
      </c>
      <c r="L23">
        <v>8.7820099192427179</v>
      </c>
      <c r="M23">
        <v>8.0673897077428336</v>
      </c>
      <c r="N23">
        <v>7.9727319958496139</v>
      </c>
      <c r="O23" s="2">
        <v>0.18705035971223041</v>
      </c>
      <c r="P23" s="2">
        <v>-1.477494004796154E-2</v>
      </c>
      <c r="Q23" s="2">
        <v>-4.8981125626436313E-2</v>
      </c>
      <c r="R23" s="2">
        <v>8.7668765511151658E-2</v>
      </c>
      <c r="S23" s="2">
        <v>6.0648860419742601E-2</v>
      </c>
      <c r="T23" s="2">
        <v>-5.301775799143682E-2</v>
      </c>
      <c r="U23" s="2">
        <v>-4.9767228900391647E-2</v>
      </c>
      <c r="V23" s="2">
        <v>2.406945565758312E-2</v>
      </c>
      <c r="W23" s="2">
        <v>5.2998791276105177E-2</v>
      </c>
      <c r="X23" s="2">
        <v>-3.2687085402537952E-2</v>
      </c>
      <c r="Y23" s="2">
        <v>-4.4036930953283648E-2</v>
      </c>
    </row>
    <row r="24" spans="2:25" x14ac:dyDescent="0.2">
      <c r="B24" t="s">
        <v>49</v>
      </c>
      <c r="C24">
        <v>8.1379999999999999</v>
      </c>
      <c r="D24">
        <v>8.6</v>
      </c>
      <c r="E24">
        <v>9.5120609999999992</v>
      </c>
      <c r="F24">
        <v>8.9110465782378796</v>
      </c>
      <c r="G24">
        <v>8.0286495822206838</v>
      </c>
      <c r="H24">
        <v>8.4722390891427146</v>
      </c>
      <c r="I24">
        <v>8.7650994087532084</v>
      </c>
      <c r="J24">
        <v>8.8844533060219177</v>
      </c>
      <c r="K24">
        <v>8.3460269597886807</v>
      </c>
      <c r="L24">
        <v>8.2864105923351197</v>
      </c>
      <c r="M24">
        <v>8.4876252053671912</v>
      </c>
      <c r="N24">
        <v>8.600054997846911</v>
      </c>
      <c r="O24" s="2">
        <v>5.6770705333005538E-2</v>
      </c>
      <c r="P24" s="2">
        <v>0.16884504792332261</v>
      </c>
      <c r="Q24" s="2">
        <v>9.4992206713919947E-2</v>
      </c>
      <c r="R24" s="2">
        <v>-1.3437013735477571E-2</v>
      </c>
      <c r="S24" s="2">
        <v>4.1071404416652017E-2</v>
      </c>
      <c r="T24" s="2">
        <v>7.7058172616516263E-2</v>
      </c>
      <c r="U24" s="2">
        <v>9.1724417058481E-2</v>
      </c>
      <c r="V24" s="2">
        <v>2.556241825862382E-2</v>
      </c>
      <c r="W24" s="2">
        <v>1.823674027219457E-2</v>
      </c>
      <c r="X24" s="2">
        <v>4.2962055218381812E-2</v>
      </c>
      <c r="Y24" s="2">
        <v>5.677746348573498E-2</v>
      </c>
    </row>
    <row r="25" spans="2:25" x14ac:dyDescent="0.2">
      <c r="B25" t="s">
        <v>50</v>
      </c>
      <c r="C25">
        <v>7.5780000000000003</v>
      </c>
      <c r="D25">
        <v>7.8</v>
      </c>
      <c r="E25">
        <v>8.614649</v>
      </c>
      <c r="F25">
        <v>8.1116034321121298</v>
      </c>
      <c r="G25">
        <v>7.5791927885348374</v>
      </c>
      <c r="H25">
        <v>7.7681146373810908</v>
      </c>
      <c r="I25">
        <v>8.070701349793314</v>
      </c>
      <c r="J25">
        <v>7.9453169613513968</v>
      </c>
      <c r="K25">
        <v>7.7840268688718304</v>
      </c>
      <c r="L25">
        <v>7.6691683945723437</v>
      </c>
      <c r="M25">
        <v>8.2709987603065187</v>
      </c>
      <c r="N25">
        <v>8.1569632437072954</v>
      </c>
      <c r="O25" s="2">
        <v>2.9295328582739529E-2</v>
      </c>
      <c r="P25" s="2">
        <v>0.13679717603589331</v>
      </c>
      <c r="Q25" s="2">
        <v>7.0414810254965543E-2</v>
      </c>
      <c r="R25" s="2">
        <v>1.5740149575571569E-4</v>
      </c>
      <c r="S25" s="2">
        <v>2.5087706173276599E-2</v>
      </c>
      <c r="T25" s="2">
        <v>6.501733304213686E-2</v>
      </c>
      <c r="U25" s="2">
        <v>4.8471491336948613E-2</v>
      </c>
      <c r="V25" s="2">
        <v>2.7187499191321018E-2</v>
      </c>
      <c r="W25" s="2">
        <v>1.203066700611544E-2</v>
      </c>
      <c r="X25" s="2">
        <v>9.1448767525272867E-2</v>
      </c>
      <c r="Y25" s="2">
        <v>7.6400533611413968E-2</v>
      </c>
    </row>
    <row r="26" spans="2:25" x14ac:dyDescent="0.2">
      <c r="B26" t="s">
        <v>52</v>
      </c>
      <c r="C26">
        <v>7.093</v>
      </c>
      <c r="D26">
        <v>6.7</v>
      </c>
      <c r="E26">
        <v>7.8074269999999997</v>
      </c>
      <c r="F26">
        <v>7.6027234373721821</v>
      </c>
      <c r="G26">
        <v>6.9437620768749557</v>
      </c>
      <c r="H26">
        <v>7.064747680845807</v>
      </c>
      <c r="I26">
        <v>7.6108426897045476</v>
      </c>
      <c r="J26">
        <v>7.6643886460930268</v>
      </c>
      <c r="K26">
        <v>7.1550160508843863</v>
      </c>
      <c r="L26">
        <v>7.4406273024258027</v>
      </c>
      <c r="M26">
        <v>7.7758098405756293</v>
      </c>
      <c r="N26">
        <v>7.8836902735417169</v>
      </c>
      <c r="O26" s="2">
        <v>-5.5406739038488577E-2</v>
      </c>
      <c r="P26" s="2">
        <v>0.1007228253207386</v>
      </c>
      <c r="Q26" s="2">
        <v>7.186288416356712E-2</v>
      </c>
      <c r="R26" s="2">
        <v>-2.1040169621464041E-2</v>
      </c>
      <c r="S26" s="2">
        <v>-3.9831269074006581E-3</v>
      </c>
      <c r="T26" s="2">
        <v>7.3007569392999905E-2</v>
      </c>
      <c r="U26" s="2">
        <v>8.0556696192447097E-2</v>
      </c>
      <c r="V26" s="2">
        <v>8.7432751846026058E-3</v>
      </c>
      <c r="W26" s="2">
        <v>4.9009911522036147E-2</v>
      </c>
      <c r="X26" s="2">
        <v>9.6265309541185617E-2</v>
      </c>
      <c r="Y26" s="2">
        <v>0.1114747319246745</v>
      </c>
    </row>
    <row r="27" spans="2:25" x14ac:dyDescent="0.2">
      <c r="B27" t="s">
        <v>53</v>
      </c>
      <c r="C27">
        <v>7.3490000000000002</v>
      </c>
      <c r="D27">
        <v>7.1</v>
      </c>
      <c r="E27">
        <v>7.1085909999999997</v>
      </c>
      <c r="F27">
        <v>7.1695438437193761</v>
      </c>
      <c r="G27">
        <v>7.1976217739208863</v>
      </c>
      <c r="H27">
        <v>7.1065520428550943</v>
      </c>
      <c r="I27">
        <v>7.2017230131935284</v>
      </c>
      <c r="J27">
        <v>7.3534891776092506</v>
      </c>
      <c r="K27">
        <v>7.1579815064076033</v>
      </c>
      <c r="L27">
        <v>7.3235613698857218</v>
      </c>
      <c r="M27">
        <v>7.1289830558212506</v>
      </c>
      <c r="N27">
        <v>7.2370200655615156</v>
      </c>
      <c r="O27" s="2">
        <v>-3.3882160838209392E-2</v>
      </c>
      <c r="P27" s="2">
        <v>-3.2713158252823622E-2</v>
      </c>
      <c r="Q27" s="2">
        <v>-2.4419125905650318E-2</v>
      </c>
      <c r="R27" s="2">
        <v>-2.0598479531788502E-2</v>
      </c>
      <c r="S27" s="2">
        <v>-3.2990605136060107E-2</v>
      </c>
      <c r="T27" s="2">
        <v>-2.004041186644057E-2</v>
      </c>
      <c r="U27" s="2">
        <v>6.1085557344542352E-4</v>
      </c>
      <c r="V27" s="2">
        <v>-2.599244708020099E-2</v>
      </c>
      <c r="W27" s="2">
        <v>-3.4615090644003481E-3</v>
      </c>
      <c r="X27" s="2">
        <v>-2.9938351364641291E-2</v>
      </c>
      <c r="Y27" s="2">
        <v>-1.523743835058966E-2</v>
      </c>
    </row>
    <row r="28" spans="2:25" x14ac:dyDescent="0.2">
      <c r="B28" t="s">
        <v>54</v>
      </c>
      <c r="C28">
        <v>7.4729999999999999</v>
      </c>
      <c r="D28">
        <v>7.3</v>
      </c>
      <c r="E28">
        <v>6.6421099999999997</v>
      </c>
      <c r="F28">
        <v>6.9396344009670603</v>
      </c>
      <c r="G28">
        <v>7.3260076404494434</v>
      </c>
      <c r="H28">
        <v>7.1410383418651033</v>
      </c>
      <c r="I28">
        <v>6.9868700246106492</v>
      </c>
      <c r="J28">
        <v>7.2772462605039854</v>
      </c>
      <c r="K28">
        <v>7.1695904978457818</v>
      </c>
      <c r="L28">
        <v>7.4150191302734658</v>
      </c>
      <c r="M28">
        <v>6.6971201088386376</v>
      </c>
      <c r="N28">
        <v>6.5503860000774674</v>
      </c>
      <c r="O28" s="2">
        <v>-2.31500066907534E-2</v>
      </c>
      <c r="P28" s="2">
        <v>-0.1111856014987288</v>
      </c>
      <c r="Q28" s="2">
        <v>-7.1372353677631395E-2</v>
      </c>
      <c r="R28" s="2">
        <v>-1.9669792526503031E-2</v>
      </c>
      <c r="S28" s="2">
        <v>-4.4421471716164403E-2</v>
      </c>
      <c r="T28" s="2">
        <v>-6.5051515507741242E-2</v>
      </c>
      <c r="U28" s="2">
        <v>-2.619479987903317E-2</v>
      </c>
      <c r="V28" s="2">
        <v>-4.0600763034152047E-2</v>
      </c>
      <c r="W28" s="2">
        <v>-7.7587140006066813E-3</v>
      </c>
      <c r="X28" s="2">
        <v>-0.10382442006708981</v>
      </c>
      <c r="Y28" s="2">
        <v>-0.1234596547467595</v>
      </c>
    </row>
    <row r="29" spans="2:25" x14ac:dyDescent="0.2">
      <c r="B29" t="s">
        <v>55</v>
      </c>
      <c r="C29">
        <v>7.5069999999999997</v>
      </c>
      <c r="D29">
        <v>7.83</v>
      </c>
      <c r="E29">
        <v>7.5492239999999997</v>
      </c>
      <c r="F29">
        <v>7.4872797251822831</v>
      </c>
      <c r="G29">
        <v>7.6304297482211272</v>
      </c>
      <c r="H29">
        <v>7.5872342259506258</v>
      </c>
      <c r="I29">
        <v>7.4994470326313021</v>
      </c>
      <c r="J29">
        <v>7.5373539216320662</v>
      </c>
      <c r="K29">
        <v>7.5809973856232578</v>
      </c>
      <c r="L29">
        <v>7.618393609559913</v>
      </c>
      <c r="M29">
        <v>7.551930374885039</v>
      </c>
      <c r="N29">
        <v>7.5988215820201752</v>
      </c>
      <c r="O29" s="2">
        <v>4.3026508591980983E-2</v>
      </c>
      <c r="P29" s="2">
        <v>5.6246170241107674E-3</v>
      </c>
      <c r="Q29" s="2">
        <v>-2.6269181853891821E-3</v>
      </c>
      <c r="R29" s="2">
        <v>1.64419539391405E-2</v>
      </c>
      <c r="S29" s="2">
        <v>1.0687921400110101E-2</v>
      </c>
      <c r="T29" s="2">
        <v>-1.006123267443426E-3</v>
      </c>
      <c r="U29" s="2">
        <v>4.0434156962922962E-3</v>
      </c>
      <c r="V29" s="2">
        <v>9.8571181062019342E-3</v>
      </c>
      <c r="W29" s="2">
        <v>1.483863188489587E-2</v>
      </c>
      <c r="X29" s="2">
        <v>5.9851305295111068E-3</v>
      </c>
      <c r="Y29" s="2">
        <v>1.22314615718897E-2</v>
      </c>
    </row>
    <row r="30" spans="2:25" x14ac:dyDescent="0.2">
      <c r="B30" t="s">
        <v>71</v>
      </c>
      <c r="C30">
        <v>7.6139999999999999</v>
      </c>
      <c r="D30">
        <v>7.6139999999999999</v>
      </c>
      <c r="E30">
        <v>7.9707738351371198</v>
      </c>
      <c r="F30">
        <v>7.6956335436283414</v>
      </c>
      <c r="G30">
        <v>7.5038201076296493</v>
      </c>
      <c r="H30">
        <v>7.5446477526979097</v>
      </c>
      <c r="I30">
        <v>7.690124333728785</v>
      </c>
      <c r="J30">
        <v>7.6714401281429794</v>
      </c>
      <c r="K30">
        <v>7.5638993986693954</v>
      </c>
      <c r="L30">
        <v>7.542584911863857</v>
      </c>
      <c r="M30">
        <v>7.7770310224841186</v>
      </c>
      <c r="N30">
        <v>7.777187807432675</v>
      </c>
      <c r="O30" s="2">
        <v>0</v>
      </c>
      <c r="P30" s="2">
        <v>4.6857609027727953E-2</v>
      </c>
      <c r="Q30" s="2">
        <v>1.0721505598678901E-2</v>
      </c>
      <c r="R30" s="2">
        <v>-1.447069771084197E-2</v>
      </c>
      <c r="S30" s="2">
        <v>-9.1085168508130421E-3</v>
      </c>
      <c r="T30" s="2">
        <v>9.9979424387688365E-3</v>
      </c>
      <c r="U30" s="2">
        <v>7.5440147285237291E-3</v>
      </c>
      <c r="V30" s="2">
        <v>-6.5800632165229356E-3</v>
      </c>
      <c r="W30" s="2">
        <v>-9.379444199650977E-3</v>
      </c>
      <c r="X30" s="2">
        <v>2.1412007155781291E-2</v>
      </c>
      <c r="Y30" s="2">
        <v>2.1432598822258338E-2</v>
      </c>
    </row>
    <row r="31" spans="2:25" x14ac:dyDescent="0.2">
      <c r="H31" s="107" t="s">
        <v>148</v>
      </c>
      <c r="I31" s="107"/>
      <c r="J31" s="107"/>
      <c r="K31">
        <f t="shared" ref="K31:K36" si="0">K$30/(1+V31)</f>
        <v>7.4866044451042617</v>
      </c>
      <c r="R31" s="106" t="s">
        <v>141</v>
      </c>
      <c r="S31" s="106"/>
      <c r="T31" s="106"/>
      <c r="U31" s="106"/>
      <c r="V31" s="3">
        <f>AVERAGE(V21:V29)</f>
        <v>1.0324434011693881E-2</v>
      </c>
    </row>
    <row r="32" spans="2:25" x14ac:dyDescent="0.2">
      <c r="H32" s="96" t="s">
        <v>149</v>
      </c>
      <c r="I32" s="96"/>
      <c r="J32" s="96"/>
      <c r="K32">
        <f t="shared" si="0"/>
        <v>7.4900689048506912</v>
      </c>
      <c r="R32" s="96" t="s">
        <v>143</v>
      </c>
      <c r="S32" s="96"/>
      <c r="T32" s="96"/>
      <c r="U32" s="96"/>
      <c r="V32" s="1">
        <f>MEDIAN(V21:V29)</f>
        <v>9.8571181062019342E-3</v>
      </c>
    </row>
    <row r="33" spans="1:22" x14ac:dyDescent="0.2">
      <c r="H33" s="97" t="s">
        <v>150</v>
      </c>
      <c r="I33" s="97"/>
      <c r="J33" s="97"/>
      <c r="K33">
        <f t="shared" si="0"/>
        <v>7.8244262286021753</v>
      </c>
      <c r="R33" s="97" t="s">
        <v>142</v>
      </c>
      <c r="S33" s="97"/>
      <c r="T33" s="97"/>
      <c r="U33" s="97"/>
      <c r="V33" s="1">
        <f>AVERAGE(V27:V28)</f>
        <v>-3.329660505717652E-2</v>
      </c>
    </row>
    <row r="34" spans="1:22" x14ac:dyDescent="0.2">
      <c r="H34" s="98" t="s">
        <v>151</v>
      </c>
      <c r="I34" s="98"/>
      <c r="J34" s="98"/>
      <c r="K34">
        <f t="shared" si="0"/>
        <v>7.8244262286021753</v>
      </c>
      <c r="R34" s="98" t="s">
        <v>144</v>
      </c>
      <c r="S34" s="98"/>
      <c r="T34" s="98"/>
      <c r="U34" s="98"/>
      <c r="V34" s="1">
        <f>MEDIAN(V27:V28)</f>
        <v>-3.329660505717652E-2</v>
      </c>
    </row>
    <row r="35" spans="1:22" x14ac:dyDescent="0.2">
      <c r="H35" s="99" t="s">
        <v>152</v>
      </c>
      <c r="I35" s="99"/>
      <c r="J35" s="99"/>
      <c r="K35">
        <f t="shared" si="0"/>
        <v>7.3953766032966319</v>
      </c>
      <c r="R35" s="99" t="s">
        <v>145</v>
      </c>
      <c r="S35" s="99"/>
      <c r="T35" s="99"/>
      <c r="U35" s="99"/>
      <c r="V35" s="1">
        <f>AVERAGE(V29,V21:V26)</f>
        <v>2.2787588031371136E-2</v>
      </c>
    </row>
    <row r="36" spans="1:22" x14ac:dyDescent="0.2">
      <c r="H36" s="100" t="s">
        <v>153</v>
      </c>
      <c r="I36" s="100"/>
      <c r="J36" s="100"/>
      <c r="K36">
        <f t="shared" si="0"/>
        <v>7.3861195223447105</v>
      </c>
      <c r="R36" s="100" t="s">
        <v>146</v>
      </c>
      <c r="S36" s="100"/>
      <c r="T36" s="100"/>
      <c r="U36" s="100"/>
      <c r="V36" s="1">
        <f>MEDIAN(V29,V21:V26)</f>
        <v>2.406945565758312E-2</v>
      </c>
    </row>
    <row r="38" spans="1:22" x14ac:dyDescent="0.2">
      <c r="A38" s="68" t="s">
        <v>103</v>
      </c>
      <c r="B38" t="s">
        <v>154</v>
      </c>
    </row>
    <row r="39" spans="1:22" x14ac:dyDescent="0.2">
      <c r="B39" t="s">
        <v>155</v>
      </c>
    </row>
    <row r="45" spans="1:22" x14ac:dyDescent="0.2">
      <c r="A45" s="68" t="s">
        <v>105</v>
      </c>
      <c r="B45" s="78" t="s">
        <v>156</v>
      </c>
      <c r="C45" s="79">
        <f>K33</f>
        <v>7.8244262286021753</v>
      </c>
      <c r="D45" t="s">
        <v>167</v>
      </c>
    </row>
    <row r="47" spans="1:22" x14ac:dyDescent="0.2">
      <c r="B47" s="177" t="s">
        <v>164</v>
      </c>
      <c r="C47" s="177"/>
      <c r="D47" s="2">
        <f>C45/D30-1</f>
        <v>2.7636751852137653E-2</v>
      </c>
    </row>
    <row r="48" spans="1:22" x14ac:dyDescent="0.2">
      <c r="B48" s="165" t="s">
        <v>163</v>
      </c>
      <c r="C48" s="165"/>
      <c r="D48" s="2">
        <f>'1. Data &amp; Confidence Interval'!R24</f>
        <v>9.3727469358327431E-2</v>
      </c>
    </row>
  </sheetData>
  <mergeCells count="2">
    <mergeCell ref="B48:C48"/>
    <mergeCell ref="B47:C47"/>
  </mergeCells>
  <conditionalFormatting sqref="P20:W29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6:K6">
    <cfRule type="colorScale" priority="2">
      <colorScale>
        <cfvo type="min"/>
        <cfvo type="max"/>
        <color rgb="FF92D050"/>
        <color rgb="FFFF0000"/>
      </colorScale>
    </cfRule>
    <cfRule type="colorScale" priority="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C7:K7">
    <cfRule type="colorScale" priority="3">
      <colorScale>
        <cfvo type="min"/>
        <cfvo type="max"/>
        <color rgb="FF92D050"/>
        <color rgb="FFC00000"/>
      </colorScale>
    </cfRule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V32:V36 S30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V31:V3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1. Data &amp; Confidence Interval</vt:lpstr>
      <vt:lpstr>2. Past Proj &amp; Candidate Model</vt:lpstr>
      <vt:lpstr>3. Improved Alpha Model</vt:lpstr>
      <vt:lpstr>4.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Redmond Xia</dc:creator>
  <cp:lastModifiedBy>Redmond Xia</cp:lastModifiedBy>
  <dcterms:created xsi:type="dcterms:W3CDTF">2021-10-08T16:56:03Z</dcterms:created>
  <dcterms:modified xsi:type="dcterms:W3CDTF">2021-10-21T20:36:51Z</dcterms:modified>
</cp:coreProperties>
</file>