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NPCE\"/>
    </mc:Choice>
  </mc:AlternateContent>
  <xr:revisionPtr revIDLastSave="0" documentId="13_ncr:1_{37B94A4E-9BED-4233-97EE-7049C07500BC}" xr6:coauthVersionLast="46" xr6:coauthVersionMax="46" xr10:uidLastSave="{00000000-0000-0000-0000-000000000000}"/>
  <bookViews>
    <workbookView xWindow="-120" yWindow="-120" windowWidth="29040" windowHeight="15840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4" i="2" l="1"/>
  <c r="R33" i="2"/>
  <c r="J32" i="2" a="1"/>
  <c r="J32" i="2" s="1"/>
  <c r="J31" i="2" a="1"/>
  <c r="J31" i="2" s="1"/>
  <c r="G32" i="2" a="1"/>
  <c r="G32" i="2" s="1"/>
  <c r="G31" i="2" a="1"/>
  <c r="G31" i="2" s="1"/>
  <c r="A21" i="2"/>
  <c r="B21" i="2"/>
  <c r="C21" i="2"/>
  <c r="D21" i="2"/>
  <c r="E21" i="2"/>
  <c r="A22" i="2"/>
  <c r="B22" i="2"/>
  <c r="C22" i="2"/>
  <c r="D22" i="2"/>
  <c r="E22" i="2"/>
  <c r="H22" i="2"/>
  <c r="I22" i="2"/>
  <c r="J22" i="2"/>
  <c r="K22" i="2"/>
  <c r="Q22" i="2"/>
  <c r="A23" i="2"/>
  <c r="B23" i="2"/>
  <c r="C23" i="2"/>
  <c r="D23" i="2"/>
  <c r="E23" i="2"/>
  <c r="H23" i="2"/>
  <c r="I23" i="2"/>
  <c r="J23" i="2"/>
  <c r="K23" i="2"/>
  <c r="N23" i="2"/>
  <c r="O23" i="2"/>
  <c r="P23" i="2"/>
  <c r="Q23" i="2"/>
  <c r="Q7" i="2"/>
  <c r="K8" i="2"/>
  <c r="N8" i="2"/>
  <c r="O8" i="2"/>
  <c r="P8" i="2"/>
  <c r="K9" i="2"/>
  <c r="N9" i="2"/>
  <c r="O9" i="2"/>
  <c r="P9" i="2"/>
  <c r="K10" i="2"/>
  <c r="N10" i="2"/>
  <c r="Q10" i="2" s="1"/>
  <c r="O10" i="2"/>
  <c r="P10" i="2"/>
  <c r="K11" i="2"/>
  <c r="L11" i="2"/>
  <c r="M11" i="2"/>
  <c r="N11" i="2"/>
  <c r="O11" i="2"/>
  <c r="P11" i="2"/>
  <c r="P17" i="2" s="1"/>
  <c r="K12" i="2"/>
  <c r="L12" i="2"/>
  <c r="M12" i="2"/>
  <c r="N12" i="2"/>
  <c r="O12" i="2"/>
  <c r="Q12" i="2" s="1"/>
  <c r="P12" i="2"/>
  <c r="K13" i="2"/>
  <c r="Q13" i="2" s="1"/>
  <c r="L13" i="2"/>
  <c r="M13" i="2"/>
  <c r="N13" i="2"/>
  <c r="O13" i="2"/>
  <c r="P13" i="2"/>
  <c r="K14" i="2"/>
  <c r="L14" i="2"/>
  <c r="M14" i="2"/>
  <c r="N14" i="2"/>
  <c r="O14" i="2"/>
  <c r="P14" i="2"/>
  <c r="K15" i="2"/>
  <c r="L15" i="2"/>
  <c r="M15" i="2"/>
  <c r="N15" i="2"/>
  <c r="O15" i="2"/>
  <c r="P15" i="2"/>
  <c r="K16" i="2"/>
  <c r="L16" i="2"/>
  <c r="M16" i="2"/>
  <c r="N16" i="2"/>
  <c r="O16" i="2"/>
  <c r="P16" i="2"/>
  <c r="K7" i="2"/>
  <c r="F17" i="2"/>
  <c r="G17" i="2"/>
  <c r="H17" i="2"/>
  <c r="I17" i="2"/>
  <c r="J17" i="2"/>
  <c r="R17" i="2"/>
  <c r="E17" i="2"/>
  <c r="J16" i="2"/>
  <c r="Q16" i="2" l="1"/>
  <c r="Q14" i="2"/>
  <c r="N17" i="2"/>
  <c r="M17" i="2"/>
  <c r="O17" i="2"/>
  <c r="Q15" i="2"/>
  <c r="L17" i="2"/>
  <c r="Q8" i="2"/>
  <c r="Q17" i="2" s="1"/>
  <c r="Q11" i="2"/>
  <c r="Q9" i="2"/>
  <c r="K17" i="2"/>
  <c r="Y26" i="1"/>
  <c r="Y25" i="1"/>
  <c r="X17" i="1"/>
  <c r="X18" i="1" l="1"/>
  <c r="D24" i="4"/>
  <c r="D28" i="4"/>
  <c r="O28" i="4"/>
  <c r="O27" i="4"/>
  <c r="D27" i="4" s="1"/>
  <c r="C37" i="4" s="1"/>
  <c r="O26" i="4"/>
  <c r="D26" i="4" s="1"/>
  <c r="O25" i="4"/>
  <c r="D25" i="4" s="1"/>
  <c r="O24" i="4"/>
  <c r="O23" i="4"/>
  <c r="D23" i="4" s="1"/>
  <c r="P28" i="4"/>
  <c r="E28" i="4" s="1"/>
  <c r="P27" i="4"/>
  <c r="E27" i="4" s="1"/>
  <c r="P26" i="4"/>
  <c r="E26" i="4" s="1"/>
  <c r="P25" i="4"/>
  <c r="E25" i="4" s="1"/>
  <c r="P24" i="4"/>
  <c r="E24" i="4" s="1"/>
  <c r="P23" i="4"/>
  <c r="E23" i="4" s="1"/>
  <c r="W17" i="1"/>
  <c r="V17" i="1"/>
  <c r="U17" i="1"/>
  <c r="T17" i="1"/>
  <c r="S17" i="1"/>
  <c r="R17" i="1"/>
  <c r="Q17" i="1"/>
  <c r="P17" i="1"/>
  <c r="O17" i="1"/>
  <c r="N17" i="1"/>
  <c r="Y24" i="1" l="1"/>
  <c r="D39" i="4"/>
  <c r="R16" i="2"/>
  <c r="C2" i="4"/>
  <c r="K24" i="2" l="1"/>
  <c r="N24" i="2"/>
  <c r="O24" i="2"/>
  <c r="P24" i="2"/>
  <c r="Q24" i="2"/>
  <c r="G30" i="2" l="1"/>
  <c r="E30" i="2"/>
  <c r="E29" i="2"/>
  <c r="E28" i="2"/>
  <c r="E27" i="2"/>
  <c r="E26" i="2"/>
  <c r="E25" i="2"/>
  <c r="Y18" i="1"/>
  <c r="X13" i="1" l="1"/>
  <c r="R13" i="1"/>
  <c r="S13" i="1"/>
  <c r="T13" i="1"/>
  <c r="U13" i="1"/>
  <c r="V13" i="1"/>
  <c r="W13" i="1"/>
  <c r="Q25" i="2"/>
  <c r="P25" i="2"/>
  <c r="O25" i="2"/>
  <c r="N25" i="2"/>
  <c r="K25" i="2"/>
  <c r="A24" i="2"/>
  <c r="B24" i="2"/>
  <c r="C24" i="2"/>
  <c r="D24" i="2"/>
  <c r="E24" i="2"/>
  <c r="H24" i="2"/>
  <c r="I24" i="2"/>
  <c r="J24" i="2"/>
  <c r="W20" i="1"/>
  <c r="W18" i="1"/>
  <c r="V18" i="1"/>
  <c r="J25" i="2"/>
  <c r="I25" i="2"/>
  <c r="H25" i="2"/>
  <c r="G25" i="2"/>
  <c r="F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B25" i="2"/>
  <c r="C25" i="2"/>
  <c r="D25" i="2"/>
  <c r="A25" i="2"/>
  <c r="I21" i="3"/>
  <c r="E21" i="3"/>
  <c r="Y20" i="1" l="1"/>
  <c r="X10" i="1"/>
  <c r="H10" i="1"/>
  <c r="C7" i="1"/>
  <c r="W22" i="1"/>
  <c r="Q18" i="1"/>
  <c r="P18" i="1"/>
  <c r="O18" i="1"/>
  <c r="N18" i="1"/>
  <c r="F17" i="3"/>
  <c r="S24" i="1" l="1"/>
  <c r="P24" i="1"/>
  <c r="Y22" i="1"/>
  <c r="P25" i="1"/>
  <c r="S25" i="1"/>
  <c r="D40" i="4" s="1"/>
  <c r="B7" i="1"/>
  <c r="R30" i="2"/>
  <c r="I2" i="1" l="1"/>
  <c r="J2" i="1"/>
  <c r="J3" i="1"/>
  <c r="I3" i="1"/>
  <c r="H17" i="3"/>
  <c r="K2" i="1" l="1"/>
  <c r="L2" i="1" s="1"/>
  <c r="K3" i="1"/>
  <c r="L3" i="1" s="1"/>
  <c r="R31" i="2" a="1"/>
  <c r="R31" i="2" s="1"/>
  <c r="K26" i="2"/>
  <c r="L26" i="2"/>
  <c r="M26" i="2"/>
  <c r="N26" i="2"/>
  <c r="O26" i="2"/>
  <c r="P26" i="2"/>
  <c r="Q26" i="2"/>
  <c r="K27" i="2"/>
  <c r="L27" i="2"/>
  <c r="M27" i="2"/>
  <c r="N27" i="2"/>
  <c r="O27" i="2"/>
  <c r="P27" i="2"/>
  <c r="Q27" i="2"/>
  <c r="K28" i="2"/>
  <c r="L28" i="2"/>
  <c r="M28" i="2"/>
  <c r="N28" i="2"/>
  <c r="O28" i="2"/>
  <c r="P28" i="2"/>
  <c r="Q28" i="2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F26" i="2"/>
  <c r="G26" i="2"/>
  <c r="H26" i="2"/>
  <c r="I26" i="2"/>
  <c r="J26" i="2"/>
  <c r="F27" i="2"/>
  <c r="G27" i="2"/>
  <c r="H27" i="2"/>
  <c r="I27" i="2"/>
  <c r="J27" i="2"/>
  <c r="F28" i="2"/>
  <c r="G28" i="2"/>
  <c r="H28" i="2"/>
  <c r="I28" i="2"/>
  <c r="J28" i="2"/>
  <c r="F29" i="2"/>
  <c r="G29" i="2"/>
  <c r="H29" i="2"/>
  <c r="I29" i="2"/>
  <c r="J29" i="2"/>
  <c r="F30" i="2"/>
  <c r="H30" i="2"/>
  <c r="I30" i="2"/>
  <c r="J30" i="2"/>
  <c r="G33" i="2" l="1"/>
  <c r="H33" i="2" s="1"/>
  <c r="G34" i="2"/>
  <c r="H34" i="2" s="1"/>
  <c r="G36" i="2"/>
  <c r="H36" i="2" s="1"/>
  <c r="I36" i="2" s="1"/>
  <c r="G35" i="2"/>
  <c r="H35" i="2" s="1"/>
  <c r="G38" i="2"/>
  <c r="H38" i="2" s="1"/>
  <c r="G37" i="2"/>
  <c r="H37" i="2" s="1"/>
  <c r="E31" i="2" a="1"/>
  <c r="E31" i="2" s="1"/>
  <c r="E32" i="2" a="1"/>
  <c r="E32" i="2" s="1"/>
  <c r="H32" i="2" a="1"/>
  <c r="H32" i="2" s="1"/>
  <c r="H31" i="2" a="1"/>
  <c r="H31" i="2" s="1"/>
  <c r="Q32" i="2" a="1"/>
  <c r="Q32" i="2" s="1"/>
  <c r="Q31" i="2" a="1"/>
  <c r="Q31" i="2" s="1"/>
  <c r="P31" i="2" a="1"/>
  <c r="P31" i="2" s="1"/>
  <c r="P32" i="2" a="1"/>
  <c r="P32" i="2" s="1"/>
  <c r="F31" i="2" a="1"/>
  <c r="F31" i="2" s="1"/>
  <c r="F32" i="2" a="1"/>
  <c r="F32" i="2" s="1"/>
  <c r="N32" i="2" a="1"/>
  <c r="N32" i="2" s="1"/>
  <c r="N31" i="2" a="1"/>
  <c r="N31" i="2" s="1"/>
  <c r="M32" i="2" a="1"/>
  <c r="M32" i="2" s="1"/>
  <c r="M31" i="2" a="1"/>
  <c r="M31" i="2" s="1"/>
  <c r="O32" i="2" a="1"/>
  <c r="O32" i="2" s="1"/>
  <c r="O31" i="2" a="1"/>
  <c r="O31" i="2" s="1"/>
  <c r="L31" i="2" a="1"/>
  <c r="L31" i="2" s="1"/>
  <c r="L32" i="2" a="1"/>
  <c r="L32" i="2" s="1"/>
  <c r="K32" i="2" a="1"/>
  <c r="K32" i="2" s="1"/>
  <c r="K31" i="2" a="1"/>
  <c r="K31" i="2" s="1"/>
  <c r="I31" i="2" a="1"/>
  <c r="I31" i="2" s="1"/>
  <c r="I32" i="2" a="1"/>
  <c r="I32" i="2" s="1"/>
  <c r="R32" i="2" a="1"/>
  <c r="R32" i="2" s="1"/>
  <c r="W21" i="1"/>
  <c r="W23" i="1"/>
  <c r="Y23" i="1" l="1"/>
  <c r="Y21" i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<sst xmlns="http://schemas.openxmlformats.org/spreadsheetml/2006/main" count="253" uniqueCount="169">
  <si>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</si>
  <si>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</si>
  <si>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</si>
  <si>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</si>
  <si>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</si>
  <si>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</si>
  <si>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</si>
  <si>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</si>
  <si>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</si>
  <si>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</si>
  <si>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</si>
  <si>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</si>
  <si>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</si>
  <si>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</si>
  <si>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</si>
  <si>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</si>
  <si>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</si>
  <si>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</si>
  <si>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</si>
  <si>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</si>
  <si>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</si>
  <si>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</si>
  <si>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</si>
  <si>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</si>
  <si>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</si>
  <si>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</si>
  <si>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</si>
  <si>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</si>
  <si>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</si>
  <si>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</si>
  <si>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</si>
  <si>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</si>
  <si>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</si>
  <si>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</si>
  <si>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</si>
  <si>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</si>
  <si>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</si>
  <si>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</si>
  <si>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</si>
  <si>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</si>
  <si>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</si>
  <si>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</si>
  <si>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</si>
  <si>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</si>
  <si>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</si>
  <si>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</si>
  <si>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</si>
  <si>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</si>
  <si>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</si>
  <si>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</si>
  <si>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</si>
  <si>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</si>
  <si>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</si>
  <si>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</si>
  <si>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</si>
  <si>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</si>
  <si>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</si>
  <si>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</si>
  <si>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</si>
  <si>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</si>
  <si>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</si>
  <si>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</si>
  <si>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</si>
  <si>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</si>
  <si>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</si>
  <si>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</si>
  <si>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</si>
  <si>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</si>
  <si>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</si>
  <si>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</si>
  <si>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</si>
  <si>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</si>
  <si>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</si>
  <si>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</si>
  <si>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</si>
  <si>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</si>
  <si>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</si>
  <si>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</si>
  <si>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</si>
  <si>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</si>
  <si>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</si>
  <si>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</si>
  <si>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</si>
  <si>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</si>
  <si>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</si>
  <si>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</si>
  <si>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</si>
  <si>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</si>
  <si>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</si>
  <si>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</si>
  <si>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</si>
  <si>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</si>
  <si>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</si>
  <si>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</si>
  <si>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</si>
  <si>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</si>
  <si>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</si>
  <si>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</si>
  <si>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</si>
  <si>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</si>
  <si>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</si>
  <si>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</si>
  <si>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</si>
  <si>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</si>
  <si>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</si>
  <si>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</si>
  <si>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</si>
  <si>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</si>
  <si>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</si>
  <si>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</si>
  <si>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</si>
  <si>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</si>
  <si>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</si>
  <si>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</si>
  <si>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</si>
  <si>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</si>
  <si>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</si>
  <si>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</si>
  <si>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</si>
  <si>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</si>
  <si>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</si>
  <si>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</si>
  <si>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</si>
  <si>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</si>
  <si>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</si>
  <si>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</si>
  <si>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</si>
  <si>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</si>
  <si>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</si>
  <si>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</si>
  <si>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</si>
  <si>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</si>
  <si>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</si>
  <si>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</si>
  <si>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</si>
  <si>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</si>
  <si>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</si>
  <si>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</si>
  <si>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</si>
  <si>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</si>
  <si>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</si>
  <si>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</si>
  <si>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</si>
  <si>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</si>
  <si>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</si>
  <si>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</si>
  <si>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</si>
  <si>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</si>
  <si>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</si>
  <si>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</si>
  <si>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</si>
  <si>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</si>
  <si>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</si>
  <si>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</si>
  <si>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</si>
  <si>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</si>
  <si>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</si>
  <si>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</si>
  <si>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</si>
  <si>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</si>
  <si>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t>which is not inline with the confidence interval in step1. If this value is unsatisfactory, use confidence interval.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</si>
  <si>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C:\dev\da.research\personal\rxia\Alphas</t>
    </r>
    <r>
      <rPr>
        <sz val="10"/>
        <color theme="1"/>
        <rFont val="Arial"/>
        <family val="2"/>
      </rPr>
      <t>\{TICKER}</t>
    </r>
  </si>
  <si>
    <t>NOT ENOUGH Data</t>
  </si>
  <si>
    <t>AVERAGE</t>
  </si>
  <si>
    <t>UNDERSHOOT AVG</t>
  </si>
  <si>
    <t>OVERSHOOT AVERAGE</t>
  </si>
  <si>
    <t>NPCE</t>
  </si>
  <si>
    <t>2019Q1</t>
  </si>
  <si>
    <t>2019Q2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</si>
</sst>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6" formatCode="0.0"/>
    <numFmt numFmtId="167" formatCode="0.00000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9C000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18" borderId="0" applyNumberFormat="0" applyBorder="0" applyAlignment="0" applyProtection="0"/>
  </cellStyleXfs>
  <cellXfs count="183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10" fontId="2" fillId="0" borderId="5" xfId="1" applyNumberFormat="1" applyFont="1" applyBorder="1"/>
    <xf numFmtId="10" fontId="2" fillId="0" borderId="10" xfId="1" applyNumberFormat="1" applyFont="1" applyBorder="1"/>
    <xf numFmtId="164" fontId="0" fillId="10" borderId="0" xfId="0" applyNumberFormat="1" applyFill="1" applyAlignment="1"/>
    <xf numFmtId="164" fontId="0" fillId="9" borderId="0" xfId="0" applyNumberFormat="1" applyFill="1" applyAlignment="1"/>
    <xf numFmtId="164" fontId="0" fillId="8" borderId="0" xfId="0" applyNumberFormat="1" applyFill="1" applyAlignment="1"/>
    <xf numFmtId="164" fontId="0" fillId="16" borderId="0" xfId="0" applyNumberFormat="1" applyFill="1" applyAlignment="1"/>
    <xf numFmtId="164" fontId="0" fillId="2" borderId="0" xfId="0" applyNumberFormat="1" applyFill="1" applyAlignment="1"/>
    <xf numFmtId="164" fontId="0" fillId="12" borderId="0" xfId="0" applyNumberFormat="1" applyFill="1" applyAlignment="1"/>
    <xf numFmtId="0" fontId="10" fillId="18" borderId="0" xfId="2"/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8" borderId="9" xfId="0" applyFill="1" applyBorder="1"/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Z29"/>
  <sheetViews>
    <sheetView tabSelected="1" zoomScale="70" zoomScaleNormal="70" workbookViewId="0">
      <selection activeCell="K2" sqref="K2"/>
    </sheetView>
  </sheetViews>
  <sheetFormatPr defaultRowHeight="12.75" x14ac:dyDescent="0.2"/>
  <cols>
    <col min="1" max="1" width="17.85546875" bestFit="1" customWidth="1"/>
    <col min="2" max="23" width="10.7109375" customWidth="1"/>
    <col min="24" max="24" width="17.85546875" customWidth="1"/>
    <col min="25" max="26" width="10.7109375" customWidth="1"/>
  </cols>
  <sheetData>
    <row r="1" spans="1:25" x14ac:dyDescent="0.2">
      <c r="A1" s="141" t="s">
        <v>166</v>
      </c>
      <c r="B1" s="142"/>
      <c r="C1" s="143"/>
      <c r="G1" s="150" t="s">
        <v>35</v>
      </c>
      <c r="H1" s="151"/>
      <c r="I1" s="59" t="s">
        <v>31</v>
      </c>
      <c r="J1" s="59" t="s">
        <v>32</v>
      </c>
      <c r="K1" s="4" t="s">
        <v>39</v>
      </c>
      <c r="L1" s="152" t="s">
        <v>41</v>
      </c>
      <c r="M1" s="153"/>
    </row>
    <row r="2" spans="1:25" x14ac:dyDescent="0.2">
      <c r="A2" s="144"/>
      <c r="B2" s="145"/>
      <c r="C2" s="146"/>
      <c r="G2" s="57" t="s">
        <v>37</v>
      </c>
      <c r="H2" s="58"/>
      <c r="I2" s="60">
        <f>$B$7*($Y$25-2*$Y$26)</f>
        <v>8.7337330527565591</v>
      </c>
      <c r="J2" s="60">
        <f>$B$7*($Y$25+2*$Y$26)</f>
        <v>12.465410416194194</v>
      </c>
      <c r="K2" s="62">
        <f>AVERAGE(I2:J2)</f>
        <v>10.599571734475376</v>
      </c>
      <c r="L2" s="154">
        <f>$K$2/T14-1</f>
        <v>-0.17190845824411127</v>
      </c>
      <c r="M2" s="155"/>
    </row>
    <row r="3" spans="1:25" x14ac:dyDescent="0.2">
      <c r="A3" s="147"/>
      <c r="B3" s="148"/>
      <c r="C3" s="149"/>
      <c r="G3" s="43" t="s">
        <v>38</v>
      </c>
      <c r="H3" s="18"/>
      <c r="I3" s="61">
        <f>$C$7*($Y$25-2*$Y$26)</f>
        <v>9.5100648796682528</v>
      </c>
      <c r="J3" s="61">
        <f>$C$7*($Y$25+2*$Y$26)</f>
        <v>13.573446897633676</v>
      </c>
      <c r="K3" s="63">
        <f>AVERAGE(I3:J3)</f>
        <v>11.541755888650965</v>
      </c>
      <c r="L3" s="156">
        <f>$K$3/T15-1</f>
        <v>-9.8300321199143448E-2</v>
      </c>
      <c r="M3" s="157"/>
    </row>
    <row r="4" spans="1:25" x14ac:dyDescent="0.2">
      <c r="A4" s="48"/>
      <c r="B4" s="48"/>
      <c r="C4" s="48"/>
      <c r="J4" s="4" t="s">
        <v>40</v>
      </c>
      <c r="K4" s="63">
        <f>AVERAGE(K2:K3)</f>
        <v>11.07066381156317</v>
      </c>
      <c r="L4" s="156">
        <f>$K$4/T15-1</f>
        <v>-0.13510438972162742</v>
      </c>
      <c r="M4" s="157"/>
    </row>
    <row r="5" spans="1:25" x14ac:dyDescent="0.2">
      <c r="A5" s="56" t="s">
        <v>34</v>
      </c>
      <c r="B5" s="46" t="s">
        <v>31</v>
      </c>
      <c r="C5" s="47" t="s">
        <v>32</v>
      </c>
      <c r="D5" s="84"/>
      <c r="E5" s="84"/>
    </row>
    <row r="6" spans="1:25" ht="15.75" x14ac:dyDescent="0.25">
      <c r="A6" s="50" t="s">
        <v>33</v>
      </c>
      <c r="B6" s="54">
        <v>45</v>
      </c>
      <c r="C6" s="55">
        <v>49</v>
      </c>
    </row>
    <row r="7" spans="1:25" ht="14.25" x14ac:dyDescent="0.2">
      <c r="A7" s="51" t="s">
        <v>36</v>
      </c>
      <c r="B7" s="52">
        <f>B6*$Y$24</f>
        <v>45</v>
      </c>
      <c r="C7" s="53">
        <f>C6*$Y$24</f>
        <v>49</v>
      </c>
    </row>
    <row r="10" spans="1:25" x14ac:dyDescent="0.2">
      <c r="F10" s="140" t="s">
        <v>15</v>
      </c>
      <c r="G10" s="140"/>
      <c r="H10" s="33">
        <f>AVERAGE(F13:X13)</f>
        <v>1.1547949997548095</v>
      </c>
      <c r="U10" s="140" t="s">
        <v>16</v>
      </c>
      <c r="V10" s="140"/>
      <c r="W10" s="140"/>
      <c r="X10" s="77">
        <f>AVERAGE(S13:X13)</f>
        <v>1.1464576201958721</v>
      </c>
    </row>
    <row r="11" spans="1:25" x14ac:dyDescent="0.2">
      <c r="A11" s="49" t="s">
        <v>6</v>
      </c>
      <c r="B11" s="158">
        <v>2013</v>
      </c>
      <c r="C11" s="159"/>
      <c r="D11" s="159"/>
      <c r="E11" s="160"/>
      <c r="F11" s="121">
        <v>2017</v>
      </c>
      <c r="G11" s="122"/>
      <c r="H11" s="122"/>
      <c r="I11" s="123"/>
      <c r="J11" s="136">
        <v>2018</v>
      </c>
      <c r="K11" s="137"/>
      <c r="L11" s="137"/>
      <c r="M11" s="138"/>
      <c r="N11" s="124">
        <v>2019</v>
      </c>
      <c r="O11" s="125"/>
      <c r="P11" s="125"/>
      <c r="Q11" s="126"/>
      <c r="R11" s="127">
        <v>2020</v>
      </c>
      <c r="S11" s="128"/>
      <c r="T11" s="128"/>
      <c r="U11" s="129"/>
      <c r="V11" s="130">
        <v>2021</v>
      </c>
      <c r="W11" s="131"/>
      <c r="X11" s="131"/>
      <c r="Y11" s="132"/>
    </row>
    <row r="12" spans="1:25" x14ac:dyDescent="0.2">
      <c r="A12" s="13" t="s">
        <v>19</v>
      </c>
      <c r="B12" s="78" t="s">
        <v>20</v>
      </c>
      <c r="C12" s="79" t="s">
        <v>3</v>
      </c>
      <c r="D12" s="79" t="s">
        <v>4</v>
      </c>
      <c r="E12" s="80" t="s">
        <v>5</v>
      </c>
      <c r="F12" s="20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4" t="s">
        <v>20</v>
      </c>
      <c r="O12" s="25" t="s">
        <v>3</v>
      </c>
      <c r="P12" s="25" t="s">
        <v>4</v>
      </c>
      <c r="Q12" s="25" t="s">
        <v>5</v>
      </c>
      <c r="R12" s="26" t="s">
        <v>20</v>
      </c>
      <c r="S12" s="19" t="s">
        <v>3</v>
      </c>
      <c r="T12" s="19" t="s">
        <v>4</v>
      </c>
      <c r="U12" s="19" t="s">
        <v>5</v>
      </c>
      <c r="V12" s="35" t="s">
        <v>20</v>
      </c>
      <c r="W12" s="36" t="s">
        <v>3</v>
      </c>
      <c r="X12" s="37" t="s">
        <v>21</v>
      </c>
      <c r="Y12" s="27" t="s">
        <v>22</v>
      </c>
    </row>
    <row r="13" spans="1:25" x14ac:dyDescent="0.2">
      <c r="A13" s="32" t="s">
        <v>2</v>
      </c>
      <c r="B13" s="28"/>
      <c r="C13" s="28"/>
      <c r="D13" s="28"/>
      <c r="E13" s="28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f t="shared" ref="J13:W13" si="0">R15/N15</f>
        <v>1.2048192771084336</v>
      </c>
      <c r="S13" s="83">
        <f t="shared" si="0"/>
        <v>0.84444444444444444</v>
      </c>
      <c r="T13" s="83">
        <f t="shared" si="0"/>
        <v>1.3061224489795917</v>
      </c>
      <c r="U13" s="83">
        <f t="shared" si="0"/>
        <v>1.0909090909090911</v>
      </c>
      <c r="V13" s="83">
        <f t="shared" si="0"/>
        <v>1.1199999999999999</v>
      </c>
      <c r="W13" s="83">
        <f t="shared" si="0"/>
        <v>1.6578947368421053</v>
      </c>
      <c r="X13" s="83">
        <f>X14/T14</f>
        <v>0.859375</v>
      </c>
      <c r="Y13" s="29"/>
    </row>
    <row r="14" spans="1:25" x14ac:dyDescent="0.2">
      <c r="A14" s="14" t="s">
        <v>0</v>
      </c>
      <c r="B14" s="7"/>
      <c r="C14" s="7"/>
      <c r="D14" s="7"/>
      <c r="E14" s="7"/>
      <c r="F14" s="9"/>
      <c r="G14" s="6"/>
      <c r="H14" s="6"/>
      <c r="I14" s="6"/>
      <c r="J14" s="9"/>
      <c r="K14" s="6"/>
      <c r="L14" s="6"/>
      <c r="M14" s="6"/>
      <c r="N14">
        <v>8.3000000000000007</v>
      </c>
      <c r="O14">
        <v>9</v>
      </c>
      <c r="P14">
        <v>9.8000000000000007</v>
      </c>
      <c r="Q14">
        <v>9.9</v>
      </c>
      <c r="R14">
        <v>10</v>
      </c>
      <c r="S14">
        <v>7.6</v>
      </c>
      <c r="T14">
        <v>12.8</v>
      </c>
      <c r="U14">
        <v>10.8</v>
      </c>
      <c r="V14">
        <v>11.2</v>
      </c>
      <c r="W14">
        <v>12.6</v>
      </c>
      <c r="X14" s="6">
        <v>11</v>
      </c>
      <c r="Y14" s="6">
        <v>11.9</v>
      </c>
    </row>
    <row r="15" spans="1:25" x14ac:dyDescent="0.2">
      <c r="A15" s="14" t="s">
        <v>1</v>
      </c>
      <c r="B15" s="6"/>
      <c r="C15" s="6"/>
      <c r="D15" s="6"/>
      <c r="E15" s="6"/>
      <c r="F15" s="9"/>
      <c r="G15" s="6"/>
      <c r="H15" s="6"/>
      <c r="I15" s="6"/>
      <c r="J15" s="9"/>
      <c r="K15" s="6"/>
      <c r="L15" s="6"/>
      <c r="M15" s="6"/>
      <c r="N15">
        <v>8.3000000000000007</v>
      </c>
      <c r="O15">
        <v>9</v>
      </c>
      <c r="P15">
        <v>9.8000000000000007</v>
      </c>
      <c r="Q15">
        <v>9.9</v>
      </c>
      <c r="R15">
        <v>10</v>
      </c>
      <c r="S15">
        <v>7.6</v>
      </c>
      <c r="T15">
        <v>12.8</v>
      </c>
      <c r="U15">
        <v>10.8</v>
      </c>
      <c r="V15">
        <v>11.2</v>
      </c>
      <c r="W15">
        <v>12.6</v>
      </c>
      <c r="X15" s="9"/>
      <c r="Y15" s="10"/>
    </row>
    <row r="16" spans="1:25" x14ac:dyDescent="0.2">
      <c r="A16" s="14" t="s">
        <v>151</v>
      </c>
      <c r="B16" s="9"/>
      <c r="C16" s="6"/>
      <c r="D16" s="6"/>
      <c r="E16" s="10"/>
      <c r="F16" s="9"/>
      <c r="G16" s="6"/>
      <c r="H16" s="6"/>
      <c r="I16" s="6"/>
      <c r="J16" s="9"/>
      <c r="K16" s="6"/>
      <c r="L16" s="6"/>
      <c r="M16" s="6"/>
      <c r="N16">
        <v>8.3000000000000007</v>
      </c>
      <c r="O16">
        <v>9</v>
      </c>
      <c r="P16">
        <v>9.8000000000000007</v>
      </c>
      <c r="Q16">
        <v>9.9</v>
      </c>
      <c r="R16">
        <v>10</v>
      </c>
      <c r="S16">
        <v>7.6</v>
      </c>
      <c r="T16">
        <v>12.8</v>
      </c>
      <c r="U16">
        <v>10.8</v>
      </c>
      <c r="V16">
        <v>11.2</v>
      </c>
      <c r="W16">
        <v>12.6</v>
      </c>
      <c r="X16" s="6">
        <v>11</v>
      </c>
      <c r="Y16" s="10"/>
    </row>
    <row r="17" spans="1:26" x14ac:dyDescent="0.2">
      <c r="A17" s="85" t="s">
        <v>18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>
        <f t="shared" ref="F17:W17" si="1">N15/N16</f>
        <v>1</v>
      </c>
      <c r="O17" s="86">
        <f t="shared" si="1"/>
        <v>1</v>
      </c>
      <c r="P17" s="86">
        <f t="shared" si="1"/>
        <v>1</v>
      </c>
      <c r="Q17" s="86">
        <f t="shared" si="1"/>
        <v>1</v>
      </c>
      <c r="R17" s="86">
        <f t="shared" si="1"/>
        <v>1</v>
      </c>
      <c r="S17" s="86">
        <f t="shared" si="1"/>
        <v>1</v>
      </c>
      <c r="T17" s="86">
        <f t="shared" si="1"/>
        <v>1</v>
      </c>
      <c r="U17" s="86">
        <f t="shared" si="1"/>
        <v>1</v>
      </c>
      <c r="V17" s="86">
        <f t="shared" si="1"/>
        <v>1</v>
      </c>
      <c r="W17" s="86">
        <f t="shared" si="1"/>
        <v>1</v>
      </c>
      <c r="X17" s="87">
        <f>X14/X16</f>
        <v>1</v>
      </c>
      <c r="Y17" s="88"/>
    </row>
    <row r="18" spans="1:26" x14ac:dyDescent="0.2">
      <c r="A18" s="85" t="s">
        <v>24</v>
      </c>
      <c r="B18" s="86"/>
      <c r="C18" s="86"/>
      <c r="D18" s="86"/>
      <c r="E18" s="89"/>
      <c r="F18" s="86"/>
      <c r="G18" s="86"/>
      <c r="H18" s="86"/>
      <c r="I18" s="89"/>
      <c r="J18" s="86"/>
      <c r="K18" s="86"/>
      <c r="L18" s="86"/>
      <c r="M18" s="89"/>
      <c r="N18" s="86">
        <f>N15/SUM(N15:Q15)</f>
        <v>0.22432432432432434</v>
      </c>
      <c r="O18" s="86">
        <f>O15/SUM(N15:Q15)</f>
        <v>0.24324324324324326</v>
      </c>
      <c r="P18" s="86">
        <f>P15/SUM(N15:Q15)</f>
        <v>0.26486486486486488</v>
      </c>
      <c r="Q18" s="89">
        <f>Q15/SUM(N15:Q15)</f>
        <v>0.26756756756756755</v>
      </c>
      <c r="R18" s="86"/>
      <c r="S18" s="86"/>
      <c r="T18" s="86"/>
      <c r="U18" s="89"/>
      <c r="V18" s="86">
        <f>V15/SUM(V15:W15,X14:Y14)</f>
        <v>0.2398286937901499</v>
      </c>
      <c r="W18" s="86">
        <f>W15/SUM(V15:W15,X14:Y14)</f>
        <v>0.26980728051391867</v>
      </c>
      <c r="X18" s="86">
        <f>X14/SUM(V15:W15,X14:Y14)</f>
        <v>0.23554603854389725</v>
      </c>
      <c r="Y18" s="89">
        <f>Y14/SUM(V15:W15,X14:Y14)</f>
        <v>0.2548179871520343</v>
      </c>
      <c r="Z18" s="3"/>
    </row>
    <row r="19" spans="1:26" x14ac:dyDescent="0.2">
      <c r="A19" s="15" t="s">
        <v>17</v>
      </c>
      <c r="B19" s="11"/>
      <c r="C19" s="11"/>
      <c r="D19" s="11"/>
      <c r="E19" s="11"/>
      <c r="F19" s="81"/>
      <c r="G19" s="81"/>
      <c r="H19" s="81"/>
      <c r="I19" s="81"/>
      <c r="J19" s="81"/>
      <c r="K19" s="61"/>
      <c r="L19" s="61"/>
      <c r="M19" s="61"/>
      <c r="N19" s="81"/>
      <c r="O19" s="61"/>
      <c r="P19" s="61"/>
      <c r="Q19" s="61"/>
      <c r="R19" s="81"/>
      <c r="S19" s="61"/>
      <c r="T19" s="61"/>
      <c r="U19" s="61"/>
      <c r="V19" s="81"/>
      <c r="W19" s="61">
        <v>11.5</v>
      </c>
      <c r="X19" s="82"/>
      <c r="Y19" s="12"/>
    </row>
    <row r="20" spans="1:26" x14ac:dyDescent="0.2">
      <c r="H20" s="7"/>
      <c r="I20" s="7"/>
      <c r="J20" s="7"/>
      <c r="K20" s="7"/>
      <c r="L20" s="7"/>
      <c r="M20" s="7"/>
      <c r="N20" s="115" t="s">
        <v>7</v>
      </c>
      <c r="O20" s="133"/>
      <c r="P20" s="7"/>
      <c r="Q20" s="7"/>
      <c r="R20" s="7"/>
      <c r="S20" s="7"/>
      <c r="T20" s="7"/>
      <c r="U20" s="7"/>
      <c r="V20" s="7"/>
      <c r="W20" s="8">
        <f t="shared" ref="P20:W20" si="2">IF(W15&gt;W19,1,0)</f>
        <v>1</v>
      </c>
      <c r="X20" s="43" t="s">
        <v>8</v>
      </c>
      <c r="Y20" s="40">
        <f>AVERAGE(P20:W20)</f>
        <v>1</v>
      </c>
    </row>
    <row r="21" spans="1:26" x14ac:dyDescent="0.2">
      <c r="H21" s="6"/>
      <c r="I21" s="6"/>
      <c r="J21" s="6"/>
      <c r="K21" s="6"/>
      <c r="L21" s="6"/>
      <c r="M21" s="6"/>
      <c r="N21" s="134" t="s">
        <v>9</v>
      </c>
      <c r="O21" s="135"/>
      <c r="P21" s="6"/>
      <c r="Q21" s="6"/>
      <c r="R21" s="6"/>
      <c r="S21" s="6"/>
      <c r="T21" s="6"/>
      <c r="U21" s="6"/>
      <c r="V21" s="6"/>
      <c r="W21" s="10">
        <f t="shared" ref="S21:W21" si="3">AVERAGE(T20:W20)</f>
        <v>1</v>
      </c>
      <c r="X21" s="39" t="s">
        <v>10</v>
      </c>
      <c r="Y21" s="40">
        <f>AVERAGE(S21:W21)</f>
        <v>1</v>
      </c>
    </row>
    <row r="22" spans="1:26" x14ac:dyDescent="0.2">
      <c r="H22" s="17"/>
      <c r="I22" s="17"/>
      <c r="J22" s="17"/>
      <c r="K22" s="17"/>
      <c r="L22" s="17"/>
      <c r="M22" s="17"/>
      <c r="N22" s="119" t="s">
        <v>11</v>
      </c>
      <c r="O22" s="120"/>
      <c r="P22" s="17"/>
      <c r="Q22" s="17"/>
      <c r="R22" s="17"/>
      <c r="S22" s="17"/>
      <c r="T22" s="17"/>
      <c r="U22" s="17"/>
      <c r="V22" s="17"/>
      <c r="W22" s="38">
        <f t="shared" ref="P22:W22" si="4">W15/W19-1</f>
        <v>9.565217391304337E-2</v>
      </c>
      <c r="X22" s="39" t="s">
        <v>13</v>
      </c>
      <c r="Y22" s="41">
        <f>AVERAGE(P22:W22)</f>
        <v>9.565217391304337E-2</v>
      </c>
    </row>
    <row r="23" spans="1:26" x14ac:dyDescent="0.2">
      <c r="H23" s="30"/>
      <c r="I23" s="30"/>
      <c r="J23" s="30"/>
      <c r="K23" s="30"/>
      <c r="L23" s="30"/>
      <c r="M23" s="30"/>
      <c r="N23" s="134" t="s">
        <v>12</v>
      </c>
      <c r="O23" s="135"/>
      <c r="P23" s="30"/>
      <c r="Q23" s="30"/>
      <c r="R23" s="30"/>
      <c r="S23" s="30"/>
      <c r="T23" s="30"/>
      <c r="U23" s="30"/>
      <c r="V23" s="30"/>
      <c r="W23" s="31">
        <f t="shared" ref="S23:W23" si="5">AVERAGE(T22:W22)</f>
        <v>9.565217391304337E-2</v>
      </c>
      <c r="X23" s="18" t="s">
        <v>14</v>
      </c>
      <c r="Y23" s="31">
        <f>AVERAGE(S23:W23)</f>
        <v>9.565217391304337E-2</v>
      </c>
    </row>
    <row r="24" spans="1:26" x14ac:dyDescent="0.2">
      <c r="N24" s="115" t="s">
        <v>25</v>
      </c>
      <c r="O24" s="133"/>
      <c r="P24" s="98">
        <f>AVERAGE(P22:S22,V22:W22)</f>
        <v>9.565217391304337E-2</v>
      </c>
      <c r="Q24" s="115" t="s">
        <v>29</v>
      </c>
      <c r="R24" s="116"/>
      <c r="S24" s="44">
        <f>MEDIAN(P22:S22,V22:W22)</f>
        <v>9.565217391304337E-2</v>
      </c>
      <c r="T24" s="3"/>
      <c r="U24" s="161" t="s">
        <v>23</v>
      </c>
      <c r="V24" s="162"/>
      <c r="W24" s="162"/>
      <c r="X24" s="163"/>
      <c r="Y24" s="42">
        <f>AVERAGE(T17:X17)</f>
        <v>1</v>
      </c>
    </row>
    <row r="25" spans="1:26" x14ac:dyDescent="0.2">
      <c r="N25" s="117" t="s">
        <v>26</v>
      </c>
      <c r="O25" s="139"/>
      <c r="P25" s="97" t="e">
        <f>AVERAGE(T22:U22)</f>
        <v>#DIV/0!</v>
      </c>
      <c r="Q25" s="117" t="s">
        <v>30</v>
      </c>
      <c r="R25" s="118"/>
      <c r="S25" s="31" t="e">
        <f>MEDIAN(T22:U22)</f>
        <v>#NUM!</v>
      </c>
      <c r="U25" s="164" t="s">
        <v>27</v>
      </c>
      <c r="V25" s="165"/>
      <c r="W25" s="165"/>
      <c r="X25" s="165"/>
      <c r="Y25" s="44">
        <f>X18</f>
        <v>0.23554603854389725</v>
      </c>
    </row>
    <row r="26" spans="1:26" x14ac:dyDescent="0.2">
      <c r="U26" s="113" t="s">
        <v>28</v>
      </c>
      <c r="V26" s="114"/>
      <c r="W26" s="114"/>
      <c r="X26" s="114"/>
      <c r="Y26" s="45">
        <f>_xlfn.STDEV.S(X18,P18)</f>
        <v>2.0731540907986852E-2</v>
      </c>
    </row>
    <row r="29" spans="1:26" ht="18" customHeight="1" x14ac:dyDescent="0.2"/>
  </sheetData>
  <mergeCells count="25">
    <mergeCell ref="B11:E11"/>
    <mergeCell ref="N23:O23"/>
    <mergeCell ref="U24:X24"/>
    <mergeCell ref="U25:X25"/>
    <mergeCell ref="F10:G10"/>
    <mergeCell ref="U10:W10"/>
    <mergeCell ref="A1:C3"/>
    <mergeCell ref="G1:H1"/>
    <mergeCell ref="L1:M1"/>
    <mergeCell ref="L2:M2"/>
    <mergeCell ref="L3:M3"/>
    <mergeCell ref="L4:M4"/>
    <mergeCell ref="U26:X26"/>
    <mergeCell ref="Q24:R24"/>
    <mergeCell ref="Q25:R25"/>
    <mergeCell ref="N22:O22"/>
    <mergeCell ref="F11:I11"/>
    <mergeCell ref="N11:Q11"/>
    <mergeCell ref="R11:U11"/>
    <mergeCell ref="V11:Y11"/>
    <mergeCell ref="N20:O20"/>
    <mergeCell ref="N21:O21"/>
    <mergeCell ref="J11:M11"/>
    <mergeCell ref="N24:O24"/>
    <mergeCell ref="N25:O25"/>
  </mergeCells>
  <conditionalFormatting sqref="H20:M20 P20:W20 Y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1:M21 P21:W21 Y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:M22 P22:W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H23:M23 P23:W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Y22:Y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Y20:Y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Y20:Y21 Y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H22:M22 P22:W22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H23:M23 P23:W23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Y22:Y23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Y20:Y21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Y20:Y21 Y24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38"/>
  <sheetViews>
    <sheetView zoomScale="85" zoomScaleNormal="85" workbookViewId="0">
      <selection activeCell="R34" sqref="R34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74</v>
      </c>
      <c r="B1" t="s">
        <v>75</v>
      </c>
    </row>
    <row r="4" spans="1:21" x14ac:dyDescent="0.2">
      <c r="A4" s="168" t="s">
        <v>70</v>
      </c>
      <c r="B4" s="168"/>
      <c r="T4" s="68" t="s">
        <v>159</v>
      </c>
    </row>
    <row r="5" spans="1:21" x14ac:dyDescent="0.2">
      <c r="A5" s="16" t="s">
        <v>50</v>
      </c>
      <c r="B5" s="16" t="s">
        <v>51</v>
      </c>
      <c r="C5" s="16" t="s">
        <v>62</v>
      </c>
      <c r="D5" s="16" t="s">
        <v>52</v>
      </c>
      <c r="E5" s="16" t="s">
        <v>53</v>
      </c>
      <c r="F5" s="16" t="s">
        <v>63</v>
      </c>
      <c r="G5" s="16" t="s">
        <v>54</v>
      </c>
      <c r="H5" s="16" t="s">
        <v>55</v>
      </c>
      <c r="I5" s="16" t="s">
        <v>64</v>
      </c>
      <c r="J5" s="16" t="s">
        <v>56</v>
      </c>
      <c r="K5" s="16" t="s">
        <v>57</v>
      </c>
      <c r="L5" s="16" t="s">
        <v>67</v>
      </c>
      <c r="M5" s="16" t="s">
        <v>58</v>
      </c>
      <c r="N5" s="16" t="s">
        <v>59</v>
      </c>
      <c r="O5" s="16" t="s">
        <v>68</v>
      </c>
      <c r="P5" s="16" t="s">
        <v>60</v>
      </c>
      <c r="Q5" s="16" t="s">
        <v>61</v>
      </c>
      <c r="R5" s="16" t="s">
        <v>0</v>
      </c>
      <c r="S5" s="16" t="s">
        <v>66</v>
      </c>
      <c r="T5" s="34" t="s">
        <v>0</v>
      </c>
      <c r="U5" s="34" t="s">
        <v>66</v>
      </c>
    </row>
    <row r="6" spans="1:21" x14ac:dyDescent="0.2">
      <c r="A6" s="181" t="s">
        <v>166</v>
      </c>
      <c r="B6" t="s">
        <v>151</v>
      </c>
      <c r="C6" t="s">
        <v>167</v>
      </c>
      <c r="D6">
        <v>20190411</v>
      </c>
      <c r="E6">
        <v>9.4653351620664807</v>
      </c>
      <c r="S6">
        <v>8.3000000000000007</v>
      </c>
    </row>
    <row r="7" spans="1:21" x14ac:dyDescent="0.2">
      <c r="A7" s="181" t="s">
        <v>166</v>
      </c>
      <c r="B7" t="s">
        <v>151</v>
      </c>
      <c r="C7" t="s">
        <v>168</v>
      </c>
      <c r="D7">
        <v>20190711</v>
      </c>
      <c r="E7">
        <v>3.3415509999999999</v>
      </c>
      <c r="H7">
        <v>2.6773530000000001</v>
      </c>
      <c r="I7">
        <v>12.194042</v>
      </c>
      <c r="J7">
        <v>6.0709819999999999</v>
      </c>
      <c r="K7">
        <f>(E7/E6)*$S6</f>
        <v>2.9301522687913883</v>
      </c>
      <c r="Q7">
        <f>AVERAGE(K7:P7)</f>
        <v>2.9301522687913883</v>
      </c>
      <c r="S7">
        <v>9</v>
      </c>
    </row>
    <row r="8" spans="1:21" x14ac:dyDescent="0.2">
      <c r="A8" s="181" t="s">
        <v>166</v>
      </c>
      <c r="B8" t="s">
        <v>151</v>
      </c>
      <c r="C8" t="s">
        <v>42</v>
      </c>
      <c r="D8">
        <v>20191010</v>
      </c>
      <c r="E8">
        <v>4.1154210000000004</v>
      </c>
      <c r="H8">
        <v>3.9810059999999998</v>
      </c>
      <c r="I8">
        <v>9.1485210000000006</v>
      </c>
      <c r="J8">
        <v>5.748316</v>
      </c>
      <c r="K8">
        <f t="shared" ref="K8:K16" si="0">(E8/E7)*$S7</f>
        <v>11.084310549203051</v>
      </c>
      <c r="N8">
        <f t="shared" ref="N8:N16" si="1">(H8/H7)*$S7</f>
        <v>13.382267485833955</v>
      </c>
      <c r="O8">
        <f t="shared" ref="O8:O16" si="2">(I8/I7)*$S7</f>
        <v>6.7522064463940676</v>
      </c>
      <c r="P8">
        <f t="shared" ref="P8:P16" si="3">(J8/J7)*$S7</f>
        <v>8.521659922562776</v>
      </c>
      <c r="Q8">
        <f t="shared" ref="Q8:Q16" si="4">AVERAGE(K8:P8)</f>
        <v>9.9351111009984621</v>
      </c>
      <c r="S8">
        <v>9.8000000000000007</v>
      </c>
      <c r="T8" s="91"/>
      <c r="U8" s="90"/>
    </row>
    <row r="9" spans="1:21" x14ac:dyDescent="0.2">
      <c r="A9" s="181" t="s">
        <v>166</v>
      </c>
      <c r="B9" t="s">
        <v>151</v>
      </c>
      <c r="C9" t="s">
        <v>43</v>
      </c>
      <c r="D9">
        <v>20200116</v>
      </c>
      <c r="E9">
        <v>6.1335940000000004</v>
      </c>
      <c r="H9">
        <v>6.6023209999999999</v>
      </c>
      <c r="I9">
        <v>10.396917</v>
      </c>
      <c r="J9">
        <v>7.7109440000000005</v>
      </c>
      <c r="K9">
        <f t="shared" si="0"/>
        <v>14.605849851084495</v>
      </c>
      <c r="N9">
        <f t="shared" si="1"/>
        <v>16.252863170766386</v>
      </c>
      <c r="O9">
        <f t="shared" si="2"/>
        <v>11.13729602850559</v>
      </c>
      <c r="P9">
        <f t="shared" si="3"/>
        <v>13.14598070113056</v>
      </c>
      <c r="Q9">
        <f t="shared" si="4"/>
        <v>13.785497437871758</v>
      </c>
      <c r="S9">
        <v>9.9</v>
      </c>
      <c r="T9" s="91"/>
      <c r="U9" s="90"/>
    </row>
    <row r="10" spans="1:21" x14ac:dyDescent="0.2">
      <c r="A10" s="181" t="s">
        <v>166</v>
      </c>
      <c r="B10" t="s">
        <v>151</v>
      </c>
      <c r="C10" t="s">
        <v>44</v>
      </c>
      <c r="D10">
        <v>20200409</v>
      </c>
      <c r="E10">
        <v>16.006664000000001</v>
      </c>
      <c r="F10">
        <v>16.8964</v>
      </c>
      <c r="G10">
        <v>12.704959000000001</v>
      </c>
      <c r="H10">
        <v>13.736917</v>
      </c>
      <c r="I10">
        <v>16.564285000000002</v>
      </c>
      <c r="J10">
        <v>15.181845000000001</v>
      </c>
      <c r="K10">
        <f t="shared" si="0"/>
        <v>25.835745502555273</v>
      </c>
      <c r="N10">
        <f t="shared" si="1"/>
        <v>20.598131823642021</v>
      </c>
      <c r="O10">
        <f t="shared" si="2"/>
        <v>15.772600810413319</v>
      </c>
      <c r="P10">
        <f t="shared" si="3"/>
        <v>19.491811313893603</v>
      </c>
      <c r="Q10">
        <f t="shared" si="4"/>
        <v>20.424572362626055</v>
      </c>
      <c r="S10">
        <v>10</v>
      </c>
      <c r="T10" s="9"/>
      <c r="U10" s="60"/>
    </row>
    <row r="11" spans="1:21" x14ac:dyDescent="0.2">
      <c r="A11" s="181" t="s">
        <v>166</v>
      </c>
      <c r="B11" t="s">
        <v>151</v>
      </c>
      <c r="C11" t="s">
        <v>45</v>
      </c>
      <c r="D11">
        <v>20200709</v>
      </c>
      <c r="E11">
        <v>8.5628609999999998</v>
      </c>
      <c r="F11">
        <v>9.4728949999999994</v>
      </c>
      <c r="G11">
        <v>8.5026700000000002</v>
      </c>
      <c r="H11">
        <v>9.9908350000000006</v>
      </c>
      <c r="I11">
        <v>12.832328</v>
      </c>
      <c r="J11">
        <v>9.8723178000000011</v>
      </c>
      <c r="K11">
        <f t="shared" si="0"/>
        <v>5.3495600332461528</v>
      </c>
      <c r="L11">
        <f t="shared" ref="L11:L16" si="5">(F11/F10)*$S10</f>
        <v>5.6064575885987544</v>
      </c>
      <c r="M11">
        <f t="shared" ref="M11:M16" si="6">(G11/G10)*$S10</f>
        <v>6.6924025492722965</v>
      </c>
      <c r="N11">
        <f t="shared" si="1"/>
        <v>7.2729819944315022</v>
      </c>
      <c r="O11">
        <f t="shared" si="2"/>
        <v>7.746985758817841</v>
      </c>
      <c r="P11">
        <f t="shared" si="3"/>
        <v>6.5027128125731757</v>
      </c>
      <c r="Q11">
        <f t="shared" si="4"/>
        <v>6.5285167894899532</v>
      </c>
      <c r="S11">
        <v>7.6</v>
      </c>
      <c r="T11" s="9"/>
      <c r="U11" s="60"/>
    </row>
    <row r="12" spans="1:21" x14ac:dyDescent="0.2">
      <c r="A12" s="181" t="s">
        <v>166</v>
      </c>
      <c r="B12" t="s">
        <v>151</v>
      </c>
      <c r="C12" t="s">
        <v>46</v>
      </c>
      <c r="D12">
        <v>20201008</v>
      </c>
      <c r="E12">
        <v>10.993228</v>
      </c>
      <c r="F12">
        <v>13.102321999999999</v>
      </c>
      <c r="G12">
        <v>11.295643</v>
      </c>
      <c r="H12">
        <v>11.947455</v>
      </c>
      <c r="I12">
        <v>15.715780000000001</v>
      </c>
      <c r="J12">
        <v>12.6108856</v>
      </c>
      <c r="K12">
        <f t="shared" si="0"/>
        <v>9.7570815174974808</v>
      </c>
      <c r="L12">
        <f t="shared" si="5"/>
        <v>10.511849566579171</v>
      </c>
      <c r="M12">
        <f t="shared" si="6"/>
        <v>10.096462264206419</v>
      </c>
      <c r="N12">
        <f t="shared" si="1"/>
        <v>9.0883953143055596</v>
      </c>
      <c r="O12">
        <f t="shared" si="2"/>
        <v>9.3077365229442393</v>
      </c>
      <c r="P12">
        <f t="shared" si="3"/>
        <v>9.7082298708009578</v>
      </c>
      <c r="Q12">
        <f t="shared" si="4"/>
        <v>9.7449591760556373</v>
      </c>
      <c r="S12">
        <v>12.8</v>
      </c>
      <c r="T12" s="9"/>
      <c r="U12" s="60"/>
    </row>
    <row r="13" spans="1:21" x14ac:dyDescent="0.2">
      <c r="A13" s="181" t="s">
        <v>166</v>
      </c>
      <c r="B13" t="s">
        <v>151</v>
      </c>
      <c r="C13" t="s">
        <v>47</v>
      </c>
      <c r="D13">
        <v>20210114</v>
      </c>
      <c r="E13">
        <v>9.6687989999999999</v>
      </c>
      <c r="F13">
        <v>10.73996</v>
      </c>
      <c r="G13">
        <v>12.625135</v>
      </c>
      <c r="H13">
        <v>12.080962</v>
      </c>
      <c r="I13">
        <v>16.381505000000001</v>
      </c>
      <c r="J13">
        <v>12.299272200000001</v>
      </c>
      <c r="K13">
        <f t="shared" si="0"/>
        <v>11.257896879788175</v>
      </c>
      <c r="L13">
        <f t="shared" si="5"/>
        <v>10.492146964484618</v>
      </c>
      <c r="M13">
        <f t="shared" si="6"/>
        <v>14.306554128879606</v>
      </c>
      <c r="N13">
        <f t="shared" si="1"/>
        <v>12.943033775812507</v>
      </c>
      <c r="O13">
        <f t="shared" si="2"/>
        <v>13.342211713322534</v>
      </c>
      <c r="P13">
        <f t="shared" si="3"/>
        <v>12.483713606917505</v>
      </c>
      <c r="Q13">
        <f t="shared" si="4"/>
        <v>12.470926178200825</v>
      </c>
      <c r="S13">
        <v>10.8</v>
      </c>
      <c r="T13" s="9"/>
      <c r="U13" s="60"/>
    </row>
    <row r="14" spans="1:21" x14ac:dyDescent="0.2">
      <c r="A14" s="181" t="s">
        <v>166</v>
      </c>
      <c r="B14" t="s">
        <v>151</v>
      </c>
      <c r="C14" t="s">
        <v>48</v>
      </c>
      <c r="D14">
        <v>20210527</v>
      </c>
      <c r="E14">
        <v>11.411336</v>
      </c>
      <c r="F14">
        <v>11.879648</v>
      </c>
      <c r="G14">
        <v>10.304099000000001</v>
      </c>
      <c r="H14">
        <v>11.519102</v>
      </c>
      <c r="I14">
        <v>15.815618000000001</v>
      </c>
      <c r="J14">
        <v>12.185960600000001</v>
      </c>
      <c r="K14">
        <f t="shared" si="0"/>
        <v>12.746405091263147</v>
      </c>
      <c r="L14">
        <f t="shared" si="5"/>
        <v>11.946059240444098</v>
      </c>
      <c r="M14">
        <f t="shared" si="6"/>
        <v>8.8145013261244358</v>
      </c>
      <c r="N14">
        <f t="shared" si="1"/>
        <v>10.297714834298793</v>
      </c>
      <c r="O14">
        <f t="shared" si="2"/>
        <v>10.42692197084456</v>
      </c>
      <c r="P14">
        <f t="shared" si="3"/>
        <v>10.700501000376267</v>
      </c>
      <c r="Q14">
        <f t="shared" si="4"/>
        <v>10.822017243891885</v>
      </c>
      <c r="S14">
        <v>11.2</v>
      </c>
      <c r="T14" s="9"/>
      <c r="U14" s="60"/>
    </row>
    <row r="15" spans="1:21" x14ac:dyDescent="0.2">
      <c r="A15" s="181" t="s">
        <v>166</v>
      </c>
      <c r="B15" t="s">
        <v>151</v>
      </c>
      <c r="C15" t="s">
        <v>49</v>
      </c>
      <c r="D15">
        <v>20210805</v>
      </c>
      <c r="E15">
        <v>12.065989999999999</v>
      </c>
      <c r="F15">
        <v>12.172962999999999</v>
      </c>
      <c r="G15">
        <v>15.630250999999999</v>
      </c>
      <c r="H15">
        <v>13.180334</v>
      </c>
      <c r="I15">
        <v>16.349256</v>
      </c>
      <c r="J15">
        <v>13.879758799999999</v>
      </c>
      <c r="K15">
        <f t="shared" si="0"/>
        <v>11.842529919371403</v>
      </c>
      <c r="L15">
        <f t="shared" si="5"/>
        <v>11.476534119529468</v>
      </c>
      <c r="M15">
        <f t="shared" si="6"/>
        <v>16.989240029623158</v>
      </c>
      <c r="N15">
        <f t="shared" si="1"/>
        <v>12.815212574730216</v>
      </c>
      <c r="O15">
        <f t="shared" si="2"/>
        <v>11.57790148952763</v>
      </c>
      <c r="P15">
        <f t="shared" si="3"/>
        <v>12.756753748243693</v>
      </c>
      <c r="Q15">
        <f t="shared" si="4"/>
        <v>12.90969531350426</v>
      </c>
      <c r="R15">
        <v>11.5</v>
      </c>
      <c r="S15">
        <v>12.6</v>
      </c>
      <c r="T15" s="9"/>
      <c r="U15" s="60"/>
    </row>
    <row r="16" spans="1:21" x14ac:dyDescent="0.2">
      <c r="A16" s="181" t="s">
        <v>166</v>
      </c>
      <c r="B16" t="s">
        <v>151</v>
      </c>
      <c r="C16" t="s">
        <v>65</v>
      </c>
      <c r="D16" s="11">
        <v>20211104</v>
      </c>
      <c r="E16">
        <v>12.875692000000001</v>
      </c>
      <c r="F16">
        <v>11.607191</v>
      </c>
      <c r="G16">
        <v>9.1682670000000002</v>
      </c>
      <c r="H16">
        <v>12.604364</v>
      </c>
      <c r="I16">
        <v>14.92356</v>
      </c>
      <c r="J16">
        <f>AVERAGE(E16:I16)</f>
        <v>12.235814800000002</v>
      </c>
      <c r="K16">
        <f t="shared" si="0"/>
        <v>13.445537349193893</v>
      </c>
      <c r="L16">
        <f t="shared" si="5"/>
        <v>12.014380278655247</v>
      </c>
      <c r="M16">
        <f t="shared" si="6"/>
        <v>7.3908067247288614</v>
      </c>
      <c r="N16">
        <f t="shared" si="1"/>
        <v>12.049390129263795</v>
      </c>
      <c r="O16">
        <f t="shared" si="2"/>
        <v>11.50124849717932</v>
      </c>
      <c r="P16">
        <f t="shared" si="3"/>
        <v>11.107632971258839</v>
      </c>
      <c r="Q16">
        <f t="shared" si="4"/>
        <v>11.251499325046659</v>
      </c>
      <c r="R16" s="6">
        <f>'1. Data &amp; Confidence Interval'!X14</f>
        <v>11</v>
      </c>
      <c r="S16" s="10"/>
    </row>
    <row r="17" spans="1:19" x14ac:dyDescent="0.2">
      <c r="A17" s="166" t="s">
        <v>69</v>
      </c>
      <c r="B17" s="167"/>
      <c r="C17" s="167"/>
      <c r="D17" s="167"/>
      <c r="E17" s="100">
        <f>CORREL(E6:E15,$S$6:$S$15)</f>
        <v>0.40515208376870282</v>
      </c>
      <c r="F17" s="100">
        <f t="shared" ref="F17:R17" si="7">CORREL(F6:F15,$S$6:$S$15)</f>
        <v>0.26987549669904676</v>
      </c>
      <c r="G17" s="101">
        <f t="shared" si="7"/>
        <v>0.65036785032303002</v>
      </c>
      <c r="H17" s="100">
        <f t="shared" si="7"/>
        <v>0.51371754389945223</v>
      </c>
      <c r="I17" s="100">
        <f t="shared" si="7"/>
        <v>0.56007938110044242</v>
      </c>
      <c r="J17" s="100">
        <f t="shared" si="7"/>
        <v>0.54734948460828214</v>
      </c>
      <c r="K17" s="100">
        <f t="shared" si="7"/>
        <v>0.23022036306637059</v>
      </c>
      <c r="L17" s="100">
        <f t="shared" si="7"/>
        <v>0.87317107952762274</v>
      </c>
      <c r="M17" s="101">
        <f t="shared" si="7"/>
        <v>0.61443781359598315</v>
      </c>
      <c r="N17" s="100">
        <f t="shared" si="7"/>
        <v>-1.185101300373274E-2</v>
      </c>
      <c r="O17" s="100">
        <f t="shared" si="7"/>
        <v>0.22476249382990907</v>
      </c>
      <c r="P17" s="100">
        <f t="shared" si="7"/>
        <v>0.21221710518787501</v>
      </c>
      <c r="Q17" s="100">
        <f t="shared" si="7"/>
        <v>0.32367165667690223</v>
      </c>
      <c r="R17" s="100" t="e">
        <f t="shared" si="7"/>
        <v>#DIV/0!</v>
      </c>
      <c r="S17" s="5"/>
    </row>
    <row r="19" spans="1:19" x14ac:dyDescent="0.2">
      <c r="A19" s="169" t="s">
        <v>71</v>
      </c>
      <c r="B19" s="170"/>
    </row>
    <row r="20" spans="1:19" x14ac:dyDescent="0.2">
      <c r="A20" s="16" t="s">
        <v>50</v>
      </c>
      <c r="B20" s="16" t="s">
        <v>51</v>
      </c>
      <c r="C20" s="16" t="s">
        <v>62</v>
      </c>
      <c r="D20" s="16" t="s">
        <v>52</v>
      </c>
      <c r="E20" s="16" t="s">
        <v>53</v>
      </c>
      <c r="F20" s="16" t="s">
        <v>63</v>
      </c>
      <c r="G20" s="16" t="s">
        <v>54</v>
      </c>
      <c r="H20" s="16" t="s">
        <v>55</v>
      </c>
      <c r="I20" s="16" t="s">
        <v>64</v>
      </c>
      <c r="J20" s="16" t="s">
        <v>56</v>
      </c>
      <c r="K20" s="16" t="s">
        <v>57</v>
      </c>
      <c r="L20" s="16" t="s">
        <v>67</v>
      </c>
      <c r="M20" s="16" t="s">
        <v>58</v>
      </c>
      <c r="N20" s="16" t="s">
        <v>59</v>
      </c>
      <c r="O20" s="16" t="s">
        <v>68</v>
      </c>
      <c r="P20" s="16" t="s">
        <v>60</v>
      </c>
      <c r="Q20" s="16" t="s">
        <v>61</v>
      </c>
      <c r="R20" s="16" t="s">
        <v>0</v>
      </c>
    </row>
    <row r="21" spans="1:19" x14ac:dyDescent="0.2">
      <c r="A21" s="9" t="str">
        <f t="shared" ref="A21:D21" si="8">A6</f>
        <v>NPCE</v>
      </c>
      <c r="B21" s="9" t="str">
        <f t="shared" si="8"/>
        <v>Total Revenue</v>
      </c>
      <c r="C21" s="9" t="str">
        <f t="shared" si="8"/>
        <v>2019Q1</v>
      </c>
      <c r="D21" s="9">
        <f t="shared" si="8"/>
        <v>20190411</v>
      </c>
      <c r="E21" s="17">
        <f t="shared" ref="E21:Q21" si="9">$S6/E6-1</f>
        <v>-0.12311610123820094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82"/>
    </row>
    <row r="22" spans="1:19" x14ac:dyDescent="0.2">
      <c r="A22" s="9" t="str">
        <f t="shared" ref="A22:D22" si="10">A7</f>
        <v>NPCE</v>
      </c>
      <c r="B22" s="9" t="str">
        <f t="shared" si="10"/>
        <v>Total Revenue</v>
      </c>
      <c r="C22" s="9" t="str">
        <f t="shared" si="10"/>
        <v>2019Q2</v>
      </c>
      <c r="D22" s="9">
        <f t="shared" si="10"/>
        <v>20190711</v>
      </c>
      <c r="E22" s="17">
        <f t="shared" ref="E22:Q23" si="11">$S7/E7-1</f>
        <v>1.6933600594454492</v>
      </c>
      <c r="F22" s="17"/>
      <c r="G22" s="17"/>
      <c r="H22" s="17">
        <f t="shared" ref="H22:Q22" si="12">$S7/H7-1</f>
        <v>2.3615290923535297</v>
      </c>
      <c r="I22" s="17">
        <f t="shared" si="12"/>
        <v>-0.26193463988396959</v>
      </c>
      <c r="J22" s="17">
        <f t="shared" si="12"/>
        <v>0.48246198061532719</v>
      </c>
      <c r="K22" s="17">
        <f t="shared" si="12"/>
        <v>2.0715127319005391</v>
      </c>
      <c r="L22" s="17"/>
      <c r="M22" s="17"/>
      <c r="N22" s="17"/>
      <c r="O22" s="17"/>
      <c r="P22" s="17"/>
      <c r="Q22" s="17">
        <f t="shared" si="12"/>
        <v>2.0715127319005391</v>
      </c>
      <c r="R22" s="182"/>
    </row>
    <row r="23" spans="1:19" x14ac:dyDescent="0.2">
      <c r="A23" s="9" t="str">
        <f t="shared" ref="A23:D23" si="13">A8</f>
        <v>NPCE</v>
      </c>
      <c r="B23" s="9" t="str">
        <f t="shared" si="13"/>
        <v>Total Revenue</v>
      </c>
      <c r="C23" s="9" t="str">
        <f t="shared" si="13"/>
        <v>2019Q3</v>
      </c>
      <c r="D23" s="9">
        <f t="shared" si="13"/>
        <v>20191010</v>
      </c>
      <c r="E23" s="17">
        <f t="shared" si="11"/>
        <v>1.3812873579641063</v>
      </c>
      <c r="F23" s="17"/>
      <c r="G23" s="17"/>
      <c r="H23" s="17">
        <f t="shared" si="11"/>
        <v>1.4616893317920145</v>
      </c>
      <c r="I23" s="17">
        <f t="shared" si="11"/>
        <v>7.1211401274588582E-2</v>
      </c>
      <c r="J23" s="17">
        <f t="shared" si="11"/>
        <v>0.70484712392290216</v>
      </c>
      <c r="K23" s="17">
        <f t="shared" si="11"/>
        <v>-0.11586742752307599</v>
      </c>
      <c r="L23" s="17"/>
      <c r="M23" s="17"/>
      <c r="N23" s="17">
        <f t="shared" si="11"/>
        <v>-0.26768763138429486</v>
      </c>
      <c r="O23" s="17">
        <f t="shared" si="11"/>
        <v>0.45137742422457627</v>
      </c>
      <c r="P23" s="17">
        <f t="shared" si="11"/>
        <v>0.15001068912085636</v>
      </c>
      <c r="Q23" s="17">
        <f t="shared" si="11"/>
        <v>-1.3599354815959974E-2</v>
      </c>
      <c r="R23" s="38"/>
    </row>
    <row r="24" spans="1:19" x14ac:dyDescent="0.2">
      <c r="A24" s="9" t="str">
        <f>A9</f>
        <v>NPCE</v>
      </c>
      <c r="B24" s="9" t="str">
        <f>B9</f>
        <v>Total Revenue</v>
      </c>
      <c r="C24" s="9" t="str">
        <f>C9</f>
        <v>2019Q4</v>
      </c>
      <c r="D24" s="9">
        <f>D9</f>
        <v>20200116</v>
      </c>
      <c r="E24" s="17">
        <f>$S9/E9-1</f>
        <v>0.61406183715452967</v>
      </c>
      <c r="F24" s="17"/>
      <c r="G24" s="17"/>
      <c r="H24" s="17">
        <f>$S9/H9-1</f>
        <v>0.49947268543895396</v>
      </c>
      <c r="I24" s="17">
        <f>$S9/I9-1</f>
        <v>-4.7794649125312838E-2</v>
      </c>
      <c r="J24" s="17">
        <f>$S9/J9-1</f>
        <v>0.28388949524208695</v>
      </c>
      <c r="K24" s="17">
        <f>$S9/K9-1</f>
        <v>-0.32218938980363965</v>
      </c>
      <c r="L24" s="17"/>
      <c r="M24" s="17"/>
      <c r="N24" s="17">
        <f>$S9/N9-1</f>
        <v>-0.39087655535014409</v>
      </c>
      <c r="O24" s="17">
        <f>$S9/O9-1</f>
        <v>-0.11109483175617907</v>
      </c>
      <c r="P24" s="17">
        <f>$S9/P9-1</f>
        <v>-0.24691810941510084</v>
      </c>
      <c r="Q24" s="17">
        <f>$S9/Q9-1</f>
        <v>-0.28185398861251476</v>
      </c>
      <c r="R24" s="38"/>
    </row>
    <row r="25" spans="1:19" x14ac:dyDescent="0.2">
      <c r="A25" s="9" t="str">
        <f>A10</f>
        <v>NPCE</v>
      </c>
      <c r="B25" s="9" t="str">
        <f>B10</f>
        <v>Total Revenue</v>
      </c>
      <c r="C25" s="9" t="str">
        <f>C10</f>
        <v>2020Q1</v>
      </c>
      <c r="D25" s="9">
        <f>D10</f>
        <v>20200409</v>
      </c>
      <c r="E25" s="17">
        <f>$S10/E10-1</f>
        <v>-0.37526020412498196</v>
      </c>
      <c r="F25" s="17">
        <f>$S10/F10-1</f>
        <v>-0.40815795080608885</v>
      </c>
      <c r="G25" s="17">
        <f>$S10/G10-1</f>
        <v>-0.21290576380451132</v>
      </c>
      <c r="H25" s="17">
        <f>$S10/H10-1</f>
        <v>-0.27203462028634229</v>
      </c>
      <c r="I25" s="17">
        <f>$S10/I10-1</f>
        <v>-0.39629147892589389</v>
      </c>
      <c r="J25" s="17">
        <f>$S10/J10-1</f>
        <v>-0.34131852880858693</v>
      </c>
      <c r="K25" s="17">
        <f>$S10/K10-1</f>
        <v>-0.61293936731916809</v>
      </c>
      <c r="L25" s="17"/>
      <c r="M25" s="17"/>
      <c r="N25" s="17">
        <f>$S10/N10-1</f>
        <v>-0.5145190794185398</v>
      </c>
      <c r="O25" s="17">
        <f>$S10/O10-1</f>
        <v>-0.36598915294947154</v>
      </c>
      <c r="P25" s="17">
        <f>$S10/P10-1</f>
        <v>-0.4869640466470101</v>
      </c>
      <c r="Q25" s="17">
        <f>$S10/Q10-1</f>
        <v>-0.51039366590124935</v>
      </c>
      <c r="R25" s="38"/>
    </row>
    <row r="26" spans="1:19" x14ac:dyDescent="0.2">
      <c r="A26" s="9" t="str">
        <f>A11</f>
        <v>NPCE</v>
      </c>
      <c r="B26" s="9" t="str">
        <f>B11</f>
        <v>Total Revenue</v>
      </c>
      <c r="C26" s="9" t="str">
        <f>C11</f>
        <v>2020Q2</v>
      </c>
      <c r="D26" s="9">
        <f>D11</f>
        <v>20200709</v>
      </c>
      <c r="E26" s="17">
        <f>$S11/E11-1</f>
        <v>-0.11244617891146436</v>
      </c>
      <c r="F26" s="17">
        <f>$S11/F11-1</f>
        <v>-0.1977109426421384</v>
      </c>
      <c r="G26" s="17">
        <f>$S11/G11-1</f>
        <v>-0.10616312287787255</v>
      </c>
      <c r="H26" s="17">
        <f>$S11/H11-1</f>
        <v>-0.23930282103547906</v>
      </c>
      <c r="I26" s="17">
        <f>$S11/I11-1</f>
        <v>-0.40774581198360893</v>
      </c>
      <c r="J26" s="17">
        <f>$S11/J11-1</f>
        <v>-0.23017064949023436</v>
      </c>
      <c r="K26" s="17">
        <f>$S11/K11-1</f>
        <v>0.42067757960803043</v>
      </c>
      <c r="L26" s="17">
        <f>$S11/L11-1</f>
        <v>0.35557968287413733</v>
      </c>
      <c r="M26" s="17">
        <f>$S11/M11-1</f>
        <v>0.13561608765246658</v>
      </c>
      <c r="N26" s="17">
        <f>$S11/N11-1</f>
        <v>4.496340095697704E-2</v>
      </c>
      <c r="O26" s="17">
        <f>$S11/O11-1</f>
        <v>-1.8973283725291168E-2</v>
      </c>
      <c r="P26" s="17">
        <f>$S11/P11-1</f>
        <v>0.16874298758899342</v>
      </c>
      <c r="Q26" s="17">
        <f>$S11/Q11-1</f>
        <v>0.16412352836941357</v>
      </c>
      <c r="R26" s="38"/>
    </row>
    <row r="27" spans="1:19" x14ac:dyDescent="0.2">
      <c r="A27" s="9" t="str">
        <f>A12</f>
        <v>NPCE</v>
      </c>
      <c r="B27" s="9" t="str">
        <f>B12</f>
        <v>Total Revenue</v>
      </c>
      <c r="C27" s="9" t="str">
        <f>C12</f>
        <v>2020Q3</v>
      </c>
      <c r="D27" s="9">
        <f>D12</f>
        <v>20201008</v>
      </c>
      <c r="E27" s="17">
        <f>$S12/E12-1</f>
        <v>0.16435318179519243</v>
      </c>
      <c r="F27" s="17">
        <f>$S12/F12-1</f>
        <v>-2.3073925369869408E-2</v>
      </c>
      <c r="G27" s="17">
        <f>$S12/G12-1</f>
        <v>0.13318028907252111</v>
      </c>
      <c r="H27" s="17">
        <f>$S12/H12-1</f>
        <v>7.1357874961655021E-2</v>
      </c>
      <c r="I27" s="17">
        <f>$S12/I12-1</f>
        <v>-0.18553199395766551</v>
      </c>
      <c r="J27" s="17">
        <f>$S12/J12-1</f>
        <v>1.499612366636649E-2</v>
      </c>
      <c r="K27" s="17">
        <f>$S12/K12-1</f>
        <v>0.31186769087104804</v>
      </c>
      <c r="L27" s="17">
        <f>$S12/L12-1</f>
        <v>0.21767343785965654</v>
      </c>
      <c r="M27" s="17">
        <f>$S12/M12-1</f>
        <v>0.26777079585371766</v>
      </c>
      <c r="N27" s="17">
        <f>$S12/N12-1</f>
        <v>0.4083894414069118</v>
      </c>
      <c r="O27" s="17">
        <f>$S12/O12-1</f>
        <v>0.37520007882121309</v>
      </c>
      <c r="P27" s="17">
        <f>$S12/P12-1</f>
        <v>0.31846898665821999</v>
      </c>
      <c r="Q27" s="17">
        <f>$S12/Q12-1</f>
        <v>0.31349960207641625</v>
      </c>
      <c r="R27" s="38"/>
    </row>
    <row r="28" spans="1:19" x14ac:dyDescent="0.2">
      <c r="A28" s="9" t="str">
        <f>A13</f>
        <v>NPCE</v>
      </c>
      <c r="B28" s="9" t="str">
        <f>B13</f>
        <v>Total Revenue</v>
      </c>
      <c r="C28" s="9" t="str">
        <f>C13</f>
        <v>2020Q4</v>
      </c>
      <c r="D28" s="9">
        <f>D13</f>
        <v>20210114</v>
      </c>
      <c r="E28" s="17">
        <f>$S13/E13-1</f>
        <v>0.11699498562334387</v>
      </c>
      <c r="F28" s="17">
        <f>$S13/F13-1</f>
        <v>5.5903373941803558E-3</v>
      </c>
      <c r="G28" s="17">
        <f>$S13/G13-1</f>
        <v>-0.1445636026862287</v>
      </c>
      <c r="H28" s="17">
        <f>$S13/H13-1</f>
        <v>-0.10603145676643955</v>
      </c>
      <c r="I28" s="17">
        <f>$S13/I13-1</f>
        <v>-0.3407199155388958</v>
      </c>
      <c r="J28" s="17">
        <f>$S13/J13-1</f>
        <v>-0.12189926164899412</v>
      </c>
      <c r="K28" s="17">
        <f>$S13/K13-1</f>
        <v>-4.0673394389520334E-2</v>
      </c>
      <c r="L28" s="17">
        <f>$S13/L13-1</f>
        <v>2.9341281298999045E-2</v>
      </c>
      <c r="M28" s="17">
        <f>$S13/M13-1</f>
        <v>-0.24510123802636574</v>
      </c>
      <c r="N28" s="17">
        <f>$S13/N13-1</f>
        <v>-0.16557430142980345</v>
      </c>
      <c r="O28" s="17">
        <f>$S13/O13-1</f>
        <v>-0.19053900267405222</v>
      </c>
      <c r="P28" s="17">
        <f>$S13/P13-1</f>
        <v>-0.13487281588905731</v>
      </c>
      <c r="Q28" s="17">
        <f>$S13/Q13-1</f>
        <v>-0.13398573244075507</v>
      </c>
      <c r="R28" s="38"/>
    </row>
    <row r="29" spans="1:19" x14ac:dyDescent="0.2">
      <c r="A29" s="9" t="str">
        <f>A14</f>
        <v>NPCE</v>
      </c>
      <c r="B29" s="9" t="str">
        <f>B14</f>
        <v>Total Revenue</v>
      </c>
      <c r="C29" s="9" t="str">
        <f>C14</f>
        <v>2021Q1</v>
      </c>
      <c r="D29" s="9">
        <f>D14</f>
        <v>20210527</v>
      </c>
      <c r="E29" s="17">
        <f>$S14/E14-1</f>
        <v>-1.8519829755254014E-2</v>
      </c>
      <c r="F29" s="17">
        <f>$S14/F14-1</f>
        <v>-5.7211122753805577E-2</v>
      </c>
      <c r="G29" s="17">
        <f>$S14/G14-1</f>
        <v>8.6946078448974395E-2</v>
      </c>
      <c r="H29" s="17">
        <f>$S14/H14-1</f>
        <v>-2.7701985797156881E-2</v>
      </c>
      <c r="I29" s="17">
        <f>$S14/I14-1</f>
        <v>-0.29183924396757688</v>
      </c>
      <c r="J29" s="17">
        <f>$S14/J14-1</f>
        <v>-8.0909550946685505E-2</v>
      </c>
      <c r="K29" s="17">
        <f>$S14/K14-1</f>
        <v>-0.12132088068683078</v>
      </c>
      <c r="L29" s="17">
        <f>$S14/L14-1</f>
        <v>-6.2452330549163104E-2</v>
      </c>
      <c r="M29" s="17">
        <f>$S14/M14-1</f>
        <v>0.27063342390174894</v>
      </c>
      <c r="N29" s="17">
        <f>$S14/N14-1</f>
        <v>8.7619940950000696E-2</v>
      </c>
      <c r="O29" s="17">
        <f>$S14/O14-1</f>
        <v>7.4142496828603521E-2</v>
      </c>
      <c r="P29" s="17">
        <f>$S14/P14-1</f>
        <v>4.6679963826569359E-2</v>
      </c>
      <c r="Q29" s="17">
        <f>$S14/Q14-1</f>
        <v>3.4927199577458934E-2</v>
      </c>
      <c r="R29" s="38"/>
    </row>
    <row r="30" spans="1:19" x14ac:dyDescent="0.2">
      <c r="A30" s="9" t="str">
        <f>A15</f>
        <v>NPCE</v>
      </c>
      <c r="B30" s="9" t="str">
        <f>B15</f>
        <v>Total Revenue</v>
      </c>
      <c r="C30" s="9" t="str">
        <f>C15</f>
        <v>2021Q2</v>
      </c>
      <c r="D30" s="9">
        <f>D15</f>
        <v>20210805</v>
      </c>
      <c r="E30" s="17">
        <f>$S15/E15-1</f>
        <v>4.4257454216355185E-2</v>
      </c>
      <c r="F30" s="17">
        <f>$S15/F15-1</f>
        <v>3.5080776964490967E-2</v>
      </c>
      <c r="G30" s="17">
        <f>$S15/G15-1</f>
        <v>-0.19387091096617703</v>
      </c>
      <c r="H30" s="17">
        <f>$S15/H15-1</f>
        <v>-4.4030295438643674E-2</v>
      </c>
      <c r="I30" s="17">
        <f>$S15/I15-1</f>
        <v>-0.22932272881408189</v>
      </c>
      <c r="J30" s="17">
        <f>$S15/J15-1</f>
        <v>-9.2203244915178173E-2</v>
      </c>
      <c r="K30" s="17">
        <f>$S15/K15-1</f>
        <v>6.3961846479236417E-2</v>
      </c>
      <c r="L30" s="17">
        <f>$S15/L15-1</f>
        <v>9.7892435884344486E-2</v>
      </c>
      <c r="M30" s="17">
        <f>$S15/M15-1</f>
        <v>-0.25835411248354212</v>
      </c>
      <c r="N30" s="17">
        <f>$S15/N15-1</f>
        <v>-1.6793523593559789E-2</v>
      </c>
      <c r="O30" s="17">
        <f>$S15/O15-1</f>
        <v>8.8280118067757929E-2</v>
      </c>
      <c r="P30" s="17">
        <f>$S15/P15-1</f>
        <v>-1.2287902654331218E-2</v>
      </c>
      <c r="Q30" s="17">
        <f>$S15/Q15-1</f>
        <v>-2.3989358848794939E-2</v>
      </c>
      <c r="R30" s="38">
        <f>$S15/R15-1</f>
        <v>9.565217391304337E-2</v>
      </c>
    </row>
    <row r="31" spans="1:19" x14ac:dyDescent="0.2">
      <c r="A31" s="175" t="s">
        <v>72</v>
      </c>
      <c r="B31" s="175"/>
      <c r="C31" s="171"/>
      <c r="D31" s="172"/>
      <c r="E31" s="71" cm="1">
        <f t="array" ref="E31">SUM(ABS(E23:E30))/COUNT(E23:E30)</f>
        <v>0.3533976286931535</v>
      </c>
      <c r="F31" s="71" cm="1">
        <f t="array" ref="F31">SUM(ABS(F23:F30))/COUNT(F23:F30)</f>
        <v>0.12113750932176226</v>
      </c>
      <c r="G31" s="104" cm="1">
        <f t="array" ref="G31">SUM(ABS(G23:G30))/COUNT(G23:G30)</f>
        <v>0.14627162797604751</v>
      </c>
      <c r="H31" s="71" cm="1">
        <f t="array" ref="H31">SUM(ABS(H23:H30))/COUNT(H23:H30)</f>
        <v>0.34020263393958561</v>
      </c>
      <c r="I31" s="71" cm="1">
        <f t="array" ref="I31">SUM(ABS(I23:I30))/COUNT(I23:I30)</f>
        <v>0.24630715294845301</v>
      </c>
      <c r="J31" s="104" cm="1">
        <f t="array" ref="J31">SUM(ABS(J22:J30))/COUNT(J22:J30)</f>
        <v>0.2614106621395958</v>
      </c>
      <c r="K31" s="71" cm="1">
        <f t="array" ref="K31">SUM(ABS(K23:K30))/COUNT(K23:K30)</f>
        <v>0.2511871970850687</v>
      </c>
      <c r="L31" s="71" cm="1">
        <f t="array" ref="L31">SUM(ABS(L23:L30))/COUNT(L23:L30)</f>
        <v>0.15258783369326009</v>
      </c>
      <c r="M31" s="71" cm="1">
        <f t="array" ref="M31">SUM(ABS(M23:M30))/COUNT(M23:M30)</f>
        <v>0.23549513158356819</v>
      </c>
      <c r="N31" s="71" cm="1">
        <f t="array" ref="N31">SUM(ABS(N23:N30))/COUNT(N23:N30)</f>
        <v>0.23705298431127897</v>
      </c>
      <c r="O31" s="71" cm="1">
        <f t="array" ref="O31">SUM(ABS(O23:O30))/COUNT(O23:O30)</f>
        <v>0.20944954863089313</v>
      </c>
      <c r="P31" s="71" cm="1">
        <f t="array" ref="P31">SUM(ABS(P23:P30))/COUNT(P23:P30)</f>
        <v>0.19561818772501732</v>
      </c>
      <c r="Q31" s="71" cm="1">
        <f t="array" ref="Q31">SUM(ABS(Q23:Q30))/COUNT(Q23:Q30)</f>
        <v>0.18454655383032034</v>
      </c>
      <c r="R31" s="104" cm="1">
        <f t="array" ref="R31">SUM(ABS(R23:R30))/COUNT(R23:R30)</f>
        <v>9.565217391304337E-2</v>
      </c>
    </row>
    <row r="32" spans="1:19" x14ac:dyDescent="0.2">
      <c r="A32" s="176" t="s">
        <v>73</v>
      </c>
      <c r="B32" s="176"/>
      <c r="C32" s="173"/>
      <c r="D32" s="174"/>
      <c r="E32" s="72" cm="1">
        <f t="array" ref="E32">SQRT(SUM(POWER(E23:E30,2))/COUNT(E23:E30))</f>
        <v>0.55694395706029698</v>
      </c>
      <c r="F32" s="72" cm="1">
        <f t="array" ref="F32">SQRT(SUM(POWER(F23:F30,2))/COUNT(F23:F30))</f>
        <v>0.18741663081221252</v>
      </c>
      <c r="G32" s="105" cm="1">
        <f t="array" ref="G32">SQRT(SUM(POWER(G23:G30,2))/COUNT(G23:G30))</f>
        <v>0.15296004283032941</v>
      </c>
      <c r="H32" s="72" cm="1">
        <f t="array" ref="H32">SQRT(SUM(POWER(H23:H30,2))/COUNT(H23:H30))</f>
        <v>0.56306283219999476</v>
      </c>
      <c r="I32" s="72" cm="1">
        <f t="array" ref="I32">SQRT(SUM(POWER(I23:I30,2))/COUNT(I23:I30))</f>
        <v>0.27814794074219529</v>
      </c>
      <c r="J32" s="105" cm="1">
        <f t="array" ref="J32">SQRT(SUM(POWER(J22:J30,2))/COUNT(J22:J30))</f>
        <v>0.3349595746534435</v>
      </c>
      <c r="K32" s="72" cm="1">
        <f t="array" ref="K32">SQRT(SUM(POWER(K23:K30,2))/COUNT(K23:K30))</f>
        <v>0.31377165526330936</v>
      </c>
      <c r="L32" s="72" cm="1">
        <f t="array" ref="L32">SQRT(SUM(POWER(L23:L30,2))/COUNT(L23:L30))</f>
        <v>0.19399111825296189</v>
      </c>
      <c r="M32" s="72" cm="1">
        <f t="array" ref="M32">SQRT(SUM(POWER(M23:M30,2))/COUNT(M23:M30))</f>
        <v>0.24089700570754072</v>
      </c>
      <c r="N32" s="72" cm="1">
        <f t="array" ref="N32">SQRT(SUM(POWER(N23:N30,2))/COUNT(N23:N30))</f>
        <v>0.29439531281578557</v>
      </c>
      <c r="O32" s="72" cm="1">
        <f t="array" ref="O32">SQRT(SUM(POWER(O23:O30,2))/COUNT(O23:O30))</f>
        <v>0.25999095803605426</v>
      </c>
      <c r="P32" s="72" cm="1">
        <f t="array" ref="P32">SQRT(SUM(POWER(P23:P30,2))/COUNT(P23:P30))</f>
        <v>0.24264766681816191</v>
      </c>
      <c r="Q32" s="72" cm="1">
        <f t="array" ref="Q32">SQRT(SUM(POWER(Q23:Q30,2))/COUNT(Q23:Q30))</f>
        <v>0.24624541003661182</v>
      </c>
      <c r="R32" s="105" cm="1">
        <f t="array" ref="R32">SQRT(SUM(POWER(R23:R30,2))/COUNT(R23:R30))</f>
        <v>9.565217391304337E-2</v>
      </c>
    </row>
    <row r="33" spans="2:18" x14ac:dyDescent="0.2">
      <c r="F33" t="s">
        <v>163</v>
      </c>
      <c r="G33" s="3">
        <f>AVERAGE(G23:G30)</f>
        <v>-7.2896172135549012E-2</v>
      </c>
      <c r="H33">
        <f>$G$16/(1+G33)</f>
        <v>9.8891480376246097</v>
      </c>
      <c r="I33" s="3"/>
      <c r="J33" s="3"/>
      <c r="R33">
        <f>$R$16*(1+R30)</f>
        <v>12.052173913043477</v>
      </c>
    </row>
    <row r="34" spans="2:18" x14ac:dyDescent="0.2">
      <c r="B34" t="s">
        <v>152</v>
      </c>
      <c r="F34" t="s">
        <v>92</v>
      </c>
      <c r="G34" s="3">
        <f>MEDIAN(G23:G30)</f>
        <v>-0.12536336278205062</v>
      </c>
      <c r="H34">
        <f t="shared" ref="H34:H38" si="14">$G$16/(1+G34)</f>
        <v>10.482372461737357</v>
      </c>
      <c r="J34" s="3"/>
      <c r="R34">
        <f>$R$16/(1+R31)</f>
        <v>10.039682539682541</v>
      </c>
    </row>
    <row r="35" spans="2:18" x14ac:dyDescent="0.2">
      <c r="F35" t="s">
        <v>164</v>
      </c>
      <c r="G35" s="3">
        <f>AVERAGE(G27:G29,G24:G25)</f>
        <v>-3.4335749742311128E-2</v>
      </c>
      <c r="H35">
        <f t="shared" si="14"/>
        <v>9.4942595188269987</v>
      </c>
    </row>
    <row r="36" spans="2:18" x14ac:dyDescent="0.2">
      <c r="F36" t="s">
        <v>164</v>
      </c>
      <c r="G36" s="3">
        <f>MEDIAN(G27:G29,G24:G25)</f>
        <v>-2.8808762118627151E-2</v>
      </c>
      <c r="H36">
        <f t="shared" si="14"/>
        <v>9.4402282911863207</v>
      </c>
      <c r="I36" s="2">
        <f>H36/R16-1</f>
        <v>-0.14179742807397089</v>
      </c>
    </row>
    <row r="37" spans="2:18" x14ac:dyDescent="0.2">
      <c r="F37" t="s">
        <v>165</v>
      </c>
      <c r="G37" s="3">
        <f>AVERAGE(G30,G26,G23)</f>
        <v>-0.15001701692202479</v>
      </c>
      <c r="H37">
        <f t="shared" si="14"/>
        <v>10.786412413575258</v>
      </c>
    </row>
    <row r="38" spans="2:18" x14ac:dyDescent="0.2">
      <c r="F38" t="s">
        <v>165</v>
      </c>
      <c r="G38" s="3">
        <f>MEDIAN(G30,G26,G23)</f>
        <v>-0.15001701692202479</v>
      </c>
      <c r="H38">
        <f t="shared" si="14"/>
        <v>10.786412413575258</v>
      </c>
    </row>
  </sheetData>
  <mergeCells count="7">
    <mergeCell ref="A17:D17"/>
    <mergeCell ref="A4:B4"/>
    <mergeCell ref="A19:B19"/>
    <mergeCell ref="C31:D31"/>
    <mergeCell ref="C32:D32"/>
    <mergeCell ref="A31:B31"/>
    <mergeCell ref="A32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37"/>
  <sheetViews>
    <sheetView zoomScale="85" zoomScaleNormal="85" workbookViewId="0">
      <selection activeCell="B9" sqref="B9"/>
    </sheetView>
  </sheetViews>
  <sheetFormatPr defaultRowHeight="12.75" x14ac:dyDescent="0.2"/>
  <cols>
    <col min="1" max="1" width="9.140625" style="65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5" t="s">
        <v>98</v>
      </c>
      <c r="B1" t="s">
        <v>78</v>
      </c>
    </row>
    <row r="2" spans="1:17" x14ac:dyDescent="0.2">
      <c r="A2" s="65" t="s">
        <v>93</v>
      </c>
      <c r="B2" t="s">
        <v>76</v>
      </c>
    </row>
    <row r="3" spans="1:17" x14ac:dyDescent="0.2">
      <c r="A3" s="65" t="s">
        <v>94</v>
      </c>
      <c r="B3" t="s">
        <v>141</v>
      </c>
    </row>
    <row r="4" spans="1:17" x14ac:dyDescent="0.2">
      <c r="A4" s="65" t="s">
        <v>95</v>
      </c>
      <c r="B4" t="s">
        <v>161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5" t="s">
        <v>96</v>
      </c>
      <c r="B7" s="177" t="s">
        <v>77</v>
      </c>
      <c r="C7" s="177"/>
      <c r="D7" s="177" t="s">
        <v>106</v>
      </c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6"/>
      <c r="P7" s="6"/>
      <c r="Q7" s="6"/>
    </row>
    <row r="8" spans="1:17" x14ac:dyDescent="0.2">
      <c r="B8" t="s">
        <v>162</v>
      </c>
      <c r="O8" s="6"/>
      <c r="P8" s="6"/>
      <c r="Q8" s="6"/>
    </row>
    <row r="9" spans="1:17" x14ac:dyDescent="0.2">
      <c r="O9" s="6"/>
      <c r="P9" s="6"/>
      <c r="Q9" s="6"/>
    </row>
    <row r="10" spans="1:17" x14ac:dyDescent="0.2">
      <c r="O10" s="6"/>
      <c r="P10" s="6"/>
      <c r="Q10" s="6"/>
    </row>
    <row r="11" spans="1:17" x14ac:dyDescent="0.2">
      <c r="O11" s="6"/>
      <c r="P11" s="6"/>
      <c r="Q11" s="6"/>
    </row>
    <row r="12" spans="1:17" x14ac:dyDescent="0.2">
      <c r="A12" s="65" t="s">
        <v>97</v>
      </c>
      <c r="B12" t="s">
        <v>133</v>
      </c>
      <c r="O12" s="6"/>
      <c r="P12" s="6"/>
      <c r="Q12" s="6"/>
    </row>
    <row r="13" spans="1:17" x14ac:dyDescent="0.2">
      <c r="B13" t="s">
        <v>134</v>
      </c>
      <c r="H13" s="66" t="s">
        <v>100</v>
      </c>
      <c r="O13" s="6"/>
      <c r="P13" s="6"/>
      <c r="Q13" s="6"/>
    </row>
    <row r="14" spans="1:17" x14ac:dyDescent="0.2">
      <c r="H14" s="66"/>
      <c r="O14" s="6"/>
      <c r="P14" s="6"/>
      <c r="Q14" s="6"/>
    </row>
    <row r="15" spans="1:17" x14ac:dyDescent="0.2">
      <c r="O15" s="6"/>
      <c r="P15" s="6"/>
      <c r="Q15" s="6"/>
    </row>
    <row r="16" spans="1:17" x14ac:dyDescent="0.2">
      <c r="O16" s="6"/>
      <c r="P16" s="6"/>
      <c r="Q16" s="6"/>
    </row>
    <row r="17" spans="1:17" x14ac:dyDescent="0.2">
      <c r="A17" s="65" t="s">
        <v>99</v>
      </c>
      <c r="B17" s="178" t="s">
        <v>102</v>
      </c>
      <c r="C17" s="178"/>
      <c r="D17" s="178"/>
      <c r="E17" s="178"/>
      <c r="F17" s="64" t="e">
        <f>#REF!+#REF!*'2. Past Proj &amp; Candidate Model'!#REF!</f>
        <v>#REF!</v>
      </c>
      <c r="G17" s="67" t="s">
        <v>103</v>
      </c>
      <c r="H17" s="2" t="e">
        <f>'2. Past Proj &amp; Candidate Model'!#REF!/'3. Improved Alpha Model'!F17-1</f>
        <v>#REF!</v>
      </c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B21" s="179" t="s">
        <v>153</v>
      </c>
      <c r="C21" s="179"/>
      <c r="D21" s="179"/>
      <c r="E21" s="3" t="e">
        <f>#REF!</f>
        <v>#REF!</v>
      </c>
      <c r="F21" t="s">
        <v>104</v>
      </c>
      <c r="G21" s="179" t="s">
        <v>105</v>
      </c>
      <c r="H21" s="179"/>
      <c r="I21" s="3" t="e">
        <f>#REF!</f>
        <v>#REF!</v>
      </c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A24" s="65" t="s">
        <v>101</v>
      </c>
      <c r="B24" t="s">
        <v>107</v>
      </c>
      <c r="O24" s="6"/>
      <c r="P24" s="6"/>
      <c r="Q24" s="6"/>
    </row>
    <row r="25" spans="1:17" x14ac:dyDescent="0.2">
      <c r="B25" t="s">
        <v>108</v>
      </c>
      <c r="O25" s="6"/>
      <c r="P25" s="6"/>
      <c r="Q25" s="6"/>
    </row>
    <row r="26" spans="1:17" x14ac:dyDescent="0.2">
      <c r="B26" t="s">
        <v>109</v>
      </c>
      <c r="O26" s="6"/>
      <c r="P26" s="6"/>
      <c r="Q26" s="6"/>
    </row>
    <row r="27" spans="1:17" x14ac:dyDescent="0.2">
      <c r="B27" t="s">
        <v>110</v>
      </c>
      <c r="O27" s="6"/>
      <c r="P27" s="6"/>
      <c r="Q27" s="6"/>
    </row>
    <row r="28" spans="1:17" x14ac:dyDescent="0.2">
      <c r="B28" t="s">
        <v>111</v>
      </c>
      <c r="O28" s="6"/>
      <c r="P28" s="6"/>
      <c r="Q28" s="6"/>
    </row>
    <row r="29" spans="1:17" x14ac:dyDescent="0.2">
      <c r="B29" t="s">
        <v>112</v>
      </c>
      <c r="O29" s="6"/>
      <c r="P29" s="6"/>
      <c r="Q29" s="6"/>
    </row>
    <row r="30" spans="1:17" x14ac:dyDescent="0.2">
      <c r="B30" t="s">
        <v>113</v>
      </c>
      <c r="O30" s="6"/>
      <c r="P30" s="6"/>
      <c r="Q30" s="6"/>
    </row>
    <row r="31" spans="1:17" x14ac:dyDescent="0.2">
      <c r="B31" t="s">
        <v>114</v>
      </c>
      <c r="O31" s="6"/>
      <c r="P31" s="6"/>
      <c r="Q31" s="6"/>
    </row>
    <row r="32" spans="1:17" x14ac:dyDescent="0.2">
      <c r="B32" t="s">
        <v>115</v>
      </c>
      <c r="O32" s="6"/>
      <c r="P32" s="6"/>
      <c r="Q32" s="6"/>
    </row>
    <row r="33" spans="2:17" x14ac:dyDescent="0.2">
      <c r="B33" t="s">
        <v>116</v>
      </c>
      <c r="O33" s="6"/>
      <c r="P33" s="6"/>
      <c r="Q33" s="6"/>
    </row>
    <row r="34" spans="2:17" x14ac:dyDescent="0.2">
      <c r="O34" s="6"/>
      <c r="P34" s="6"/>
      <c r="Q34" s="6"/>
    </row>
    <row r="35" spans="2:17" x14ac:dyDescent="0.2">
      <c r="O35" s="6"/>
      <c r="P35" s="6"/>
      <c r="Q35" s="6"/>
    </row>
    <row r="36" spans="2:17" x14ac:dyDescent="0.2">
      <c r="O36" s="6"/>
      <c r="P36" s="6"/>
    </row>
    <row r="37" spans="2:17" x14ac:dyDescent="0.2">
      <c r="O37" s="6"/>
      <c r="P37" s="6"/>
    </row>
  </sheetData>
  <mergeCells count="5">
    <mergeCell ref="D7:N7"/>
    <mergeCell ref="B7:C7"/>
    <mergeCell ref="B17:E17"/>
    <mergeCell ref="B21:D21"/>
    <mergeCell ref="G21:H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0"/>
  <sheetViews>
    <sheetView zoomScale="85" zoomScaleNormal="85" workbookViewId="0">
      <selection activeCell="B14" sqref="B14:Y22"/>
    </sheetView>
  </sheetViews>
  <sheetFormatPr defaultRowHeight="12.75" x14ac:dyDescent="0.2"/>
  <cols>
    <col min="1" max="1" width="9.140625" style="65"/>
    <col min="3" max="3" width="18.5703125" customWidth="1"/>
    <col min="4" max="13" width="14.7109375" customWidth="1"/>
    <col min="18" max="18" width="15.42578125" customWidth="1"/>
    <col min="23" max="23" width="22.5703125" customWidth="1"/>
  </cols>
  <sheetData>
    <row r="1" spans="1:25" x14ac:dyDescent="0.2">
      <c r="A1" s="65" t="s">
        <v>118</v>
      </c>
      <c r="B1" t="s">
        <v>78</v>
      </c>
    </row>
    <row r="2" spans="1:25" x14ac:dyDescent="0.2">
      <c r="A2" s="65" t="s">
        <v>93</v>
      </c>
      <c r="B2" s="73" t="s">
        <v>154</v>
      </c>
      <c r="C2" s="74" t="str">
        <f>F5</f>
        <v>LR_CON</v>
      </c>
      <c r="D2" t="s">
        <v>155</v>
      </c>
    </row>
    <row r="4" spans="1:25" x14ac:dyDescent="0.2">
      <c r="A4" s="65" t="s">
        <v>94</v>
      </c>
      <c r="B4" t="s">
        <v>117</v>
      </c>
    </row>
    <row r="5" spans="1:25" ht="15" x14ac:dyDescent="0.2">
      <c r="C5" s="69" t="s">
        <v>79</v>
      </c>
      <c r="D5" s="69" t="s">
        <v>80</v>
      </c>
      <c r="E5" s="69" t="s">
        <v>81</v>
      </c>
      <c r="F5" s="69" t="s">
        <v>82</v>
      </c>
      <c r="G5" s="69" t="s">
        <v>83</v>
      </c>
      <c r="H5" s="69" t="s">
        <v>84</v>
      </c>
      <c r="I5" s="69" t="s">
        <v>85</v>
      </c>
      <c r="J5" s="69" t="s">
        <v>86</v>
      </c>
      <c r="K5" s="69" t="s">
        <v>87</v>
      </c>
      <c r="L5" s="69" t="s">
        <v>88</v>
      </c>
      <c r="M5" s="69" t="s">
        <v>89</v>
      </c>
    </row>
    <row r="6" spans="1:25" ht="15" x14ac:dyDescent="0.2">
      <c r="B6" s="69" t="s">
        <v>90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5" ht="15" x14ac:dyDescent="0.2">
      <c r="B7" s="69" t="s">
        <v>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5" ht="15" x14ac:dyDescent="0.2">
      <c r="B8" s="69" t="s">
        <v>92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10" spans="1:25" ht="15" x14ac:dyDescent="0.2">
      <c r="A10" s="65" t="s">
        <v>95</v>
      </c>
      <c r="B10" s="70" t="s">
        <v>156</v>
      </c>
    </row>
    <row r="12" spans="1:25" x14ac:dyDescent="0.2">
      <c r="A12" s="65" t="s">
        <v>96</v>
      </c>
      <c r="B12" t="s">
        <v>132</v>
      </c>
    </row>
    <row r="13" spans="1:25" ht="15" x14ac:dyDescent="0.2">
      <c r="B13" s="69" t="s">
        <v>119</v>
      </c>
      <c r="C13" s="69" t="s">
        <v>120</v>
      </c>
      <c r="D13" s="69" t="s">
        <v>79</v>
      </c>
      <c r="E13" s="69" t="s">
        <v>80</v>
      </c>
      <c r="F13" s="69" t="s">
        <v>81</v>
      </c>
      <c r="G13" s="69" t="s">
        <v>82</v>
      </c>
      <c r="H13" s="69" t="s">
        <v>83</v>
      </c>
      <c r="I13" s="69" t="s">
        <v>84</v>
      </c>
      <c r="J13" s="69" t="s">
        <v>85</v>
      </c>
      <c r="K13" s="69" t="s">
        <v>86</v>
      </c>
      <c r="L13" s="69" t="s">
        <v>87</v>
      </c>
      <c r="M13" s="69" t="s">
        <v>88</v>
      </c>
      <c r="N13" s="69" t="s">
        <v>89</v>
      </c>
      <c r="O13" s="69" t="s">
        <v>121</v>
      </c>
      <c r="P13" s="69" t="s">
        <v>122</v>
      </c>
      <c r="Q13" s="69" t="s">
        <v>123</v>
      </c>
      <c r="R13" s="69" t="s">
        <v>124</v>
      </c>
      <c r="S13" s="69" t="s">
        <v>125</v>
      </c>
      <c r="T13" s="69" t="s">
        <v>126</v>
      </c>
      <c r="U13" s="69" t="s">
        <v>127</v>
      </c>
      <c r="V13" s="69" t="s">
        <v>128</v>
      </c>
      <c r="W13" s="69" t="s">
        <v>129</v>
      </c>
      <c r="X13" s="69" t="s">
        <v>130</v>
      </c>
      <c r="Y13" s="69" t="s">
        <v>131</v>
      </c>
    </row>
    <row r="14" spans="1:25" x14ac:dyDescent="0.2">
      <c r="O14" s="2"/>
      <c r="P14" s="2"/>
    </row>
    <row r="15" spans="1:25" x14ac:dyDescent="0.2">
      <c r="O15" s="2"/>
      <c r="P15" s="2"/>
    </row>
    <row r="16" spans="1:25" x14ac:dyDescent="0.2">
      <c r="O16" s="2"/>
      <c r="P16" s="2"/>
    </row>
    <row r="17" spans="1:25" x14ac:dyDescent="0.2">
      <c r="O17" s="2"/>
      <c r="P17" s="2"/>
    </row>
    <row r="18" spans="1:25" x14ac:dyDescent="0.2">
      <c r="O18" s="2"/>
      <c r="P18" s="2"/>
    </row>
    <row r="19" spans="1:25" x14ac:dyDescent="0.2"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B23" s="103" t="s">
        <v>142</v>
      </c>
      <c r="C23" s="103"/>
      <c r="D23" t="e">
        <f>$D$22/(1+O23)</f>
        <v>#DIV/0!</v>
      </c>
      <c r="E23" t="e">
        <f t="shared" ref="E23:E28" si="0">E$22/(1+P23)</f>
        <v>#DIV/0!</v>
      </c>
      <c r="L23" s="102" t="s">
        <v>135</v>
      </c>
      <c r="M23" s="102"/>
      <c r="N23" s="102"/>
      <c r="O23" s="106" t="e">
        <f>AVERAGE(O14:O21)</f>
        <v>#DIV/0!</v>
      </c>
      <c r="P23" s="3" t="e">
        <f>AVERAGE(P14:P21)</f>
        <v>#DIV/0!</v>
      </c>
    </row>
    <row r="24" spans="1:25" x14ac:dyDescent="0.2">
      <c r="B24" s="92" t="s">
        <v>143</v>
      </c>
      <c r="C24" s="92"/>
      <c r="D24" t="e">
        <f t="shared" ref="D24:D28" si="1">$D$22/(1+O24)</f>
        <v>#NUM!</v>
      </c>
      <c r="E24" t="e">
        <f t="shared" si="0"/>
        <v>#NUM!</v>
      </c>
      <c r="I24" s="3"/>
      <c r="L24" s="92" t="s">
        <v>137</v>
      </c>
      <c r="M24" s="92"/>
      <c r="N24" s="92"/>
      <c r="O24" s="107" t="e">
        <f>MEDIAN(O14:O21)</f>
        <v>#NUM!</v>
      </c>
      <c r="P24" s="1" t="e">
        <f>MEDIAN(P14:P22)</f>
        <v>#NUM!</v>
      </c>
    </row>
    <row r="25" spans="1:25" x14ac:dyDescent="0.2">
      <c r="B25" s="93" t="s">
        <v>144</v>
      </c>
      <c r="C25" s="93"/>
      <c r="D25" s="112" t="e">
        <f t="shared" si="1"/>
        <v>#DIV/0!</v>
      </c>
      <c r="E25" s="112" t="e">
        <f t="shared" si="0"/>
        <v>#DIV/0!</v>
      </c>
      <c r="L25" s="93" t="s">
        <v>136</v>
      </c>
      <c r="M25" s="93"/>
      <c r="N25" s="93"/>
      <c r="O25" s="108" t="e">
        <f>AVERAGE(O20:O21,O14:O16)</f>
        <v>#DIV/0!</v>
      </c>
      <c r="P25" s="1" t="e">
        <f>AVERAGE(P21:P22,P17,P14)</f>
        <v>#DIV/0!</v>
      </c>
    </row>
    <row r="26" spans="1:25" x14ac:dyDescent="0.2">
      <c r="B26" s="94" t="s">
        <v>145</v>
      </c>
      <c r="C26" s="94"/>
      <c r="D26" s="112" t="e">
        <f t="shared" si="1"/>
        <v>#NUM!</v>
      </c>
      <c r="E26" s="112" t="e">
        <f t="shared" si="0"/>
        <v>#NUM!</v>
      </c>
      <c r="H26" s="3"/>
      <c r="L26" s="94" t="s">
        <v>138</v>
      </c>
      <c r="M26" s="94"/>
      <c r="N26" s="94"/>
      <c r="O26" s="109" t="e">
        <f>MEDIAN(O20:O21,O14:O16)</f>
        <v>#NUM!</v>
      </c>
      <c r="P26" s="1" t="e">
        <f>MEDIAN(P21:P22,P17,P14)</f>
        <v>#NUM!</v>
      </c>
    </row>
    <row r="27" spans="1:25" x14ac:dyDescent="0.2">
      <c r="B27" s="95" t="s">
        <v>146</v>
      </c>
      <c r="C27" s="95"/>
      <c r="D27" t="e">
        <f t="shared" si="1"/>
        <v>#DIV/0!</v>
      </c>
      <c r="E27" t="e">
        <f t="shared" si="0"/>
        <v>#DIV/0!</v>
      </c>
      <c r="I27" s="99"/>
      <c r="L27" s="95" t="s">
        <v>139</v>
      </c>
      <c r="M27" s="95"/>
      <c r="N27" s="95"/>
      <c r="O27" s="110" t="e">
        <f>AVERAGE(O18:O19)</f>
        <v>#DIV/0!</v>
      </c>
      <c r="P27" s="1" t="e">
        <f>AVERAGE(P18:P20,P15:P16)</f>
        <v>#DIV/0!</v>
      </c>
    </row>
    <row r="28" spans="1:25" x14ac:dyDescent="0.2">
      <c r="B28" s="96" t="s">
        <v>147</v>
      </c>
      <c r="C28" s="96"/>
      <c r="D28" t="e">
        <f t="shared" si="1"/>
        <v>#NUM!</v>
      </c>
      <c r="E28" t="e">
        <f t="shared" si="0"/>
        <v>#NUM!</v>
      </c>
      <c r="L28" s="96" t="s">
        <v>140</v>
      </c>
      <c r="M28" s="96"/>
      <c r="N28" s="96"/>
      <c r="O28" s="111" t="e">
        <f>MEDIAN(O18:O19)</f>
        <v>#NUM!</v>
      </c>
      <c r="P28" s="1" t="e">
        <f>MEDIAN(P18:P20,P15:P16)</f>
        <v>#NUM!</v>
      </c>
    </row>
    <row r="30" spans="1:25" x14ac:dyDescent="0.2">
      <c r="A30" s="65" t="s">
        <v>97</v>
      </c>
      <c r="B30" t="s">
        <v>148</v>
      </c>
    </row>
    <row r="31" spans="1:25" x14ac:dyDescent="0.2">
      <c r="B31" t="s">
        <v>149</v>
      </c>
    </row>
    <row r="37" spans="1:4" x14ac:dyDescent="0.2">
      <c r="A37" s="65" t="s">
        <v>99</v>
      </c>
      <c r="B37" s="75" t="s">
        <v>150</v>
      </c>
      <c r="C37" s="76" t="e">
        <f>D27</f>
        <v>#DIV/0!</v>
      </c>
      <c r="D37" t="s">
        <v>160</v>
      </c>
    </row>
    <row r="39" spans="1:4" x14ac:dyDescent="0.2">
      <c r="B39" s="180" t="s">
        <v>158</v>
      </c>
      <c r="C39" s="180"/>
      <c r="D39" s="2" t="e">
        <f>C37/D22-1</f>
        <v>#DIV/0!</v>
      </c>
    </row>
    <row r="40" spans="1:4" x14ac:dyDescent="0.2">
      <c r="B40" s="168" t="s">
        <v>157</v>
      </c>
      <c r="C40" s="168"/>
      <c r="D40" s="2" t="e">
        <f>'1. Data &amp; Confidence Interval'!S25</f>
        <v>#NUM!</v>
      </c>
    </row>
  </sheetData>
  <mergeCells count="2">
    <mergeCell ref="B40:C40"/>
    <mergeCell ref="B39:C39"/>
  </mergeCells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24:P28 S2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3:P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W21 Q16:W1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2021-11-04T16:55:45Z</dcterms:modified>
</cp:coreProperties>
</file>