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NUVA\"/>
    </mc:Choice>
  </mc:AlternateContent>
  <xr:revisionPtr revIDLastSave="0" documentId="13_ncr:1_{EFDF1099-838F-4E7A-977F-D0C6431C55EB}" xr6:coauthVersionLast="46" xr6:coauthVersionMax="46" xr10:uidLastSave="{00000000-0000-0000-0000-000000000000}"/>
  <bookViews>
    <workbookView xWindow="-1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4" l="1"/>
  <c r="F36" i="4"/>
  <c r="C47" i="4"/>
  <c r="U25" i="1"/>
  <c r="F35" i="4"/>
  <c r="F34" i="4"/>
  <c r="F33" i="4"/>
  <c r="F32" i="4"/>
  <c r="O37" i="4"/>
  <c r="O36" i="4"/>
  <c r="O35" i="4"/>
  <c r="O34" i="4"/>
  <c r="O33" i="4"/>
  <c r="O32" i="4"/>
  <c r="J23" i="2"/>
  <c r="J21" i="2"/>
  <c r="J20" i="2"/>
  <c r="AO25" i="1"/>
  <c r="AO24" i="1"/>
  <c r="AO23" i="1"/>
  <c r="AO22" i="1"/>
  <c r="AO21" i="1"/>
  <c r="AO20" i="1"/>
  <c r="U24" i="1"/>
  <c r="R25" i="1"/>
  <c r="R24" i="1"/>
  <c r="R23" i="2"/>
  <c r="J6" i="2"/>
  <c r="J28" i="2" s="1"/>
  <c r="J7" i="2"/>
  <c r="J29" i="2" s="1"/>
  <c r="J8" i="2"/>
  <c r="J30" i="2" s="1"/>
  <c r="J9" i="2"/>
  <c r="J10" i="2"/>
  <c r="J11" i="2"/>
  <c r="J12" i="2"/>
  <c r="J13" i="2"/>
  <c r="J14" i="2"/>
  <c r="J15" i="2"/>
  <c r="J16" i="2"/>
  <c r="J17" i="2"/>
  <c r="J18" i="2"/>
  <c r="J40" i="2" s="1"/>
  <c r="J19" i="2"/>
  <c r="J41" i="2" s="1"/>
  <c r="J42" i="2"/>
  <c r="J22" i="2"/>
  <c r="J39" i="2"/>
  <c r="AM17" i="1"/>
  <c r="AL17" i="1"/>
  <c r="AK17" i="1"/>
  <c r="AJ17" i="1"/>
  <c r="AN17" i="1"/>
  <c r="AI17" i="1"/>
  <c r="AH17" i="1"/>
  <c r="AG17" i="1"/>
  <c r="AF17" i="1"/>
  <c r="AE17" i="1"/>
  <c r="Q17" i="1"/>
  <c r="P17" i="1"/>
  <c r="AB17" i="1"/>
  <c r="AA17" i="1"/>
  <c r="Z17" i="1"/>
  <c r="Y17" i="1"/>
  <c r="X17" i="1"/>
  <c r="W17" i="1"/>
  <c r="V17" i="1"/>
  <c r="U17" i="1"/>
  <c r="T17" i="1"/>
  <c r="S17" i="1"/>
  <c r="R17" i="1"/>
  <c r="E44" i="2"/>
  <c r="E43" i="2"/>
  <c r="E42" i="2"/>
  <c r="E41" i="2"/>
  <c r="E40" i="2"/>
  <c r="E38" i="2"/>
  <c r="E37" i="2"/>
  <c r="E36" i="2"/>
  <c r="E35" i="2"/>
  <c r="E34" i="2"/>
  <c r="E33" i="2"/>
  <c r="E32" i="2"/>
  <c r="E31" i="2"/>
  <c r="E45" i="2" s="1" a="1"/>
  <c r="E45" i="2" s="1"/>
  <c r="E30" i="2"/>
  <c r="E29" i="2"/>
  <c r="E28" i="2"/>
  <c r="E46" i="2" s="1" a="1"/>
  <c r="E46" i="2" s="1"/>
  <c r="A28" i="2"/>
  <c r="B28" i="2"/>
  <c r="C28" i="2"/>
  <c r="D28" i="2"/>
  <c r="F28" i="2"/>
  <c r="G28" i="2"/>
  <c r="H28" i="2"/>
  <c r="I28" i="2"/>
  <c r="R28" i="2"/>
  <c r="A29" i="2"/>
  <c r="B29" i="2"/>
  <c r="C29" i="2"/>
  <c r="D29" i="2"/>
  <c r="F29" i="2"/>
  <c r="G29" i="2"/>
  <c r="H29" i="2"/>
  <c r="I29" i="2"/>
  <c r="L29" i="2"/>
  <c r="R29" i="2"/>
  <c r="A30" i="2"/>
  <c r="B30" i="2"/>
  <c r="C30" i="2"/>
  <c r="D30" i="2"/>
  <c r="F30" i="2"/>
  <c r="G30" i="2"/>
  <c r="H30" i="2"/>
  <c r="I30" i="2"/>
  <c r="K30" i="2"/>
  <c r="M30" i="2"/>
  <c r="N30" i="2"/>
  <c r="O30" i="2"/>
  <c r="P30" i="2"/>
  <c r="Q30" i="2"/>
  <c r="R30" i="2"/>
  <c r="R24" i="2"/>
  <c r="I24" i="2"/>
  <c r="H24" i="2"/>
  <c r="G24" i="2"/>
  <c r="F24" i="2"/>
  <c r="E24" i="2"/>
  <c r="L30" i="2"/>
  <c r="P24" i="2"/>
  <c r="K24" i="2"/>
  <c r="AM20" i="1"/>
  <c r="J13" i="1"/>
  <c r="K13" i="1"/>
  <c r="L13" i="1"/>
  <c r="M13" i="1"/>
  <c r="I18" i="1"/>
  <c r="H18" i="1"/>
  <c r="G18" i="1"/>
  <c r="F18" i="1"/>
  <c r="F17" i="1"/>
  <c r="G17" i="1"/>
  <c r="H17" i="1"/>
  <c r="I17" i="1"/>
  <c r="C2" i="4"/>
  <c r="L18" i="1"/>
  <c r="K18" i="1"/>
  <c r="J18" i="1"/>
  <c r="R22" i="1"/>
  <c r="S22" i="1"/>
  <c r="T22" i="1"/>
  <c r="R20" i="1"/>
  <c r="S20" i="1"/>
  <c r="V21" i="1" s="1"/>
  <c r="T20" i="1"/>
  <c r="G40" i="2"/>
  <c r="U22" i="1"/>
  <c r="V22" i="1"/>
  <c r="U20" i="1"/>
  <c r="V20" i="1"/>
  <c r="H39" i="2"/>
  <c r="H40" i="2"/>
  <c r="G44" i="2"/>
  <c r="G43" i="2"/>
  <c r="G42" i="2"/>
  <c r="G41" i="2"/>
  <c r="G39" i="2"/>
  <c r="G37" i="2"/>
  <c r="G36" i="2"/>
  <c r="E39" i="2"/>
  <c r="AN18" i="1"/>
  <c r="AO26" i="1" s="1"/>
  <c r="AO18" i="1"/>
  <c r="N17" i="1"/>
  <c r="M17" i="1"/>
  <c r="L17" i="1"/>
  <c r="K17" i="1"/>
  <c r="J17" i="1"/>
  <c r="Q18" i="1"/>
  <c r="P18" i="1"/>
  <c r="N18" i="1"/>
  <c r="M18" i="1"/>
  <c r="W20" i="1"/>
  <c r="W22" i="1"/>
  <c r="G35" i="4" l="1"/>
  <c r="J24" i="2"/>
  <c r="U21" i="1"/>
  <c r="U23" i="1"/>
  <c r="K29" i="2"/>
  <c r="O24" i="2"/>
  <c r="N24" i="2"/>
  <c r="L24" i="2"/>
  <c r="M24" i="2"/>
  <c r="P29" i="2"/>
  <c r="N29" i="2"/>
  <c r="O29" i="2"/>
  <c r="M29" i="2"/>
  <c r="W23" i="1"/>
  <c r="V23" i="1"/>
  <c r="W21" i="1"/>
  <c r="AN13" i="1"/>
  <c r="AN10" i="1" s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N13" i="1"/>
  <c r="N10" i="1" s="1"/>
  <c r="Q31" i="2"/>
  <c r="P31" i="2"/>
  <c r="O31" i="2"/>
  <c r="N31" i="2"/>
  <c r="M31" i="2"/>
  <c r="L31" i="2"/>
  <c r="K31" i="2"/>
  <c r="R31" i="2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M18" i="1"/>
  <c r="AL18" i="1"/>
  <c r="W18" i="1"/>
  <c r="V18" i="1"/>
  <c r="U18" i="1"/>
  <c r="T18" i="1"/>
  <c r="S18" i="1"/>
  <c r="R18" i="1"/>
  <c r="O18" i="1"/>
  <c r="O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Q24" i="2" l="1"/>
  <c r="Q29" i="2"/>
  <c r="C7" i="1"/>
  <c r="Y21" i="1"/>
  <c r="X21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AG18" i="1"/>
  <c r="AF18" i="1"/>
  <c r="AE18" i="1"/>
  <c r="AD18" i="1"/>
  <c r="AC18" i="1"/>
  <c r="AB18" i="1"/>
  <c r="AA18" i="1"/>
  <c r="Z18" i="1"/>
  <c r="Y18" i="1"/>
  <c r="X18" i="1"/>
  <c r="AC17" i="1"/>
  <c r="AD17" i="1"/>
  <c r="F20" i="3"/>
  <c r="D50" i="4" l="1"/>
  <c r="Y23" i="1"/>
  <c r="X23" i="1"/>
  <c r="B7" i="1"/>
  <c r="Z21" i="1"/>
  <c r="R44" i="2"/>
  <c r="R43" i="2"/>
  <c r="R42" i="2"/>
  <c r="R41" i="2"/>
  <c r="R39" i="2"/>
  <c r="R38" i="2"/>
  <c r="R37" i="2"/>
  <c r="R36" i="2"/>
  <c r="R35" i="2"/>
  <c r="R34" i="2"/>
  <c r="R33" i="2"/>
  <c r="R32" i="2"/>
  <c r="Q2" i="1" l="1"/>
  <c r="R2" i="1"/>
  <c r="S2" i="1" s="1"/>
  <c r="T2" i="1" s="1"/>
  <c r="R3" i="1"/>
  <c r="Q3" i="1"/>
  <c r="H20" i="3"/>
  <c r="S3" i="1" l="1"/>
  <c r="T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F42" i="2"/>
  <c r="H42" i="2"/>
  <c r="I42" i="2"/>
  <c r="F43" i="2"/>
  <c r="H43" i="2"/>
  <c r="I43" i="2"/>
  <c r="J43" i="2"/>
  <c r="F44" i="2"/>
  <c r="H44" i="2"/>
  <c r="I44" i="2"/>
  <c r="J44" i="2"/>
  <c r="G46" i="2" l="1" a="1"/>
  <c r="G46" i="2" s="1"/>
  <c r="G45" i="2" a="1"/>
  <c r="G45" i="2" s="1"/>
  <c r="Q46" i="2" a="1"/>
  <c r="Q46" i="2" s="1"/>
  <c r="Q45" i="2" a="1"/>
  <c r="Q45" i="2" s="1"/>
  <c r="O46" i="2" a="1"/>
  <c r="O46" i="2" s="1"/>
  <c r="O45" i="2" a="1"/>
  <c r="O45" i="2" s="1"/>
  <c r="P46" i="2" a="1"/>
  <c r="P46" i="2" s="1"/>
  <c r="P45" i="2" a="1"/>
  <c r="P45" i="2" s="1"/>
  <c r="N46" i="2" a="1"/>
  <c r="N46" i="2" s="1"/>
  <c r="N45" i="2" a="1"/>
  <c r="N45" i="2" s="1"/>
  <c r="M46" i="2" a="1"/>
  <c r="M46" i="2" s="1"/>
  <c r="M45" i="2" a="1"/>
  <c r="M45" i="2" s="1"/>
  <c r="H46" i="2" a="1"/>
  <c r="H46" i="2" s="1"/>
  <c r="H45" i="2" a="1"/>
  <c r="H45" i="2" s="1"/>
  <c r="F46" i="2" a="1"/>
  <c r="F46" i="2" s="1"/>
  <c r="F45" i="2" a="1"/>
  <c r="F45" i="2" s="1"/>
  <c r="L46" i="2" a="1"/>
  <c r="L46" i="2" s="1"/>
  <c r="L45" i="2" a="1"/>
  <c r="L45" i="2" s="1"/>
  <c r="K46" i="2" a="1"/>
  <c r="K46" i="2" s="1"/>
  <c r="K45" i="2" a="1"/>
  <c r="K45" i="2" s="1"/>
  <c r="J46" i="2" a="1"/>
  <c r="J46" i="2" s="1"/>
  <c r="J45" i="2" a="1"/>
  <c r="J45" i="2" s="1"/>
  <c r="R46" i="2" a="1"/>
  <c r="R46" i="2" s="1"/>
  <c r="R45" i="2" a="1"/>
  <c r="R45" i="2" s="1"/>
  <c r="I46" i="2" a="1"/>
  <c r="I46" i="2" s="1"/>
  <c r="I45" i="2" a="1"/>
  <c r="I45" i="2" s="1"/>
  <c r="D49" i="4"/>
  <c r="AL21" i="1"/>
  <c r="AA21" i="1"/>
  <c r="AM21" i="1"/>
  <c r="AI21" i="1"/>
  <c r="AM23" i="1"/>
  <c r="AB21" i="1"/>
  <c r="AC21" i="1"/>
  <c r="AD21" i="1"/>
  <c r="AC23" i="1"/>
  <c r="AB23" i="1"/>
  <c r="AH23" i="1"/>
  <c r="AA23" i="1"/>
  <c r="Z23" i="1"/>
  <c r="AI23" i="1"/>
  <c r="AE23" i="1"/>
  <c r="AG23" i="1"/>
  <c r="AD23" i="1"/>
  <c r="AF23" i="1"/>
  <c r="AL23" i="1"/>
  <c r="AK23" i="1"/>
  <c r="AJ23" i="1"/>
  <c r="AK21" i="1"/>
  <c r="AE21" i="1"/>
  <c r="AF21" i="1"/>
  <c r="AG21" i="1"/>
  <c r="AH21" i="1"/>
  <c r="AJ21" i="1"/>
  <c r="S4" i="1" l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<sst xmlns="http://schemas.openxmlformats.org/spreadsheetml/2006/main" count="318" uniqueCount="174">
  <si>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</si>
  <si>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</si>
  <si>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</si>
  <si>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</si>
  <si>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</si>
  <si>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</si>
  <si>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</si>
  <si>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</si>
  <si>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</si>
  <si>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</si>
  <si>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</si>
  <si>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</si>
  <si>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</si>
  <si>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</si>
  <si>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</si>
  <si>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</si>
  <si>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</si>
  <si>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</si>
  <si>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</si>
  <si>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</si>
  <si>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</si>
  <si>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</si>
  <si>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</si>
  <si>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</si>
  <si>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</si>
  <si>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</si>
  <si>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</si>
  <si>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</si>
  <si>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</si>
  <si>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</si>
  <si>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</si>
  <si>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</si>
  <si>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</si>
  <si>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</si>
  <si>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</si>
  <si>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</si>
  <si>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</si>
  <si>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</si>
  <si>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</si>
  <si>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</si>
  <si>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</si>
  <si>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</si>
  <si>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</si>
  <si>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</si>
  <si>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</si>
  <si>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</si>
  <si>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</si>
  <si>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</si>
  <si>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</si>
  <si>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</si>
  <si>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</si>
  <si>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</si>
  <si>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</si>
  <si>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</si>
  <si>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</si>
  <si>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</si>
  <si>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</si>
  <si>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</si>
  <si>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</si>
  <si>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</si>
  <si>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</si>
  <si>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</si>
  <si>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</si>
  <si>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</si>
  <si>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</si>
  <si>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</si>
  <si>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</si>
  <si>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</si>
  <si>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</si>
  <si>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</si>
  <si>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</si>
  <si>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</si>
  <si>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</si>
  <si>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</si>
  <si>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</si>
  <si>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</si>
  <si>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</si>
  <si>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</si>
  <si>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</si>
  <si>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</si>
  <si>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</si>
  <si>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</si>
  <si>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</si>
  <si>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</si>
  <si>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</si>
  <si>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</si>
  <si>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</si>
  <si>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</si>
  <si>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</si>
  <si>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</si>
  <si>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</si>
  <si>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</si>
  <si>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</si>
  <si>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</si>
  <si>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</si>
  <si>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</si>
  <si>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</si>
  <si>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</si>
  <si>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</si>
  <si>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</si>
  <si>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</si>
  <si>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</si>
  <si>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</si>
  <si>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</si>
  <si>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</si>
  <si>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</si>
  <si>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</si>
  <si>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</si>
  <si>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</si>
  <si>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</si>
  <si>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</si>
  <si>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</si>
  <si>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</si>
  <si>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</si>
  <si>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</si>
  <si>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</si>
  <si>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</si>
  <si>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</si>
  <si>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</si>
  <si>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</si>
  <si>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</si>
  <si>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</si>
  <si>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</si>
  <si>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</si>
  <si>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</si>
  <si>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</si>
  <si>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</si>
  <si>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</si>
  <si>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</si>
  <si>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</si>
  <si>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</si>
  <si>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</si>
  <si>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</si>
  <si>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</si>
  <si>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</si>
  <si>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</si>
  <si>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</si>
  <si>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</si>
  <si>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</si>
  <si>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</si>
  <si>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</si>
  <si>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</si>
  <si>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</si>
  <si>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</si>
  <si>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</si>
  <si>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</si>
  <si>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</si>
  <si>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</si>
  <si>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</si>
  <si>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</si>
  <si>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</si>
  <si>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</si>
  <si>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</si>
  <si>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</si>
  <si>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</si>
  <si>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</si>
  <si>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</si>
  <si>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</si>
  <si>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</si>
  <si>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</si>
  <si>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</si>
  <si>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</si>
  <si>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</si>
  <si>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</si>
  <si>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</si>
  <si>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</si>
  <si>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</si>
  <si>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</si>
  <si>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</si>
  <si>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</si>
  <si>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</si>
  <si>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CORRELATION</t>
  </si>
  <si>
    <t>NUVA</t>
  </si>
  <si>
    <t>SPINAL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</si>
</sst>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P29"/>
  <sheetViews>
    <sheetView topLeftCell="H1" zoomScale="70" zoomScaleNormal="70" workbookViewId="0">
      <selection activeCell="U26" sqref="U26"/>
    </sheetView>
  </sheetViews>
  <sheetFormatPr defaultRowHeight="12.75" x14ac:dyDescent="0.2"/>
  <cols>
    <col min="1" max="1" width="17.85546875" bestFit="1" customWidth="1"/>
    <col min="2" max="5" width="17.85546875" customWidth="1"/>
    <col min="6" max="39" width="10.7109375" customWidth="1"/>
    <col min="40" max="40" width="17.85546875" customWidth="1"/>
    <col min="41" max="42" width="10.7109375" customWidth="1"/>
  </cols>
  <sheetData>
    <row r="1" spans="1:41" x14ac:dyDescent="0.2">
      <c r="A1" s="136" t="s">
        <v>172</v>
      </c>
      <c r="B1" s="137"/>
      <c r="C1" s="138"/>
      <c r="O1" s="145" t="s">
        <v>35</v>
      </c>
      <c r="P1" s="146"/>
      <c r="Q1" s="61" t="s">
        <v>31</v>
      </c>
      <c r="R1" s="61" t="s">
        <v>32</v>
      </c>
      <c r="S1" s="4" t="s">
        <v>39</v>
      </c>
      <c r="T1" s="147" t="s">
        <v>41</v>
      </c>
      <c r="U1" s="148"/>
    </row>
    <row r="2" spans="1:41" x14ac:dyDescent="0.2">
      <c r="A2" s="139"/>
      <c r="B2" s="140"/>
      <c r="C2" s="141"/>
      <c r="O2" s="59" t="s">
        <v>37</v>
      </c>
      <c r="P2" s="60"/>
      <c r="Q2" s="62">
        <f>$B$7*($AO$25-2*$AO$26)</f>
        <v>154.25847501495662</v>
      </c>
      <c r="R2" s="62">
        <f>$B$7*($AO$25+2*$AO$26)</f>
        <v>162.13408843348807</v>
      </c>
      <c r="S2" s="64">
        <f>AVERAGE(Q2:R2)</f>
        <v>158.19628172422233</v>
      </c>
      <c r="T2" s="149">
        <f>$S$2/AJ14-1</f>
        <v>-1.8633488063136805E-2</v>
      </c>
      <c r="U2" s="150"/>
    </row>
    <row r="3" spans="1:41" x14ac:dyDescent="0.2">
      <c r="A3" s="142"/>
      <c r="B3" s="143"/>
      <c r="C3" s="144"/>
      <c r="O3" s="45" t="s">
        <v>38</v>
      </c>
      <c r="P3" s="19"/>
      <c r="Q3" s="63">
        <f>$C$7*($AO$25-2*$AO$26)</f>
        <v>156.85105442697269</v>
      </c>
      <c r="R3" s="63">
        <f>$C$7*($AO$25+2*$AO$26)</f>
        <v>164.85903109623578</v>
      </c>
      <c r="S3" s="65">
        <f>AVERAGE(Q3:R3)</f>
        <v>160.85504276160424</v>
      </c>
      <c r="T3" s="151">
        <f>$S$3/AJ15-1</f>
        <v>-2.1399332406684124E-3</v>
      </c>
      <c r="U3" s="152"/>
    </row>
    <row r="4" spans="1:41" x14ac:dyDescent="0.2">
      <c r="A4" s="50"/>
      <c r="B4" s="50"/>
      <c r="C4" s="50"/>
      <c r="R4" s="4" t="s">
        <v>40</v>
      </c>
      <c r="S4" s="65">
        <f>AVERAGE(S2:S3)</f>
        <v>159.52566224291328</v>
      </c>
      <c r="T4" s="151">
        <f>$S$4/AJ15-1</f>
        <v>-1.0386710651902664E-2</v>
      </c>
      <c r="U4" s="152"/>
    </row>
    <row r="5" spans="1:41" x14ac:dyDescent="0.2">
      <c r="A5" s="58" t="s">
        <v>34</v>
      </c>
      <c r="B5" s="48" t="s">
        <v>31</v>
      </c>
      <c r="C5" s="49" t="s">
        <v>32</v>
      </c>
      <c r="H5" s="89"/>
      <c r="I5" s="89"/>
    </row>
    <row r="6" spans="1:41" ht="15.75" x14ac:dyDescent="0.25">
      <c r="A6" s="52" t="s">
        <v>33</v>
      </c>
      <c r="B6" s="56">
        <v>1190</v>
      </c>
      <c r="C6" s="57">
        <v>1210</v>
      </c>
    </row>
    <row r="7" spans="1:41" ht="14.25" x14ac:dyDescent="0.2">
      <c r="A7" s="53" t="s">
        <v>36</v>
      </c>
      <c r="B7" s="54">
        <f>B6*$AO$24</f>
        <v>638.73731418633076</v>
      </c>
      <c r="C7" s="55">
        <f>C6*$AO$24</f>
        <v>649.47239509702536</v>
      </c>
    </row>
    <row r="8" spans="1:41" x14ac:dyDescent="0.2">
      <c r="J8" s="50"/>
    </row>
    <row r="9" spans="1:41" x14ac:dyDescent="0.2">
      <c r="J9" s="50"/>
      <c r="K9" s="50"/>
      <c r="L9" s="50"/>
    </row>
    <row r="10" spans="1:41" x14ac:dyDescent="0.2">
      <c r="L10" s="120" t="s">
        <v>15</v>
      </c>
      <c r="M10" s="120"/>
      <c r="N10" s="35">
        <f>AVERAGE(F13:AN13)</f>
        <v>1.035033010727165</v>
      </c>
      <c r="AK10" s="120" t="s">
        <v>16</v>
      </c>
      <c r="AL10" s="120"/>
      <c r="AM10" s="120"/>
      <c r="AN10" s="81">
        <f>AVERAGE(AN13,AJ13:AL13)</f>
        <v>0.98733203085546917</v>
      </c>
    </row>
    <row r="11" spans="1:41" x14ac:dyDescent="0.2">
      <c r="A11" s="51" t="s">
        <v>6</v>
      </c>
      <c r="B11" s="153">
        <v>2012</v>
      </c>
      <c r="C11" s="154"/>
      <c r="D11" s="154"/>
      <c r="E11" s="155"/>
      <c r="F11" s="161">
        <v>2013</v>
      </c>
      <c r="G11" s="162"/>
      <c r="H11" s="162"/>
      <c r="I11" s="163"/>
      <c r="J11" s="126">
        <v>2014</v>
      </c>
      <c r="K11" s="126"/>
      <c r="L11" s="126"/>
      <c r="M11" s="127"/>
      <c r="N11" s="128">
        <v>2015</v>
      </c>
      <c r="O11" s="129"/>
      <c r="P11" s="129"/>
      <c r="Q11" s="130"/>
      <c r="R11" s="128">
        <v>2016</v>
      </c>
      <c r="S11" s="129"/>
      <c r="T11" s="129"/>
      <c r="U11" s="130"/>
      <c r="V11" s="165">
        <v>2017</v>
      </c>
      <c r="W11" s="166"/>
      <c r="X11" s="166"/>
      <c r="Y11" s="167"/>
      <c r="Z11" s="158">
        <v>2018</v>
      </c>
      <c r="AA11" s="159"/>
      <c r="AB11" s="159"/>
      <c r="AC11" s="160"/>
      <c r="AD11" s="122">
        <v>2019</v>
      </c>
      <c r="AE11" s="123"/>
      <c r="AF11" s="123"/>
      <c r="AG11" s="124"/>
      <c r="AH11" s="125">
        <v>2020</v>
      </c>
      <c r="AI11" s="126"/>
      <c r="AJ11" s="126"/>
      <c r="AK11" s="127"/>
      <c r="AL11" s="128">
        <v>2021</v>
      </c>
      <c r="AM11" s="129"/>
      <c r="AN11" s="129"/>
      <c r="AO11" s="130"/>
    </row>
    <row r="12" spans="1:41" x14ac:dyDescent="0.2">
      <c r="A12" s="14" t="s">
        <v>19</v>
      </c>
      <c r="B12" s="109" t="s">
        <v>20</v>
      </c>
      <c r="C12" s="109" t="s">
        <v>3</v>
      </c>
      <c r="D12" s="109" t="s">
        <v>4</v>
      </c>
      <c r="E12" s="109" t="s">
        <v>5</v>
      </c>
      <c r="F12" s="82" t="s">
        <v>20</v>
      </c>
      <c r="G12" s="83" t="s">
        <v>3</v>
      </c>
      <c r="H12" s="83" t="s">
        <v>4</v>
      </c>
      <c r="I12" s="84" t="s">
        <v>5</v>
      </c>
      <c r="J12" s="20" t="s">
        <v>20</v>
      </c>
      <c r="K12" s="20" t="s">
        <v>3</v>
      </c>
      <c r="L12" s="20" t="s">
        <v>4</v>
      </c>
      <c r="M12" s="20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1" t="s">
        <v>20</v>
      </c>
      <c r="S12" s="22" t="s">
        <v>3</v>
      </c>
      <c r="T12" s="22" t="s">
        <v>4</v>
      </c>
      <c r="U12" s="22" t="s">
        <v>5</v>
      </c>
      <c r="V12" s="23" t="s">
        <v>20</v>
      </c>
      <c r="W12" s="24" t="s">
        <v>3</v>
      </c>
      <c r="X12" s="24" t="s">
        <v>4</v>
      </c>
      <c r="Y12" s="24" t="s">
        <v>5</v>
      </c>
      <c r="Z12" s="25" t="s">
        <v>20</v>
      </c>
      <c r="AA12" s="26" t="s">
        <v>3</v>
      </c>
      <c r="AB12" s="26" t="s">
        <v>4</v>
      </c>
      <c r="AC12" s="26" t="s">
        <v>5</v>
      </c>
      <c r="AD12" s="27" t="s">
        <v>20</v>
      </c>
      <c r="AE12" s="28" t="s">
        <v>3</v>
      </c>
      <c r="AF12" s="28" t="s">
        <v>4</v>
      </c>
      <c r="AG12" s="28" t="s">
        <v>5</v>
      </c>
      <c r="AH12" s="29" t="s">
        <v>20</v>
      </c>
      <c r="AI12" s="20" t="s">
        <v>3</v>
      </c>
      <c r="AJ12" s="20" t="s">
        <v>4</v>
      </c>
      <c r="AK12" s="20" t="s">
        <v>5</v>
      </c>
      <c r="AL12" s="37" t="s">
        <v>20</v>
      </c>
      <c r="AM12" s="38" t="s">
        <v>3</v>
      </c>
      <c r="AN12" s="39" t="s">
        <v>21</v>
      </c>
      <c r="AO12" s="30" t="s">
        <v>22</v>
      </c>
    </row>
    <row r="13" spans="1:41" x14ac:dyDescent="0.2">
      <c r="A13" s="34" t="s">
        <v>2</v>
      </c>
      <c r="B13" s="110"/>
      <c r="C13" s="110"/>
      <c r="D13" s="110"/>
      <c r="E13" s="110"/>
      <c r="F13" s="88"/>
      <c r="G13" s="88"/>
      <c r="H13" s="88"/>
      <c r="I13" s="88"/>
      <c r="J13" s="88">
        <f t="shared" ref="J13:M13" si="0">J15/F15</f>
        <v>0.88399661303979682</v>
      </c>
      <c r="K13" s="88">
        <f t="shared" si="0"/>
        <v>0.88590057049714754</v>
      </c>
      <c r="L13" s="88">
        <f t="shared" si="0"/>
        <v>0.86921202274573517</v>
      </c>
      <c r="M13" s="88">
        <f t="shared" si="0"/>
        <v>0.83840579710144925</v>
      </c>
      <c r="N13" s="88">
        <f>N15/J15</f>
        <v>1.0555555555555556</v>
      </c>
      <c r="O13" s="88">
        <f t="shared" ref="O13:AM13" si="1">O15/K15</f>
        <v>1.0717571297148114</v>
      </c>
      <c r="P13" s="88">
        <f t="shared" si="1"/>
        <v>1.0859813084112149</v>
      </c>
      <c r="Q13" s="88">
        <f t="shared" si="1"/>
        <v>1.0924805531547104</v>
      </c>
      <c r="R13" s="88">
        <f t="shared" si="1"/>
        <v>1.1506352087114338</v>
      </c>
      <c r="S13" s="88">
        <f t="shared" si="1"/>
        <v>1.1828326180257511</v>
      </c>
      <c r="T13" s="88">
        <f t="shared" si="1"/>
        <v>1.1462994836488811</v>
      </c>
      <c r="U13" s="88">
        <f t="shared" si="1"/>
        <v>1.2167721518987342</v>
      </c>
      <c r="V13" s="88">
        <f t="shared" si="1"/>
        <v>1.1088328075709779</v>
      </c>
      <c r="W13" s="88">
        <f t="shared" si="1"/>
        <v>1.0362844702467344</v>
      </c>
      <c r="X13" s="88">
        <f t="shared" si="1"/>
        <v>1.0247747747747749</v>
      </c>
      <c r="Y13" s="88">
        <f t="shared" si="1"/>
        <v>0.97399219765929779</v>
      </c>
      <c r="Z13" s="88">
        <f t="shared" si="1"/>
        <v>1.0064011379800855</v>
      </c>
      <c r="AA13" s="88">
        <f t="shared" si="1"/>
        <v>1.0560224089635855</v>
      </c>
      <c r="AB13" s="88">
        <f t="shared" si="1"/>
        <v>1.0703296703296703</v>
      </c>
      <c r="AC13" s="88">
        <f t="shared" si="1"/>
        <v>1.0453938584779705</v>
      </c>
      <c r="AD13" s="88">
        <f t="shared" si="1"/>
        <v>1.04452296819788</v>
      </c>
      <c r="AE13" s="88">
        <f t="shared" si="1"/>
        <v>1.062334217506631</v>
      </c>
      <c r="AF13" s="88">
        <f t="shared" si="1"/>
        <v>1.0951403148528405</v>
      </c>
      <c r="AG13" s="88">
        <f t="shared" si="1"/>
        <v>1.078544061302682</v>
      </c>
      <c r="AH13" s="88">
        <f t="shared" si="1"/>
        <v>0.93707713125845726</v>
      </c>
      <c r="AI13" s="88">
        <f t="shared" si="1"/>
        <v>0.7103620474406992</v>
      </c>
      <c r="AJ13" s="88">
        <f t="shared" si="1"/>
        <v>1.0074999999999998</v>
      </c>
      <c r="AK13" s="88">
        <f t="shared" si="1"/>
        <v>0.91888691533451738</v>
      </c>
      <c r="AL13" s="88">
        <f t="shared" si="1"/>
        <v>1.0483754512635379</v>
      </c>
      <c r="AM13" s="88">
        <f t="shared" si="1"/>
        <v>1.406854130052724</v>
      </c>
      <c r="AN13" s="88">
        <f>AN14/AJ14</f>
        <v>0.97456575682382141</v>
      </c>
      <c r="AO13" s="31"/>
    </row>
    <row r="14" spans="1:41" x14ac:dyDescent="0.2">
      <c r="A14" s="15" t="s">
        <v>0</v>
      </c>
      <c r="B14" s="6"/>
      <c r="C14" s="6"/>
      <c r="D14" s="6"/>
      <c r="E14" s="6"/>
      <c r="F14" s="7">
        <v>118.1</v>
      </c>
      <c r="G14" s="7">
        <v>122.7</v>
      </c>
      <c r="H14" s="7">
        <v>123.1</v>
      </c>
      <c r="I14" s="7">
        <v>138</v>
      </c>
      <c r="J14" s="7">
        <v>104.4</v>
      </c>
      <c r="K14" s="7">
        <v>108.7</v>
      </c>
      <c r="L14" s="7">
        <v>107</v>
      </c>
      <c r="M14" s="7">
        <v>115.7</v>
      </c>
      <c r="N14" s="9">
        <v>110.2</v>
      </c>
      <c r="O14" s="6">
        <v>116.5</v>
      </c>
      <c r="P14" s="6">
        <v>116.2</v>
      </c>
      <c r="Q14" s="6">
        <v>126.4</v>
      </c>
      <c r="R14" s="9">
        <v>126.9</v>
      </c>
      <c r="S14" s="6">
        <v>137.9</v>
      </c>
      <c r="T14" s="6">
        <v>133.30000000000001</v>
      </c>
      <c r="U14" s="6">
        <v>152.9</v>
      </c>
      <c r="V14" s="9">
        <v>140.30000000000001</v>
      </c>
      <c r="W14" s="6">
        <v>142.5</v>
      </c>
      <c r="X14" s="6">
        <v>136.19999999999999</v>
      </c>
      <c r="Y14" s="6">
        <v>149.5</v>
      </c>
      <c r="Z14" s="9">
        <v>141.5</v>
      </c>
      <c r="AA14" s="6">
        <v>150.80000000000001</v>
      </c>
      <c r="AB14" s="6">
        <v>146.1</v>
      </c>
      <c r="AC14" s="6">
        <v>156.6</v>
      </c>
      <c r="AD14" s="9">
        <v>147.80000000000001</v>
      </c>
      <c r="AE14" s="6">
        <v>160.19999999999999</v>
      </c>
      <c r="AF14" s="6">
        <v>160</v>
      </c>
      <c r="AG14" s="6">
        <v>168.9</v>
      </c>
      <c r="AH14" s="9">
        <v>138.5</v>
      </c>
      <c r="AI14" s="6">
        <v>113.8</v>
      </c>
      <c r="AJ14" s="6">
        <v>161.19999999999999</v>
      </c>
      <c r="AK14" s="6">
        <v>155.19999999999999</v>
      </c>
      <c r="AL14" s="6">
        <v>145.30000000000001</v>
      </c>
      <c r="AM14" s="6">
        <v>160.1</v>
      </c>
      <c r="AN14" s="6">
        <v>157.1</v>
      </c>
      <c r="AO14" s="6">
        <v>175.4</v>
      </c>
    </row>
    <row r="15" spans="1:41" x14ac:dyDescent="0.2">
      <c r="A15" s="15" t="s">
        <v>1</v>
      </c>
      <c r="B15" s="6"/>
      <c r="C15" s="6"/>
      <c r="D15" s="6"/>
      <c r="E15" s="6"/>
      <c r="F15" s="6">
        <v>118.1</v>
      </c>
      <c r="G15" s="6">
        <v>122.7</v>
      </c>
      <c r="H15" s="6">
        <v>123.1</v>
      </c>
      <c r="I15" s="6">
        <v>138</v>
      </c>
      <c r="J15" s="6">
        <v>104.4</v>
      </c>
      <c r="K15" s="6">
        <v>108.7</v>
      </c>
      <c r="L15" s="6">
        <v>107</v>
      </c>
      <c r="M15" s="6">
        <v>115.7</v>
      </c>
      <c r="N15" s="9">
        <v>110.2</v>
      </c>
      <c r="O15" s="6">
        <v>116.5</v>
      </c>
      <c r="P15" s="6">
        <v>116.2</v>
      </c>
      <c r="Q15" s="6">
        <v>126.4</v>
      </c>
      <c r="R15" s="9">
        <v>126.8</v>
      </c>
      <c r="S15" s="6">
        <v>137.80000000000001</v>
      </c>
      <c r="T15" s="6">
        <v>133.19999999999999</v>
      </c>
      <c r="U15" s="6">
        <v>153.80000000000001</v>
      </c>
      <c r="V15" s="9">
        <v>140.6</v>
      </c>
      <c r="W15" s="6">
        <v>142.80000000000001</v>
      </c>
      <c r="X15" s="6">
        <v>136.5</v>
      </c>
      <c r="Y15" s="6">
        <v>149.80000000000001</v>
      </c>
      <c r="Z15" s="9">
        <v>141.5</v>
      </c>
      <c r="AA15" s="6">
        <v>150.80000000000001</v>
      </c>
      <c r="AB15" s="6">
        <v>146.1</v>
      </c>
      <c r="AC15" s="6">
        <v>156.6</v>
      </c>
      <c r="AD15" s="9">
        <v>147.80000000000001</v>
      </c>
      <c r="AE15" s="6">
        <v>160.19999999999999</v>
      </c>
      <c r="AF15" s="6">
        <v>160</v>
      </c>
      <c r="AG15" s="6">
        <v>168.9</v>
      </c>
      <c r="AH15" s="9">
        <v>138.5</v>
      </c>
      <c r="AI15" s="6">
        <v>113.8</v>
      </c>
      <c r="AJ15" s="6">
        <v>161.19999999999999</v>
      </c>
      <c r="AK15" s="6">
        <v>155.19999999999999</v>
      </c>
      <c r="AL15" s="9">
        <v>145.19999999999999</v>
      </c>
      <c r="AM15" s="6">
        <v>160.1</v>
      </c>
      <c r="AN15" s="9"/>
      <c r="AO15" s="10"/>
    </row>
    <row r="16" spans="1:41" x14ac:dyDescent="0.2">
      <c r="A16" s="15" t="s">
        <v>157</v>
      </c>
      <c r="B16" s="9"/>
      <c r="C16" s="9"/>
      <c r="D16" s="9"/>
      <c r="E16" s="9"/>
      <c r="F16" s="9">
        <v>159.5</v>
      </c>
      <c r="G16" s="6">
        <v>165.7</v>
      </c>
      <c r="H16" s="6">
        <v>169.2</v>
      </c>
      <c r="I16" s="10">
        <v>190.8</v>
      </c>
      <c r="J16" s="9">
        <v>177.5</v>
      </c>
      <c r="K16" s="6">
        <v>190.7</v>
      </c>
      <c r="L16" s="6">
        <v>189.9</v>
      </c>
      <c r="M16" s="10">
        <v>204.3</v>
      </c>
      <c r="N16" s="9">
        <v>192.4</v>
      </c>
      <c r="O16" s="6">
        <v>202.9</v>
      </c>
      <c r="P16" s="6">
        <v>200.5</v>
      </c>
      <c r="Q16" s="10">
        <v>215.3</v>
      </c>
      <c r="R16" s="9">
        <v>215.1</v>
      </c>
      <c r="S16" s="6">
        <v>236.2</v>
      </c>
      <c r="T16" s="6">
        <v>239.6</v>
      </c>
      <c r="U16" s="10">
        <v>271.10000000000002</v>
      </c>
      <c r="V16" s="9">
        <v>249</v>
      </c>
      <c r="W16" s="6">
        <v>259.39999999999998</v>
      </c>
      <c r="X16" s="6">
        <v>247.1</v>
      </c>
      <c r="Y16" s="10">
        <v>271.2</v>
      </c>
      <c r="Z16" s="9">
        <v>260.5</v>
      </c>
      <c r="AA16" s="6">
        <v>281.60000000000002</v>
      </c>
      <c r="AB16" s="6">
        <v>271.3</v>
      </c>
      <c r="AC16" s="10">
        <v>288.3</v>
      </c>
      <c r="AD16" s="9">
        <v>274.8</v>
      </c>
      <c r="AE16" s="6">
        <v>292.10000000000002</v>
      </c>
      <c r="AF16" s="6">
        <v>290.8</v>
      </c>
      <c r="AG16" s="10">
        <v>310.39999999999998</v>
      </c>
      <c r="AH16" s="6">
        <v>259.89999999999998</v>
      </c>
      <c r="AI16" s="6">
        <v>203.6</v>
      </c>
      <c r="AJ16" s="10">
        <v>295.3</v>
      </c>
      <c r="AK16" s="9">
        <v>291.8</v>
      </c>
      <c r="AL16">
        <v>271.2</v>
      </c>
      <c r="AM16" s="85">
        <v>294.8</v>
      </c>
      <c r="AN16">
        <v>297.8</v>
      </c>
      <c r="AO16" s="10"/>
    </row>
    <row r="17" spans="1:42" x14ac:dyDescent="0.2">
      <c r="A17" s="90" t="s">
        <v>18</v>
      </c>
      <c r="B17" s="91"/>
      <c r="C17" s="91"/>
      <c r="D17" s="91"/>
      <c r="E17" s="91"/>
      <c r="F17" s="91">
        <f t="shared" ref="F17:I17" si="2">F15/F16</f>
        <v>0.74043887147335419</v>
      </c>
      <c r="G17" s="91">
        <f t="shared" si="2"/>
        <v>0.74049487024743521</v>
      </c>
      <c r="H17" s="91">
        <f t="shared" si="2"/>
        <v>0.72754137115839246</v>
      </c>
      <c r="I17" s="91">
        <f t="shared" si="2"/>
        <v>0.72327044025157228</v>
      </c>
      <c r="J17" s="91">
        <f t="shared" ref="J17:O17" si="3">J15/J16</f>
        <v>0.58816901408450706</v>
      </c>
      <c r="K17" s="91">
        <f t="shared" si="3"/>
        <v>0.57000524383848983</v>
      </c>
      <c r="L17" s="91">
        <f t="shared" si="3"/>
        <v>0.56345444971037384</v>
      </c>
      <c r="M17" s="91">
        <f t="shared" si="3"/>
        <v>0.56632403328438574</v>
      </c>
      <c r="N17" s="91">
        <f t="shared" si="3"/>
        <v>0.57276507276507271</v>
      </c>
      <c r="O17" s="91">
        <f t="shared" si="3"/>
        <v>0.57417447018235579</v>
      </c>
      <c r="P17" s="91">
        <f t="shared" ref="P17:AB17" si="4">P15/P16</f>
        <v>0.57955112219451377</v>
      </c>
      <c r="Q17" s="91">
        <f t="shared" si="4"/>
        <v>0.58708778448676269</v>
      </c>
      <c r="R17" s="91">
        <f t="shared" si="4"/>
        <v>0.58949325894932592</v>
      </c>
      <c r="S17" s="91">
        <f t="shared" si="4"/>
        <v>0.58340389500423373</v>
      </c>
      <c r="T17" s="91">
        <f t="shared" si="4"/>
        <v>0.55592654424040067</v>
      </c>
      <c r="U17" s="91">
        <f t="shared" si="4"/>
        <v>0.56731833271855403</v>
      </c>
      <c r="V17" s="91">
        <f t="shared" si="4"/>
        <v>0.56465863453815257</v>
      </c>
      <c r="W17" s="91">
        <f t="shared" si="4"/>
        <v>0.55050115651503484</v>
      </c>
      <c r="X17" s="91">
        <f t="shared" si="4"/>
        <v>0.55240793201133143</v>
      </c>
      <c r="Y17" s="91">
        <f t="shared" si="4"/>
        <v>0.5523598820058998</v>
      </c>
      <c r="Z17" s="91">
        <f t="shared" si="4"/>
        <v>0.54318618042226485</v>
      </c>
      <c r="AA17" s="91">
        <f t="shared" si="4"/>
        <v>0.53551136363636365</v>
      </c>
      <c r="AB17" s="91">
        <f t="shared" si="4"/>
        <v>0.53851824548470328</v>
      </c>
      <c r="AC17" s="91">
        <f t="shared" ref="AC17:AD17" si="5">AC15/AC16</f>
        <v>0.54318418314255978</v>
      </c>
      <c r="AD17" s="91">
        <f t="shared" si="5"/>
        <v>0.53784570596797676</v>
      </c>
      <c r="AE17" s="91">
        <f>AE15/AE16</f>
        <v>0.54844231427593282</v>
      </c>
      <c r="AF17" s="91">
        <f>AF15/AF16</f>
        <v>0.55020632737276476</v>
      </c>
      <c r="AG17" s="91">
        <f>AG15/AG16</f>
        <v>0.5441365979381444</v>
      </c>
      <c r="AH17" s="91">
        <f>AH15/AH16</f>
        <v>0.53289726818006933</v>
      </c>
      <c r="AI17" s="91">
        <f t="shared" ref="AI17" si="6">AI15/AI16</f>
        <v>0.55893909626719052</v>
      </c>
      <c r="AJ17" s="91">
        <f>AJ15/AJ16</f>
        <v>0.54588554012868262</v>
      </c>
      <c r="AK17" s="91">
        <f>AK15/AK16</f>
        <v>0.53187114461960239</v>
      </c>
      <c r="AL17" s="91">
        <f>AL15/AL16</f>
        <v>0.53539823008849552</v>
      </c>
      <c r="AM17" s="91">
        <f>AM15/AM16</f>
        <v>0.54308005427408412</v>
      </c>
      <c r="AN17" s="92">
        <f>AN14/AN16</f>
        <v>0.52753525856279382</v>
      </c>
      <c r="AO17" s="93"/>
    </row>
    <row r="18" spans="1:42" x14ac:dyDescent="0.2">
      <c r="A18" s="90" t="s">
        <v>24</v>
      </c>
      <c r="B18" s="91"/>
      <c r="C18" s="91"/>
      <c r="D18" s="91"/>
      <c r="E18" s="94"/>
      <c r="F18" s="91">
        <f>F15/SUM(F15:I15)</f>
        <v>0.23530583781629807</v>
      </c>
      <c r="G18" s="91">
        <f>G15/SUM(F15:I15)</f>
        <v>0.24447101016138675</v>
      </c>
      <c r="H18" s="91">
        <f>H15/SUM(F15:I15)</f>
        <v>0.2452679816696553</v>
      </c>
      <c r="I18" s="94">
        <f>I15/SUM(F15:I15)</f>
        <v>0.27495517035265993</v>
      </c>
      <c r="J18" s="91">
        <f>J15/SUM(J15:M15)</f>
        <v>0.23955943093162002</v>
      </c>
      <c r="K18" s="91">
        <f>K15/SUM(J15:M15)</f>
        <v>0.24942634235888023</v>
      </c>
      <c r="L18" s="91">
        <f>L15/SUM(J15:M15)</f>
        <v>0.2455254703992657</v>
      </c>
      <c r="M18" s="94">
        <f>M15/SUM(J15:M15)</f>
        <v>0.26548875631023405</v>
      </c>
      <c r="N18" s="91">
        <f>N15/SUM(N15:Q15)</f>
        <v>0.23481781376518221</v>
      </c>
      <c r="O18" s="91">
        <f>O15/SUM(N15:Q15)</f>
        <v>0.24824206264649482</v>
      </c>
      <c r="P18" s="91">
        <f>P15/SUM(N15:Q15)</f>
        <v>0.24760281269976564</v>
      </c>
      <c r="Q18" s="94">
        <f>Q15/SUM(N15:Q15)</f>
        <v>0.26933731088855745</v>
      </c>
      <c r="R18" s="91">
        <f>R15/SUM(R15:U15)</f>
        <v>0.22987672226250905</v>
      </c>
      <c r="S18" s="91">
        <f>S15/SUM(R15:U15)</f>
        <v>0.24981870920957217</v>
      </c>
      <c r="T18" s="91">
        <f>T15/SUM(R15:U15)</f>
        <v>0.2414793328498912</v>
      </c>
      <c r="U18" s="94">
        <f>U15/SUM(R15:U15)</f>
        <v>0.27882523567802758</v>
      </c>
      <c r="V18" s="91">
        <f>V15/SUM(V15:Y15)</f>
        <v>0.24679655959276808</v>
      </c>
      <c r="W18" s="91">
        <f>W15/SUM(V15:Y15)</f>
        <v>0.2506582411795682</v>
      </c>
      <c r="X18" s="91">
        <f>X15/SUM(V15:Y15)</f>
        <v>0.23959978936282253</v>
      </c>
      <c r="Y18" s="94">
        <f>Y15/SUM(V15:Y15)</f>
        <v>0.26294540986484116</v>
      </c>
      <c r="Z18" s="91">
        <f>Z15/SUM(Z15:AC15)</f>
        <v>0.23781512605042016</v>
      </c>
      <c r="AA18" s="91">
        <f>AA15/SUM(Z15:AC15)</f>
        <v>0.2534453781512605</v>
      </c>
      <c r="AB18" s="91">
        <f>AB15/SUM(Z15:AC15)</f>
        <v>0.24554621848739494</v>
      </c>
      <c r="AC18" s="94">
        <f>AC15/SUM(Z15:AC15)</f>
        <v>0.26319327731092435</v>
      </c>
      <c r="AD18" s="91">
        <f>AD15/SUM(AD15:AG15)</f>
        <v>0.23206154812372431</v>
      </c>
      <c r="AE18" s="91">
        <f>AE15/SUM(AD15:AG15)</f>
        <v>0.25153085256712199</v>
      </c>
      <c r="AF18" s="91">
        <f>AF15/SUM(AD15:AG15)</f>
        <v>0.25121683152771235</v>
      </c>
      <c r="AG18" s="94">
        <f>AG15/SUM(AD15:AG15)</f>
        <v>0.26519076778144135</v>
      </c>
      <c r="AH18" s="91"/>
      <c r="AI18" s="91"/>
      <c r="AJ18" s="91"/>
      <c r="AK18" s="94"/>
      <c r="AL18" s="91">
        <f>AL15/SUM(AL15:AM15,AN14:AO14)</f>
        <v>0.22765757290686736</v>
      </c>
      <c r="AM18" s="91">
        <f>AM15/SUM(AL15:AM15,AN14:AO14)</f>
        <v>0.25101912825337097</v>
      </c>
      <c r="AN18" s="91">
        <f>AN14/SUM(AL15:AM15,AN14:AO14)</f>
        <v>0.24631545939165883</v>
      </c>
      <c r="AO18" s="94">
        <f>AO14/SUM(AL15:AM15,AN14:AO14)</f>
        <v>0.27500783944810286</v>
      </c>
      <c r="AP18" s="3"/>
    </row>
    <row r="19" spans="1:42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6"/>
      <c r="R19" s="9">
        <v>122</v>
      </c>
      <c r="S19" s="12">
        <v>134.6</v>
      </c>
      <c r="T19" s="12">
        <v>134.1</v>
      </c>
      <c r="U19" s="6">
        <v>146.4</v>
      </c>
      <c r="V19" s="86">
        <v>140.6</v>
      </c>
      <c r="W19" s="86">
        <v>146.9</v>
      </c>
      <c r="X19" s="86">
        <v>140.6</v>
      </c>
      <c r="Y19" s="86">
        <v>150.69999999999999</v>
      </c>
      <c r="Z19" s="86">
        <v>138.30000000000001</v>
      </c>
      <c r="AA19" s="63">
        <v>144.1</v>
      </c>
      <c r="AB19" s="63">
        <v>139.4</v>
      </c>
      <c r="AC19" s="63">
        <v>157.19999999999999</v>
      </c>
      <c r="AD19" s="86">
        <v>145.1</v>
      </c>
      <c r="AE19" s="63">
        <v>153.9</v>
      </c>
      <c r="AF19" s="63">
        <v>150.4</v>
      </c>
      <c r="AG19" s="63">
        <v>165.9</v>
      </c>
      <c r="AH19" s="86">
        <v>151.80000000000001</v>
      </c>
      <c r="AI19" s="63">
        <v>87.3</v>
      </c>
      <c r="AJ19" s="63">
        <v>143</v>
      </c>
      <c r="AK19" s="63">
        <v>162.80000000000001</v>
      </c>
      <c r="AL19" s="86">
        <v>137.6</v>
      </c>
      <c r="AM19" s="63">
        <v>154.5</v>
      </c>
      <c r="AN19" s="87"/>
      <c r="AO19" s="13"/>
    </row>
    <row r="20" spans="1:42" x14ac:dyDescent="0.2">
      <c r="M20" s="7"/>
      <c r="N20" s="7"/>
      <c r="O20" s="7"/>
      <c r="P20" s="131" t="s">
        <v>7</v>
      </c>
      <c r="Q20" s="132"/>
      <c r="R20" s="7">
        <f t="shared" ref="R20:T20" si="7">IF(R15&gt;R19,1,0)</f>
        <v>1</v>
      </c>
      <c r="S20" s="7">
        <f t="shared" si="7"/>
        <v>1</v>
      </c>
      <c r="T20" s="7">
        <f t="shared" si="7"/>
        <v>0</v>
      </c>
      <c r="U20" s="7">
        <f t="shared" ref="U20:AL20" si="8">IF(U15&gt;U19,1,0)</f>
        <v>1</v>
      </c>
      <c r="V20" s="7">
        <f t="shared" si="8"/>
        <v>0</v>
      </c>
      <c r="W20" s="7">
        <f t="shared" si="8"/>
        <v>0</v>
      </c>
      <c r="X20" s="7">
        <f t="shared" si="8"/>
        <v>0</v>
      </c>
      <c r="Y20" s="7">
        <f t="shared" si="8"/>
        <v>0</v>
      </c>
      <c r="Z20" s="7">
        <f t="shared" si="8"/>
        <v>1</v>
      </c>
      <c r="AA20" s="7">
        <f t="shared" si="8"/>
        <v>1</v>
      </c>
      <c r="AB20" s="7">
        <f t="shared" si="8"/>
        <v>1</v>
      </c>
      <c r="AC20" s="7">
        <f t="shared" si="8"/>
        <v>0</v>
      </c>
      <c r="AD20" s="7">
        <f t="shared" si="8"/>
        <v>1</v>
      </c>
      <c r="AE20" s="7">
        <f t="shared" si="8"/>
        <v>1</v>
      </c>
      <c r="AF20" s="7">
        <f t="shared" si="8"/>
        <v>1</v>
      </c>
      <c r="AG20" s="7">
        <f t="shared" si="8"/>
        <v>1</v>
      </c>
      <c r="AH20" s="7">
        <f t="shared" si="8"/>
        <v>0</v>
      </c>
      <c r="AI20" s="7">
        <f t="shared" si="8"/>
        <v>1</v>
      </c>
      <c r="AJ20" s="7">
        <f t="shared" si="8"/>
        <v>1</v>
      </c>
      <c r="AK20" s="7">
        <f t="shared" si="8"/>
        <v>0</v>
      </c>
      <c r="AL20" s="7">
        <f t="shared" si="8"/>
        <v>1</v>
      </c>
      <c r="AM20" s="8">
        <f>IF(AM15&gt;AM19,1,0)</f>
        <v>1</v>
      </c>
      <c r="AN20" s="45" t="s">
        <v>8</v>
      </c>
      <c r="AO20" s="42">
        <f>AVERAGE(R20:AM20)</f>
        <v>0.63636363636363635</v>
      </c>
    </row>
    <row r="21" spans="1:42" x14ac:dyDescent="0.2">
      <c r="P21" s="156" t="s">
        <v>9</v>
      </c>
      <c r="Q21" s="157"/>
      <c r="R21" s="6"/>
      <c r="S21" s="6"/>
      <c r="T21" s="6"/>
      <c r="U21" s="6">
        <f t="shared" ref="U21" si="9">AVERAGE(R20:U20)</f>
        <v>0.75</v>
      </c>
      <c r="V21" s="6">
        <f t="shared" ref="V21" si="10">AVERAGE(S20:V20)</f>
        <v>0.5</v>
      </c>
      <c r="W21" s="6">
        <f t="shared" ref="W21" si="11">AVERAGE(T20:W20)</f>
        <v>0.25</v>
      </c>
      <c r="X21" s="6">
        <f t="shared" ref="X21" si="12">AVERAGE(U20:X20)</f>
        <v>0.25</v>
      </c>
      <c r="Y21" s="6">
        <f t="shared" ref="Y21" si="13">AVERAGE(V20:Y20)</f>
        <v>0</v>
      </c>
      <c r="Z21" s="6">
        <f t="shared" ref="Z21:AM21" si="14">AVERAGE(W20:Z20)</f>
        <v>0.25</v>
      </c>
      <c r="AA21" s="6">
        <f t="shared" si="14"/>
        <v>0.5</v>
      </c>
      <c r="AB21" s="6">
        <f t="shared" si="14"/>
        <v>0.75</v>
      </c>
      <c r="AC21" s="6">
        <f t="shared" si="14"/>
        <v>0.75</v>
      </c>
      <c r="AD21" s="6">
        <f t="shared" si="14"/>
        <v>0.75</v>
      </c>
      <c r="AE21" s="6">
        <f t="shared" si="14"/>
        <v>0.75</v>
      </c>
      <c r="AF21" s="6">
        <f t="shared" si="14"/>
        <v>0.75</v>
      </c>
      <c r="AG21" s="6">
        <f t="shared" si="14"/>
        <v>1</v>
      </c>
      <c r="AH21" s="6">
        <f t="shared" si="14"/>
        <v>0.75</v>
      </c>
      <c r="AI21" s="6">
        <f t="shared" si="14"/>
        <v>0.75</v>
      </c>
      <c r="AJ21" s="6">
        <f t="shared" si="14"/>
        <v>0.75</v>
      </c>
      <c r="AK21" s="6">
        <f t="shared" si="14"/>
        <v>0.5</v>
      </c>
      <c r="AL21" s="6">
        <f>AVERAGE(AI20:AL20)</f>
        <v>0.75</v>
      </c>
      <c r="AM21" s="10">
        <f t="shared" si="14"/>
        <v>0.75</v>
      </c>
      <c r="AN21" s="41" t="s">
        <v>10</v>
      </c>
      <c r="AO21" s="42">
        <f>AVERAGE(U21:AM21)</f>
        <v>0.60526315789473684</v>
      </c>
    </row>
    <row r="22" spans="1:42" x14ac:dyDescent="0.2">
      <c r="M22" s="18"/>
      <c r="N22" s="18"/>
      <c r="O22" s="18"/>
      <c r="P22" s="116" t="s">
        <v>11</v>
      </c>
      <c r="Q22" s="164"/>
      <c r="R22" s="18">
        <f t="shared" ref="R22:T22" si="15">R15/R19-1</f>
        <v>3.9344262295081922E-2</v>
      </c>
      <c r="S22" s="18">
        <f t="shared" si="15"/>
        <v>2.377414561664204E-2</v>
      </c>
      <c r="T22" s="18">
        <f t="shared" si="15"/>
        <v>-6.7114093959731447E-3</v>
      </c>
      <c r="U22" s="18">
        <f t="shared" ref="U22:AM22" si="16">U15/U19-1</f>
        <v>5.0546448087431806E-2</v>
      </c>
      <c r="V22" s="18">
        <f t="shared" si="16"/>
        <v>0</v>
      </c>
      <c r="W22" s="18">
        <f t="shared" si="16"/>
        <v>-2.7910142954390649E-2</v>
      </c>
      <c r="X22" s="18">
        <f t="shared" si="16"/>
        <v>-2.9160739687055459E-2</v>
      </c>
      <c r="Y22" s="18">
        <f t="shared" si="16"/>
        <v>-5.9721300597211924E-3</v>
      </c>
      <c r="Z22" s="18">
        <f t="shared" si="16"/>
        <v>2.3138105567606537E-2</v>
      </c>
      <c r="AA22" s="18">
        <f t="shared" si="16"/>
        <v>4.6495489243580934E-2</v>
      </c>
      <c r="AB22" s="18">
        <f t="shared" si="16"/>
        <v>4.8063127690100238E-2</v>
      </c>
      <c r="AC22" s="18">
        <f t="shared" si="16"/>
        <v>-3.8167938931297218E-3</v>
      </c>
      <c r="AD22" s="18">
        <f t="shared" si="16"/>
        <v>1.8607856650585841E-2</v>
      </c>
      <c r="AE22" s="18">
        <f t="shared" si="16"/>
        <v>4.0935672514619714E-2</v>
      </c>
      <c r="AF22" s="18">
        <f t="shared" si="16"/>
        <v>6.3829787234042534E-2</v>
      </c>
      <c r="AG22" s="18">
        <f t="shared" si="16"/>
        <v>1.8083182640144635E-2</v>
      </c>
      <c r="AH22" s="18">
        <f t="shared" si="16"/>
        <v>-8.7615283267457267E-2</v>
      </c>
      <c r="AI22" s="18">
        <f t="shared" si="16"/>
        <v>0.30355097365406647</v>
      </c>
      <c r="AJ22" s="18">
        <f t="shared" si="16"/>
        <v>0.1272727272727272</v>
      </c>
      <c r="AK22" s="18">
        <f t="shared" si="16"/>
        <v>-4.6683046683046792E-2</v>
      </c>
      <c r="AL22" s="18">
        <f t="shared" si="16"/>
        <v>5.523255813953476E-2</v>
      </c>
      <c r="AM22" s="40">
        <f t="shared" si="16"/>
        <v>3.6245954692556648E-2</v>
      </c>
      <c r="AN22" s="41" t="s">
        <v>13</v>
      </c>
      <c r="AO22" s="43">
        <f>MEDIAN(R22:AM22)</f>
        <v>2.3456125592124288E-2</v>
      </c>
    </row>
    <row r="23" spans="1:42" x14ac:dyDescent="0.2">
      <c r="P23" s="156" t="s">
        <v>12</v>
      </c>
      <c r="Q23" s="157"/>
      <c r="R23" s="32"/>
      <c r="S23" s="32"/>
      <c r="T23" s="32"/>
      <c r="U23" s="32">
        <f t="shared" ref="U23" si="17">AVERAGE(R22:U22)</f>
        <v>2.6738361650795656E-2</v>
      </c>
      <c r="V23" s="32">
        <f t="shared" ref="V23" si="18">AVERAGE(S22:V22)</f>
        <v>1.6902296077025175E-2</v>
      </c>
      <c r="W23" s="32">
        <f t="shared" ref="W23" si="19">AVERAGE(T22:W22)</f>
        <v>3.9812239342670031E-3</v>
      </c>
      <c r="X23" s="32">
        <f t="shared" ref="X23" si="20">AVERAGE(U22:X22)</f>
        <v>-1.6311086385035756E-3</v>
      </c>
      <c r="Y23" s="32">
        <f t="shared" ref="Y23" si="21">AVERAGE(V22:Y22)</f>
        <v>-1.5760753175291825E-2</v>
      </c>
      <c r="Z23" s="32">
        <f t="shared" ref="Z23:AM23" si="22">AVERAGE(W22:Z22)</f>
        <v>-9.9762267833901908E-3</v>
      </c>
      <c r="AA23" s="32">
        <f t="shared" si="22"/>
        <v>8.625181266102705E-3</v>
      </c>
      <c r="AB23" s="32">
        <f t="shared" si="22"/>
        <v>2.7931148110391629E-2</v>
      </c>
      <c r="AC23" s="32">
        <f t="shared" si="22"/>
        <v>2.8469982152039497E-2</v>
      </c>
      <c r="AD23" s="32">
        <f t="shared" si="22"/>
        <v>2.7337419922784323E-2</v>
      </c>
      <c r="AE23" s="32">
        <f t="shared" si="22"/>
        <v>2.5947465740544018E-2</v>
      </c>
      <c r="AF23" s="32">
        <f t="shared" si="22"/>
        <v>2.9889130626529592E-2</v>
      </c>
      <c r="AG23" s="32">
        <f t="shared" si="22"/>
        <v>3.5364124759848181E-2</v>
      </c>
      <c r="AH23" s="32">
        <f t="shared" si="22"/>
        <v>8.8083397803374042E-3</v>
      </c>
      <c r="AI23" s="32">
        <f t="shared" si="22"/>
        <v>7.4462165065199093E-2</v>
      </c>
      <c r="AJ23" s="32">
        <f t="shared" si="22"/>
        <v>9.032290007487026E-2</v>
      </c>
      <c r="AK23" s="32">
        <f t="shared" si="22"/>
        <v>7.4131342744072404E-2</v>
      </c>
      <c r="AL23" s="32">
        <f t="shared" si="22"/>
        <v>0.10984330309582041</v>
      </c>
      <c r="AM23" s="33">
        <f t="shared" si="22"/>
        <v>4.3017048355442955E-2</v>
      </c>
      <c r="AN23" s="19" t="s">
        <v>14</v>
      </c>
      <c r="AO23" s="33">
        <f>MEDIAN(U23:AM23)</f>
        <v>2.7337419922784323E-2</v>
      </c>
    </row>
    <row r="24" spans="1:42" x14ac:dyDescent="0.2">
      <c r="P24" s="131" t="s">
        <v>25</v>
      </c>
      <c r="Q24" s="132"/>
      <c r="R24" s="105">
        <f>AVERAGE(R22:S22,U22,Z22:AB22,AD22:AG22,AI22:AJ22,AL22:AM22)</f>
        <v>6.3937163664194371E-2</v>
      </c>
      <c r="S24" s="116" t="s">
        <v>29</v>
      </c>
      <c r="T24" s="117"/>
      <c r="U24" s="46">
        <f>MEDIAN(R22:S22,U22,Z22:AB22,AD22:AG22,AI22:AJ22,AL22:AM22)</f>
        <v>4.3715580879100324E-2</v>
      </c>
      <c r="AJ24" s="3"/>
      <c r="AK24" s="133" t="s">
        <v>23</v>
      </c>
      <c r="AL24" s="134"/>
      <c r="AM24" s="134"/>
      <c r="AN24" s="135"/>
      <c r="AO24" s="44">
        <f>AVERAGE(AJ17:AN17)</f>
        <v>0.53675404553473172</v>
      </c>
    </row>
    <row r="25" spans="1:42" x14ac:dyDescent="0.2">
      <c r="P25" s="118" t="s">
        <v>26</v>
      </c>
      <c r="Q25" s="121"/>
      <c r="R25" s="104">
        <f>AVERAGE(T22,W22:Y22,AC22,AH22,AK22)</f>
        <v>-2.9695649420110604E-2</v>
      </c>
      <c r="S25" s="118" t="s">
        <v>30</v>
      </c>
      <c r="T25" s="119"/>
      <c r="U25" s="33">
        <f>MEDIAN(T22,W22:Y22,AC22,AH22,AK22)</f>
        <v>-2.7910142954390649E-2</v>
      </c>
      <c r="AK25" s="112" t="s">
        <v>27</v>
      </c>
      <c r="AL25" s="113"/>
      <c r="AM25" s="113"/>
      <c r="AN25" s="113"/>
      <c r="AO25" s="46">
        <f>AVERAGE(AN18,AF18,AB18,P18)</f>
        <v>0.24767033052663295</v>
      </c>
    </row>
    <row r="26" spans="1:42" x14ac:dyDescent="0.2">
      <c r="AK26" s="114" t="s">
        <v>28</v>
      </c>
      <c r="AL26" s="115"/>
      <c r="AM26" s="115"/>
      <c r="AN26" s="115"/>
      <c r="AO26" s="47">
        <f>_xlfn.STDEV.S(AN18,X18,T18,P18,H18,AB18)</f>
        <v>3.082493085817279E-3</v>
      </c>
    </row>
    <row r="29" spans="1:42" ht="18" customHeight="1" x14ac:dyDescent="0.2"/>
  </sheetData>
  <mergeCells count="29">
    <mergeCell ref="T4:U4"/>
    <mergeCell ref="B11:E11"/>
    <mergeCell ref="P21:Q21"/>
    <mergeCell ref="Z11:AC11"/>
    <mergeCell ref="P24:Q24"/>
    <mergeCell ref="F11:I11"/>
    <mergeCell ref="P23:Q23"/>
    <mergeCell ref="P22:Q22"/>
    <mergeCell ref="J11:M11"/>
    <mergeCell ref="N11:Q11"/>
    <mergeCell ref="R11:U11"/>
    <mergeCell ref="V11:Y11"/>
    <mergeCell ref="A1:C3"/>
    <mergeCell ref="O1:P1"/>
    <mergeCell ref="T1:U1"/>
    <mergeCell ref="T2:U2"/>
    <mergeCell ref="T3:U3"/>
    <mergeCell ref="AK25:AN25"/>
    <mergeCell ref="AK26:AN26"/>
    <mergeCell ref="S24:T24"/>
    <mergeCell ref="S25:T25"/>
    <mergeCell ref="L10:M10"/>
    <mergeCell ref="AK10:AM10"/>
    <mergeCell ref="P25:Q25"/>
    <mergeCell ref="AD11:AG11"/>
    <mergeCell ref="AH11:AK11"/>
    <mergeCell ref="AL11:AO11"/>
    <mergeCell ref="P20:Q20"/>
    <mergeCell ref="AK24:AN24"/>
  </mergeCells>
  <conditionalFormatting sqref="M20:O20 R20:AM20 AO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M21 AO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O22 R22:AM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M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O22:AO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O20:AO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O20:AO21 AO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M22:O22 R22:AM22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R23:AM23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AO22:AO23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 AO24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topLeftCell="A4" zoomScale="85" zoomScaleNormal="85" workbookViewId="0">
      <selection activeCell="J56" sqref="J56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70" t="s">
        <v>75</v>
      </c>
      <c r="B4" s="170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172</v>
      </c>
      <c r="B6" s="111" t="s">
        <v>173</v>
      </c>
      <c r="C6" t="s">
        <v>169</v>
      </c>
      <c r="D6">
        <v>20170720</v>
      </c>
      <c r="E6">
        <v>149.46968200000001</v>
      </c>
      <c r="F6">
        <v>144.14211499999999</v>
      </c>
      <c r="G6">
        <v>144.43369999999999</v>
      </c>
      <c r="H6">
        <v>171.549352</v>
      </c>
      <c r="I6">
        <v>196.91024899999999</v>
      </c>
      <c r="J6">
        <f>AVERAGE(E6:H6)</f>
        <v>152.39871225000002</v>
      </c>
      <c r="R6">
        <v>146.9</v>
      </c>
      <c r="S6">
        <v>142.80000000000001</v>
      </c>
    </row>
    <row r="7" spans="1:21" x14ac:dyDescent="0.2">
      <c r="A7" t="s">
        <v>172</v>
      </c>
      <c r="B7" s="111" t="s">
        <v>173</v>
      </c>
      <c r="C7" t="s">
        <v>170</v>
      </c>
      <c r="D7">
        <v>20171019</v>
      </c>
      <c r="E7">
        <v>146.93941599999999</v>
      </c>
      <c r="F7">
        <v>142.659886</v>
      </c>
      <c r="G7">
        <v>125.927306</v>
      </c>
      <c r="H7">
        <v>151.717051</v>
      </c>
      <c r="I7">
        <v>173.597959</v>
      </c>
      <c r="J7">
        <f t="shared" ref="J7:J22" si="0">AVERAGE(E7:G7)</f>
        <v>138.50886933333331</v>
      </c>
      <c r="K7">
        <v>140.38264030561061</v>
      </c>
      <c r="L7">
        <v>141.33157211409033</v>
      </c>
      <c r="M7">
        <v>124.50293315756643</v>
      </c>
      <c r="N7">
        <v>126.29132450934587</v>
      </c>
      <c r="O7">
        <v>125.89384590743168</v>
      </c>
      <c r="P7">
        <v>135.45898777359193</v>
      </c>
      <c r="Q7">
        <v>132.31021729460613</v>
      </c>
      <c r="R7">
        <v>140.6</v>
      </c>
      <c r="S7">
        <v>136.5</v>
      </c>
      <c r="T7" s="96"/>
      <c r="U7" s="95"/>
    </row>
    <row r="8" spans="1:21" x14ac:dyDescent="0.2">
      <c r="A8" t="s">
        <v>172</v>
      </c>
      <c r="B8" s="111" t="s">
        <v>173</v>
      </c>
      <c r="C8" t="s">
        <v>167</v>
      </c>
      <c r="D8">
        <v>20180215</v>
      </c>
      <c r="E8">
        <v>153.946699</v>
      </c>
      <c r="F8">
        <v>152.617423</v>
      </c>
      <c r="G8">
        <v>152.74212199999999</v>
      </c>
      <c r="H8">
        <v>162.663084</v>
      </c>
      <c r="I8">
        <v>182.99225200000001</v>
      </c>
      <c r="J8">
        <f t="shared" si="0"/>
        <v>153.10208133333333</v>
      </c>
      <c r="K8">
        <v>143.00944556292507</v>
      </c>
      <c r="L8">
        <v>146.02758227004333</v>
      </c>
      <c r="M8">
        <v>165.56615332499845</v>
      </c>
      <c r="N8">
        <v>146.34815809859106</v>
      </c>
      <c r="O8">
        <v>143.88672851850754</v>
      </c>
      <c r="P8">
        <v>150.88155872319015</v>
      </c>
      <c r="Q8">
        <v>149.28660441637592</v>
      </c>
      <c r="R8">
        <v>150.69999999999999</v>
      </c>
      <c r="S8">
        <v>149.80000000000001</v>
      </c>
      <c r="T8" s="96"/>
      <c r="U8" s="95"/>
    </row>
    <row r="9" spans="1:21" x14ac:dyDescent="0.2">
      <c r="A9" t="s">
        <v>172</v>
      </c>
      <c r="B9" s="111" t="s">
        <v>173</v>
      </c>
      <c r="C9" t="s">
        <v>42</v>
      </c>
      <c r="D9">
        <v>20180426</v>
      </c>
      <c r="E9">
        <v>151.07409000000001</v>
      </c>
      <c r="F9">
        <v>152.47598099999999</v>
      </c>
      <c r="G9">
        <v>141.96667600000001</v>
      </c>
      <c r="H9">
        <v>150.746432</v>
      </c>
      <c r="I9">
        <v>182.13584800000001</v>
      </c>
      <c r="J9">
        <f t="shared" si="0"/>
        <v>148.50558233333334</v>
      </c>
      <c r="K9">
        <v>147.00476742278184</v>
      </c>
      <c r="L9">
        <v>149.6611691169756</v>
      </c>
      <c r="M9">
        <v>139.23211086984901</v>
      </c>
      <c r="N9">
        <v>138.82569393311147</v>
      </c>
      <c r="O9">
        <v>149.0989357866365</v>
      </c>
      <c r="P9">
        <v>145.30263755917937</v>
      </c>
      <c r="Q9">
        <v>144.85421911475564</v>
      </c>
      <c r="R9">
        <v>138.30000000000001</v>
      </c>
      <c r="S9">
        <v>141.5</v>
      </c>
      <c r="T9" s="9"/>
      <c r="U9" s="62"/>
    </row>
    <row r="10" spans="1:21" x14ac:dyDescent="0.2">
      <c r="A10" t="s">
        <v>172</v>
      </c>
      <c r="B10" s="111" t="s">
        <v>173</v>
      </c>
      <c r="C10" t="s">
        <v>43</v>
      </c>
      <c r="D10">
        <v>20180726</v>
      </c>
      <c r="E10">
        <v>157.246115</v>
      </c>
      <c r="F10">
        <v>155.57111399999999</v>
      </c>
      <c r="G10">
        <v>143.041021</v>
      </c>
      <c r="H10">
        <v>155.776318</v>
      </c>
      <c r="I10">
        <v>185.607181</v>
      </c>
      <c r="J10">
        <f t="shared" si="0"/>
        <v>151.95275000000001</v>
      </c>
      <c r="K10">
        <v>147.2808823306498</v>
      </c>
      <c r="L10">
        <v>144.37232990158628</v>
      </c>
      <c r="M10">
        <v>142.57081338933369</v>
      </c>
      <c r="N10">
        <v>146.22136460914712</v>
      </c>
      <c r="O10">
        <v>144.19685306266561</v>
      </c>
      <c r="P10">
        <v>144.78455144358469</v>
      </c>
      <c r="Q10">
        <v>144.90446578949454</v>
      </c>
      <c r="R10">
        <v>144.1</v>
      </c>
      <c r="S10">
        <v>150.80000000000001</v>
      </c>
      <c r="T10" s="9"/>
      <c r="U10" s="62"/>
    </row>
    <row r="11" spans="1:21" x14ac:dyDescent="0.2">
      <c r="A11" t="s">
        <v>172</v>
      </c>
      <c r="B11" s="111" t="s">
        <v>173</v>
      </c>
      <c r="C11" t="s">
        <v>44</v>
      </c>
      <c r="D11">
        <v>20181025</v>
      </c>
      <c r="E11">
        <v>159.132431</v>
      </c>
      <c r="F11">
        <v>157.79879500000001</v>
      </c>
      <c r="G11">
        <v>141.136312</v>
      </c>
      <c r="H11">
        <v>138.98451800000001</v>
      </c>
      <c r="I11">
        <v>156.872781</v>
      </c>
      <c r="J11">
        <f t="shared" si="0"/>
        <v>152.68917933333333</v>
      </c>
      <c r="K11">
        <v>152.60898874862505</v>
      </c>
      <c r="L11">
        <v>152.95936163316287</v>
      </c>
      <c r="M11">
        <v>148.79197380449349</v>
      </c>
      <c r="N11">
        <v>134.54461874236878</v>
      </c>
      <c r="O11">
        <v>127.45420326598249</v>
      </c>
      <c r="P11">
        <v>151.5308426038138</v>
      </c>
      <c r="Q11">
        <v>144.64833146640777</v>
      </c>
      <c r="R11">
        <v>139.4</v>
      </c>
      <c r="S11">
        <v>146.1</v>
      </c>
      <c r="T11" s="9"/>
      <c r="U11" s="62"/>
    </row>
    <row r="12" spans="1:21" x14ac:dyDescent="0.2">
      <c r="A12" t="s">
        <v>172</v>
      </c>
      <c r="B12" s="111" t="s">
        <v>173</v>
      </c>
      <c r="C12" t="s">
        <v>45</v>
      </c>
      <c r="D12">
        <v>20190214</v>
      </c>
      <c r="E12">
        <v>156.24338499999999</v>
      </c>
      <c r="F12">
        <v>155.762024</v>
      </c>
      <c r="G12">
        <v>139.845811</v>
      </c>
      <c r="H12">
        <v>153.797586</v>
      </c>
      <c r="I12">
        <v>167.28990099999999</v>
      </c>
      <c r="J12">
        <f t="shared" si="0"/>
        <v>150.61707333333334</v>
      </c>
      <c r="K12">
        <v>143.44755751579009</v>
      </c>
      <c r="L12">
        <v>144.21422994009552</v>
      </c>
      <c r="M12">
        <v>144.76411277559811</v>
      </c>
      <c r="N12">
        <v>161.67144109245319</v>
      </c>
      <c r="O12">
        <v>155.80175464665217</v>
      </c>
      <c r="P12">
        <v>144.11731407607408</v>
      </c>
      <c r="Q12">
        <v>149.0027350077772</v>
      </c>
      <c r="R12">
        <v>157.19999999999999</v>
      </c>
      <c r="S12">
        <v>156.6</v>
      </c>
      <c r="T12" s="9"/>
      <c r="U12" s="62"/>
    </row>
    <row r="13" spans="1:21" x14ac:dyDescent="0.2">
      <c r="A13" t="s">
        <v>172</v>
      </c>
      <c r="B13" s="111" t="s">
        <v>173</v>
      </c>
      <c r="C13" t="s">
        <v>46</v>
      </c>
      <c r="D13">
        <v>20190425</v>
      </c>
      <c r="E13">
        <v>152.013914</v>
      </c>
      <c r="F13">
        <v>151.76389900000001</v>
      </c>
      <c r="G13">
        <v>147.686375</v>
      </c>
      <c r="H13">
        <v>153.59629000000001</v>
      </c>
      <c r="I13">
        <v>165.057221</v>
      </c>
      <c r="J13">
        <f t="shared" si="0"/>
        <v>150.48806266666668</v>
      </c>
      <c r="K13">
        <v>152.36087551738589</v>
      </c>
      <c r="L13">
        <v>152.5803656955562</v>
      </c>
      <c r="M13">
        <v>165.37990061783117</v>
      </c>
      <c r="N13">
        <v>156.39503609634031</v>
      </c>
      <c r="O13">
        <v>154.50998927066135</v>
      </c>
      <c r="P13">
        <v>156.46586467288947</v>
      </c>
      <c r="Q13">
        <v>156.2820053117774</v>
      </c>
      <c r="R13">
        <v>145.1</v>
      </c>
      <c r="S13">
        <v>147.80000000000001</v>
      </c>
      <c r="T13" s="9"/>
      <c r="U13" s="62"/>
    </row>
    <row r="14" spans="1:21" x14ac:dyDescent="0.2">
      <c r="A14" t="s">
        <v>172</v>
      </c>
      <c r="B14" s="111" t="s">
        <v>173</v>
      </c>
      <c r="C14" t="s">
        <v>47</v>
      </c>
      <c r="D14">
        <v>20190725</v>
      </c>
      <c r="E14">
        <v>162.39758900000001</v>
      </c>
      <c r="F14">
        <v>160.91308000000001</v>
      </c>
      <c r="G14">
        <v>152.37609699999999</v>
      </c>
      <c r="H14">
        <v>153.98502999999999</v>
      </c>
      <c r="I14">
        <v>160.97738899999999</v>
      </c>
      <c r="J14">
        <f t="shared" si="0"/>
        <v>158.56225533333335</v>
      </c>
      <c r="K14">
        <v>157.89583349718899</v>
      </c>
      <c r="L14">
        <v>156.71021488450293</v>
      </c>
      <c r="M14">
        <v>152.4933301166069</v>
      </c>
      <c r="N14">
        <v>148.1740700507805</v>
      </c>
      <c r="O14">
        <v>144.14672651128666</v>
      </c>
      <c r="P14">
        <v>155.72996902868408</v>
      </c>
      <c r="Q14">
        <v>152.5250240148417</v>
      </c>
      <c r="R14">
        <v>153.9</v>
      </c>
      <c r="S14">
        <v>160.19999999999999</v>
      </c>
      <c r="T14" s="9"/>
      <c r="U14" s="62"/>
    </row>
    <row r="15" spans="1:21" x14ac:dyDescent="0.2">
      <c r="A15" t="s">
        <v>172</v>
      </c>
      <c r="B15" s="111" t="s">
        <v>173</v>
      </c>
      <c r="C15" t="s">
        <v>48</v>
      </c>
      <c r="D15">
        <v>20191024</v>
      </c>
      <c r="E15">
        <v>163.18246400000001</v>
      </c>
      <c r="F15">
        <v>164.20895300000001</v>
      </c>
      <c r="G15">
        <v>159.61313000000001</v>
      </c>
      <c r="H15">
        <v>152.543071</v>
      </c>
      <c r="I15">
        <v>150.24463700000001</v>
      </c>
      <c r="J15">
        <f t="shared" si="0"/>
        <v>162.33484900000002</v>
      </c>
      <c r="K15">
        <v>160.97425395151646</v>
      </c>
      <c r="L15">
        <v>163.48126746812625</v>
      </c>
      <c r="M15">
        <v>167.80862569278173</v>
      </c>
      <c r="N15">
        <v>158.69984227817471</v>
      </c>
      <c r="O15">
        <v>149.51907840547719</v>
      </c>
      <c r="P15">
        <v>164.01155971911143</v>
      </c>
      <c r="Q15">
        <v>160.74910458586464</v>
      </c>
      <c r="R15">
        <v>150.4</v>
      </c>
      <c r="S15">
        <v>160</v>
      </c>
      <c r="T15" s="9"/>
      <c r="U15" s="62"/>
    </row>
    <row r="16" spans="1:21" x14ac:dyDescent="0.2">
      <c r="A16" t="s">
        <v>172</v>
      </c>
      <c r="B16" s="111" t="s">
        <v>173</v>
      </c>
      <c r="C16" t="s">
        <v>49</v>
      </c>
      <c r="D16">
        <v>20200213</v>
      </c>
      <c r="E16">
        <v>181.170793</v>
      </c>
      <c r="F16">
        <v>179.58016799999999</v>
      </c>
      <c r="G16">
        <v>183.37132099999999</v>
      </c>
      <c r="H16">
        <v>167.44865200000001</v>
      </c>
      <c r="I16">
        <v>160.30910399999999</v>
      </c>
      <c r="J16">
        <f t="shared" si="0"/>
        <v>181.37409399999999</v>
      </c>
      <c r="K16">
        <v>177.63751183460496</v>
      </c>
      <c r="L16">
        <v>174.97722478018599</v>
      </c>
      <c r="M16">
        <v>183.81577605802227</v>
      </c>
      <c r="N16">
        <v>175.63422674242611</v>
      </c>
      <c r="O16">
        <v>170.71795141679499</v>
      </c>
      <c r="P16">
        <v>178.76540507947249</v>
      </c>
      <c r="Q16">
        <v>176.92468265191781</v>
      </c>
      <c r="R16">
        <v>165.9</v>
      </c>
      <c r="S16">
        <v>168.9</v>
      </c>
      <c r="T16" s="9"/>
      <c r="U16" s="62"/>
    </row>
    <row r="17" spans="1:21" x14ac:dyDescent="0.2">
      <c r="A17" t="s">
        <v>172</v>
      </c>
      <c r="B17" s="111" t="s">
        <v>173</v>
      </c>
      <c r="C17" t="s">
        <v>50</v>
      </c>
      <c r="D17">
        <v>20200430</v>
      </c>
      <c r="E17">
        <v>149.87626299999999</v>
      </c>
      <c r="F17">
        <v>149.754006</v>
      </c>
      <c r="G17">
        <v>133.65156400000001</v>
      </c>
      <c r="H17">
        <v>142.91805600000001</v>
      </c>
      <c r="I17">
        <v>139.81905699999999</v>
      </c>
      <c r="J17">
        <f t="shared" si="0"/>
        <v>144.42727766666667</v>
      </c>
      <c r="K17">
        <v>139.72506495956</v>
      </c>
      <c r="L17">
        <v>140.8476887793089</v>
      </c>
      <c r="M17">
        <v>123.10403304342232</v>
      </c>
      <c r="N17">
        <v>144.15678699163252</v>
      </c>
      <c r="O17">
        <v>147.31190018565633</v>
      </c>
      <c r="P17">
        <v>134.49421943301343</v>
      </c>
      <c r="Q17">
        <v>138.27328223209892</v>
      </c>
      <c r="R17">
        <v>151.80000000000001</v>
      </c>
      <c r="S17">
        <v>138.5</v>
      </c>
      <c r="T17" s="9"/>
      <c r="U17" s="62"/>
    </row>
    <row r="18" spans="1:21" x14ac:dyDescent="0.2">
      <c r="A18" t="s">
        <v>172</v>
      </c>
      <c r="B18" s="111" t="s">
        <v>173</v>
      </c>
      <c r="C18" t="s">
        <v>51</v>
      </c>
      <c r="D18">
        <v>20200730</v>
      </c>
      <c r="E18">
        <v>115.597354</v>
      </c>
      <c r="F18">
        <v>115.08188800000001</v>
      </c>
      <c r="G18">
        <v>91.67004</v>
      </c>
      <c r="H18">
        <v>115.88928799999999</v>
      </c>
      <c r="I18">
        <v>114.760785</v>
      </c>
      <c r="J18">
        <f t="shared" si="0"/>
        <v>107.44976066666668</v>
      </c>
      <c r="K18">
        <v>106.82300991852192</v>
      </c>
      <c r="L18">
        <v>106.43348991946166</v>
      </c>
      <c r="M18">
        <v>94.995525379710486</v>
      </c>
      <c r="N18">
        <v>112.30677800431317</v>
      </c>
      <c r="O18">
        <v>113.67812845783963</v>
      </c>
      <c r="P18">
        <v>103.0400357381243</v>
      </c>
      <c r="Q18">
        <v>106.21282790299519</v>
      </c>
      <c r="R18">
        <v>87.3</v>
      </c>
      <c r="S18">
        <v>113.8</v>
      </c>
      <c r="T18" s="9"/>
      <c r="U18" s="62"/>
    </row>
    <row r="19" spans="1:21" x14ac:dyDescent="0.2">
      <c r="A19" t="s">
        <v>172</v>
      </c>
      <c r="B19" s="111" t="s">
        <v>173</v>
      </c>
      <c r="C19" t="s">
        <v>52</v>
      </c>
      <c r="D19">
        <v>20201022</v>
      </c>
      <c r="E19">
        <v>152.84706700000001</v>
      </c>
      <c r="F19">
        <v>144.914492</v>
      </c>
      <c r="G19">
        <v>152.36250200000001</v>
      </c>
      <c r="H19">
        <v>146.97776400000001</v>
      </c>
      <c r="I19">
        <v>141.99055100000001</v>
      </c>
      <c r="J19">
        <f t="shared" si="0"/>
        <v>150.04135366666668</v>
      </c>
      <c r="K19">
        <v>150.4705395298235</v>
      </c>
      <c r="L19">
        <v>143.3003009961046</v>
      </c>
      <c r="M19">
        <v>189.1441601596334</v>
      </c>
      <c r="N19">
        <v>144.32800331985817</v>
      </c>
      <c r="O19">
        <v>140.80179657014372</v>
      </c>
      <c r="P19">
        <v>158.90873968752939</v>
      </c>
      <c r="Q19">
        <v>154.49225671051548</v>
      </c>
      <c r="R19">
        <v>143</v>
      </c>
      <c r="S19">
        <v>161.19999999999999</v>
      </c>
      <c r="T19" s="9"/>
      <c r="U19" s="62"/>
    </row>
    <row r="20" spans="1:21" x14ac:dyDescent="0.2">
      <c r="A20" t="s">
        <v>172</v>
      </c>
      <c r="B20" s="111" t="s">
        <v>173</v>
      </c>
      <c r="C20" t="s">
        <v>53</v>
      </c>
      <c r="D20">
        <v>20210218</v>
      </c>
      <c r="E20">
        <v>148.53202099999999</v>
      </c>
      <c r="F20">
        <v>148.92893000000001</v>
      </c>
      <c r="G20">
        <v>164.076457</v>
      </c>
      <c r="H20">
        <v>141.36845500000001</v>
      </c>
      <c r="I20">
        <v>129.38269500000001</v>
      </c>
      <c r="J20">
        <f>AVERAGE(E20:G20)</f>
        <v>153.84580266666669</v>
      </c>
      <c r="K20">
        <v>156.64914123082252</v>
      </c>
      <c r="L20">
        <v>165.6655810241532</v>
      </c>
      <c r="M20">
        <v>173.59340074633323</v>
      </c>
      <c r="N20">
        <v>155.0479087843519</v>
      </c>
      <c r="O20">
        <v>146.88646735373257</v>
      </c>
      <c r="P20">
        <v>165.28738766888534</v>
      </c>
      <c r="Q20">
        <v>160.52164780137977</v>
      </c>
      <c r="R20">
        <v>162.80000000000001</v>
      </c>
      <c r="S20" s="10">
        <v>155.19999999999999</v>
      </c>
    </row>
    <row r="21" spans="1:21" x14ac:dyDescent="0.2">
      <c r="A21" t="s">
        <v>172</v>
      </c>
      <c r="B21" s="111" t="s">
        <v>173</v>
      </c>
      <c r="C21" t="s">
        <v>54</v>
      </c>
      <c r="D21">
        <v>20210429</v>
      </c>
      <c r="E21">
        <v>144.263015</v>
      </c>
      <c r="F21">
        <v>136.635402</v>
      </c>
      <c r="G21">
        <v>134.34724</v>
      </c>
      <c r="H21">
        <v>140.76273599999999</v>
      </c>
      <c r="I21">
        <v>118.319789</v>
      </c>
      <c r="J21">
        <f>AVERAGE(E21:G21)</f>
        <v>138.41521900000001</v>
      </c>
      <c r="K21">
        <v>150.73934749733192</v>
      </c>
      <c r="L21">
        <v>142.38881854855197</v>
      </c>
      <c r="M21">
        <v>127.07911926694028</v>
      </c>
      <c r="N21">
        <v>154.53501721582793</v>
      </c>
      <c r="O21">
        <v>141.92957762087113</v>
      </c>
      <c r="P21">
        <v>139.63359166414523</v>
      </c>
      <c r="Q21">
        <v>142.7175786356114</v>
      </c>
      <c r="R21">
        <v>137.6</v>
      </c>
      <c r="S21" s="10">
        <v>145.30000000000001</v>
      </c>
    </row>
    <row r="22" spans="1:21" x14ac:dyDescent="0.2">
      <c r="A22" t="s">
        <v>172</v>
      </c>
      <c r="B22" s="111" t="s">
        <v>173</v>
      </c>
      <c r="C22" t="s">
        <v>55</v>
      </c>
      <c r="D22">
        <v>20210722</v>
      </c>
      <c r="E22">
        <v>171.50645</v>
      </c>
      <c r="F22">
        <v>164.22787</v>
      </c>
      <c r="G22">
        <v>162.109667</v>
      </c>
      <c r="H22">
        <v>169.51307800000001</v>
      </c>
      <c r="I22">
        <v>133.535212</v>
      </c>
      <c r="J22">
        <f t="shared" si="0"/>
        <v>165.94799566666669</v>
      </c>
      <c r="K22">
        <v>172.73926505001992</v>
      </c>
      <c r="L22">
        <v>174.64221689046593</v>
      </c>
      <c r="M22">
        <v>175.32577978602316</v>
      </c>
      <c r="N22">
        <v>174.97706376920667</v>
      </c>
      <c r="O22">
        <v>163.98496369529533</v>
      </c>
      <c r="P22">
        <v>174.20225857076215</v>
      </c>
      <c r="Q22">
        <v>172.64525796029554</v>
      </c>
      <c r="R22">
        <v>154.5</v>
      </c>
      <c r="S22" s="10">
        <v>160.1</v>
      </c>
    </row>
    <row r="23" spans="1:21" x14ac:dyDescent="0.2">
      <c r="A23" t="s">
        <v>172</v>
      </c>
      <c r="B23" s="111" t="s">
        <v>173</v>
      </c>
      <c r="C23" t="s">
        <v>71</v>
      </c>
      <c r="D23">
        <v>20211104</v>
      </c>
      <c r="E23">
        <v>164.92459099999999</v>
      </c>
      <c r="F23">
        <v>158.93974299999999</v>
      </c>
      <c r="G23">
        <v>141.48883699999999</v>
      </c>
      <c r="H23">
        <v>157.24062599999999</v>
      </c>
      <c r="I23">
        <v>127.761791</v>
      </c>
      <c r="J23">
        <f>AVERAGE(E23:G23)</f>
        <v>155.11772366666665</v>
      </c>
      <c r="K23">
        <v>127.1639606439886</v>
      </c>
      <c r="L23">
        <v>127.42577321698083</v>
      </c>
      <c r="M23">
        <v>135.03549762602205</v>
      </c>
      <c r="N23">
        <v>150.56224493942582</v>
      </c>
      <c r="O23">
        <v>131.75031893525326</v>
      </c>
      <c r="P23">
        <v>153.79679319259506</v>
      </c>
      <c r="Q23">
        <v>137.62243142571094</v>
      </c>
      <c r="R23" s="6">
        <f>'1. Data &amp; Confidence Interval'!AN14</f>
        <v>157.1</v>
      </c>
      <c r="S23" s="10"/>
    </row>
    <row r="24" spans="1:21" x14ac:dyDescent="0.2">
      <c r="A24" s="168" t="s">
        <v>171</v>
      </c>
      <c r="B24" s="169"/>
      <c r="C24" s="169"/>
      <c r="D24" s="169"/>
      <c r="E24" s="107">
        <f t="shared" ref="E24:R24" si="1">CORREL(E6:E22,$S6:$S22)</f>
        <v>0.88382784097534828</v>
      </c>
      <c r="F24" s="107">
        <f t="shared" si="1"/>
        <v>0.84282824338486928</v>
      </c>
      <c r="G24" s="108">
        <f t="shared" si="1"/>
        <v>0.92236299121250176</v>
      </c>
      <c r="H24" s="107">
        <f t="shared" si="1"/>
        <v>0.64222623182791327</v>
      </c>
      <c r="I24" s="107">
        <f t="shared" si="1"/>
        <v>0.14711622051816409</v>
      </c>
      <c r="J24" s="108">
        <f>CORREL(J6:J22,$S6:$S22)</f>
        <v>0.90655867057651862</v>
      </c>
      <c r="K24" s="107">
        <f t="shared" si="1"/>
        <v>0.8902179182832578</v>
      </c>
      <c r="L24" s="107">
        <f t="shared" si="1"/>
        <v>0.84513975265990759</v>
      </c>
      <c r="M24" s="107">
        <f t="shared" si="1"/>
        <v>0.88114437686323388</v>
      </c>
      <c r="N24" s="107">
        <f t="shared" si="1"/>
        <v>0.83973772904834065</v>
      </c>
      <c r="O24" s="107">
        <f t="shared" si="1"/>
        <v>0.77228685420654186</v>
      </c>
      <c r="P24" s="107">
        <f t="shared" si="1"/>
        <v>0.9209562776753476</v>
      </c>
      <c r="Q24" s="107">
        <f t="shared" si="1"/>
        <v>0.92932018414814099</v>
      </c>
      <c r="R24" s="107">
        <f t="shared" si="1"/>
        <v>0.84306939492524102</v>
      </c>
      <c r="S24" s="5"/>
    </row>
    <row r="26" spans="1:21" x14ac:dyDescent="0.2">
      <c r="A26" s="171" t="s">
        <v>76</v>
      </c>
      <c r="B26" s="172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9" si="2">A6</f>
        <v>NUVA</v>
      </c>
      <c r="B28" s="9" t="str">
        <f t="shared" si="2"/>
        <v>SPINAL HARDWARE</v>
      </c>
      <c r="C28" s="9" t="str">
        <f t="shared" si="2"/>
        <v>2017Q2</v>
      </c>
      <c r="D28" s="9">
        <f t="shared" si="2"/>
        <v>20170720</v>
      </c>
      <c r="E28" s="18">
        <f t="shared" ref="E28:E38" si="3">$S6/E6-1</f>
        <v>-4.4622306749806273E-2</v>
      </c>
      <c r="F28" s="18">
        <f t="shared" ref="E28:R39" si="4">$S6/F6-1</f>
        <v>-9.3110538859512149E-3</v>
      </c>
      <c r="G28" s="18">
        <f t="shared" si="4"/>
        <v>-1.1311072138981304E-2</v>
      </c>
      <c r="H28" s="18">
        <f t="shared" si="4"/>
        <v>-0.16758647972042462</v>
      </c>
      <c r="I28" s="18">
        <f t="shared" si="4"/>
        <v>-0.27479650894149232</v>
      </c>
      <c r="J28" s="18">
        <f t="shared" si="4"/>
        <v>-6.2984208385264751E-2</v>
      </c>
      <c r="K28" s="18"/>
      <c r="L28" s="18"/>
      <c r="M28" s="18"/>
      <c r="N28" s="18"/>
      <c r="O28" s="18"/>
      <c r="P28" s="18"/>
      <c r="Q28" s="18"/>
      <c r="R28" s="40">
        <f t="shared" si="4"/>
        <v>-2.7910142954390649E-2</v>
      </c>
    </row>
    <row r="29" spans="1:21" x14ac:dyDescent="0.2">
      <c r="A29" s="9" t="str">
        <f t="shared" si="2"/>
        <v>NUVA</v>
      </c>
      <c r="B29" s="9" t="str">
        <f t="shared" si="2"/>
        <v>SPINAL HARDWARE</v>
      </c>
      <c r="C29" s="9" t="str">
        <f t="shared" si="2"/>
        <v>2017Q3</v>
      </c>
      <c r="D29" s="9">
        <f t="shared" si="2"/>
        <v>20171019</v>
      </c>
      <c r="E29" s="18">
        <f t="shared" si="3"/>
        <v>-7.1045715875173943E-2</v>
      </c>
      <c r="F29" s="18">
        <f t="shared" si="4"/>
        <v>-4.317882323276212E-2</v>
      </c>
      <c r="G29" s="18">
        <f t="shared" si="4"/>
        <v>8.3958708685469619E-2</v>
      </c>
      <c r="H29" s="18">
        <f t="shared" si="4"/>
        <v>-0.10029888466524439</v>
      </c>
      <c r="I29" s="18">
        <f t="shared" si="4"/>
        <v>-0.21370043296419172</v>
      </c>
      <c r="J29" s="18">
        <f t="shared" si="4"/>
        <v>-1.4503542935570435E-2</v>
      </c>
      <c r="K29" s="18">
        <f t="shared" si="4"/>
        <v>-2.7657552936446894E-2</v>
      </c>
      <c r="L29" s="18">
        <f t="shared" si="4"/>
        <v>-3.4186077758973976E-2</v>
      </c>
      <c r="M29" s="18">
        <f t="shared" si="4"/>
        <v>9.6359712483645055E-2</v>
      </c>
      <c r="N29" s="18">
        <f t="shared" si="4"/>
        <v>8.0834337040298188E-2</v>
      </c>
      <c r="O29" s="18">
        <f t="shared" si="4"/>
        <v>8.4246803456675012E-2</v>
      </c>
      <c r="P29" s="18">
        <f t="shared" si="4"/>
        <v>7.6850731244797466E-3</v>
      </c>
      <c r="Q29" s="18">
        <f t="shared" si="4"/>
        <v>3.1666357980992155E-2</v>
      </c>
      <c r="R29" s="40">
        <f t="shared" si="4"/>
        <v>-2.9160739687055459E-2</v>
      </c>
    </row>
    <row r="30" spans="1:21" x14ac:dyDescent="0.2">
      <c r="A30" s="9" t="str">
        <f t="shared" ref="A30:D30" si="5">A8</f>
        <v>NUVA</v>
      </c>
      <c r="B30" s="9" t="str">
        <f t="shared" si="5"/>
        <v>SPINAL HARDWARE</v>
      </c>
      <c r="C30" s="9" t="str">
        <f t="shared" si="5"/>
        <v>2017Q4</v>
      </c>
      <c r="D30" s="9">
        <f t="shared" si="5"/>
        <v>20180215</v>
      </c>
      <c r="E30" s="18">
        <f t="shared" si="3"/>
        <v>-2.6935939691697941E-2</v>
      </c>
      <c r="F30" s="18">
        <f t="shared" si="4"/>
        <v>-1.8460690428510174E-2</v>
      </c>
      <c r="G30" s="18">
        <f t="shared" si="4"/>
        <v>-1.9262021251740813E-2</v>
      </c>
      <c r="H30" s="18">
        <f t="shared" si="4"/>
        <v>-7.9078077727826601E-2</v>
      </c>
      <c r="I30" s="18">
        <f t="shared" si="4"/>
        <v>-0.18138610589917215</v>
      </c>
      <c r="J30" s="18">
        <f t="shared" si="4"/>
        <v>-2.1567840910954317E-2</v>
      </c>
      <c r="K30" s="18">
        <f t="shared" si="4"/>
        <v>4.7483258258539607E-2</v>
      </c>
      <c r="L30" s="18">
        <f t="shared" si="4"/>
        <v>2.5833597128113173E-2</v>
      </c>
      <c r="M30" s="18">
        <f t="shared" si="4"/>
        <v>-9.522570288898502E-2</v>
      </c>
      <c r="N30" s="18">
        <f t="shared" si="4"/>
        <v>2.3586507314178329E-2</v>
      </c>
      <c r="O30" s="18">
        <f t="shared" si="4"/>
        <v>4.1096712270665581E-2</v>
      </c>
      <c r="P30" s="18">
        <f t="shared" si="4"/>
        <v>-7.1682631883090986E-3</v>
      </c>
      <c r="Q30" s="18">
        <f t="shared" si="4"/>
        <v>3.4389929734899294E-3</v>
      </c>
      <c r="R30" s="40">
        <f t="shared" si="4"/>
        <v>-5.9721300597211924E-3</v>
      </c>
    </row>
    <row r="31" spans="1:21" x14ac:dyDescent="0.2">
      <c r="A31" s="9" t="str">
        <f>A9</f>
        <v>NUVA</v>
      </c>
      <c r="B31" s="9" t="str">
        <f t="shared" ref="B31:D31" si="6">B9</f>
        <v>SPINAL HARDWARE</v>
      </c>
      <c r="C31" s="9" t="str">
        <f t="shared" si="6"/>
        <v>2018Q1</v>
      </c>
      <c r="D31" s="9">
        <f t="shared" si="6"/>
        <v>20180426</v>
      </c>
      <c r="E31" s="18">
        <f t="shared" si="3"/>
        <v>-6.3373474564698773E-2</v>
      </c>
      <c r="F31" s="18">
        <f t="shared" ref="F31:J31" si="7">$S9/F9-1</f>
        <v>-7.1984983654573065E-2</v>
      </c>
      <c r="G31" s="18">
        <f t="shared" si="7"/>
        <v>-3.2872221365527476E-3</v>
      </c>
      <c r="H31" s="18">
        <f t="shared" si="7"/>
        <v>-6.1337650764430651E-2</v>
      </c>
      <c r="I31" s="18">
        <f t="shared" si="7"/>
        <v>-0.22310735885447441</v>
      </c>
      <c r="J31" s="18">
        <f t="shared" si="7"/>
        <v>-4.7173865273351878E-2</v>
      </c>
      <c r="K31" s="18">
        <f t="shared" ref="K31:Q31" si="8">$S9/K9-1</f>
        <v>-3.7446182999972155E-2</v>
      </c>
      <c r="L31" s="18">
        <f t="shared" si="8"/>
        <v>-5.4530972630561281E-2</v>
      </c>
      <c r="M31" s="18">
        <f t="shared" si="8"/>
        <v>1.6288549501852767E-2</v>
      </c>
      <c r="N31" s="18">
        <f t="shared" si="8"/>
        <v>1.9263768767308065E-2</v>
      </c>
      <c r="O31" s="18">
        <f t="shared" si="8"/>
        <v>-5.0965727867506194E-2</v>
      </c>
      <c r="P31" s="18">
        <f t="shared" si="8"/>
        <v>-2.6170464783411895E-2</v>
      </c>
      <c r="Q31" s="18">
        <f t="shared" si="8"/>
        <v>-2.3155826148897884E-2</v>
      </c>
      <c r="R31" s="40">
        <f>$S9/R9-1</f>
        <v>2.3138105567606537E-2</v>
      </c>
    </row>
    <row r="32" spans="1:21" x14ac:dyDescent="0.2">
      <c r="A32" s="9" t="str">
        <f t="shared" ref="A32:D32" si="9">A10</f>
        <v>NUVA</v>
      </c>
      <c r="B32" s="9" t="str">
        <f t="shared" si="9"/>
        <v>SPINAL HARDWARE</v>
      </c>
      <c r="C32" s="9" t="str">
        <f t="shared" si="9"/>
        <v>2018Q2</v>
      </c>
      <c r="D32" s="9">
        <f t="shared" si="9"/>
        <v>20180726</v>
      </c>
      <c r="E32" s="18">
        <f t="shared" si="3"/>
        <v>-4.0993794981834641E-2</v>
      </c>
      <c r="F32" s="18">
        <f t="shared" ref="F32:J32" si="10">$S10/F10-1</f>
        <v>-3.0668379735327878E-2</v>
      </c>
      <c r="G32" s="18">
        <f t="shared" si="10"/>
        <v>5.424303424120569E-2</v>
      </c>
      <c r="H32" s="18">
        <f t="shared" si="10"/>
        <v>-3.1945279384508196E-2</v>
      </c>
      <c r="I32" s="18">
        <f t="shared" si="10"/>
        <v>-0.18753143500412295</v>
      </c>
      <c r="J32" s="18">
        <f t="shared" si="10"/>
        <v>-7.5862398015171806E-3</v>
      </c>
      <c r="K32" s="18">
        <f t="shared" ref="K32:Q32" si="11">$S10/K10-1</f>
        <v>2.3893920335496643E-2</v>
      </c>
      <c r="L32" s="18">
        <f t="shared" si="11"/>
        <v>4.4521482078977659E-2</v>
      </c>
      <c r="M32" s="18">
        <f t="shared" si="11"/>
        <v>5.7719994822460485E-2</v>
      </c>
      <c r="N32" s="18">
        <f t="shared" si="11"/>
        <v>3.1313039671676535E-2</v>
      </c>
      <c r="O32" s="18">
        <f t="shared" si="11"/>
        <v>4.5792586988460782E-2</v>
      </c>
      <c r="P32" s="18">
        <f t="shared" si="11"/>
        <v>4.1547585681192212E-2</v>
      </c>
      <c r="Q32" s="18">
        <f t="shared" si="11"/>
        <v>4.0685662642516718E-2</v>
      </c>
      <c r="R32" s="40">
        <f t="shared" ref="R32:R39" si="12">$S10/R10-1</f>
        <v>4.6495489243580934E-2</v>
      </c>
    </row>
    <row r="33" spans="1:18" x14ac:dyDescent="0.2">
      <c r="A33" s="9" t="str">
        <f t="shared" ref="A33:D33" si="13">A11</f>
        <v>NUVA</v>
      </c>
      <c r="B33" s="9" t="str">
        <f t="shared" si="13"/>
        <v>SPINAL HARDWARE</v>
      </c>
      <c r="C33" s="9" t="str">
        <f t="shared" si="13"/>
        <v>2018Q3</v>
      </c>
      <c r="D33" s="9">
        <f t="shared" si="13"/>
        <v>20181025</v>
      </c>
      <c r="E33" s="18">
        <f t="shared" si="3"/>
        <v>-8.1896763080305135E-2</v>
      </c>
      <c r="F33" s="18">
        <f t="shared" ref="F33:J33" si="14">$S11/F11-1</f>
        <v>-7.4137416575329462E-2</v>
      </c>
      <c r="G33" s="18">
        <f t="shared" si="14"/>
        <v>3.5169460854269641E-2</v>
      </c>
      <c r="H33" s="18">
        <f t="shared" si="14"/>
        <v>5.1196220286924277E-2</v>
      </c>
      <c r="I33" s="18">
        <f t="shared" si="14"/>
        <v>-6.8672085312237896E-2</v>
      </c>
      <c r="J33" s="18">
        <f t="shared" si="14"/>
        <v>-4.3154199676118554E-2</v>
      </c>
      <c r="K33" s="18">
        <f t="shared" ref="K33:Q33" si="15">$S11/K11-1</f>
        <v>-4.2651411309372778E-2</v>
      </c>
      <c r="L33" s="18">
        <f t="shared" si="15"/>
        <v>-4.4844340090889223E-2</v>
      </c>
      <c r="M33" s="18">
        <f t="shared" si="15"/>
        <v>-1.8092197688234446E-2</v>
      </c>
      <c r="N33" s="18">
        <f t="shared" si="15"/>
        <v>8.5885123951020992E-2</v>
      </c>
      <c r="O33" s="18">
        <f t="shared" si="15"/>
        <v>0.14629409039657837</v>
      </c>
      <c r="P33" s="18">
        <f t="shared" si="15"/>
        <v>-3.583984956787345E-2</v>
      </c>
      <c r="Q33" s="18">
        <f t="shared" si="15"/>
        <v>1.0035847070447135E-2</v>
      </c>
      <c r="R33" s="40">
        <f t="shared" si="12"/>
        <v>4.8063127690100238E-2</v>
      </c>
    </row>
    <row r="34" spans="1:18" x14ac:dyDescent="0.2">
      <c r="A34" s="9" t="str">
        <f t="shared" ref="A34:D34" si="16">A12</f>
        <v>NUVA</v>
      </c>
      <c r="B34" s="9" t="str">
        <f t="shared" si="16"/>
        <v>SPINAL HARDWARE</v>
      </c>
      <c r="C34" s="9" t="str">
        <f t="shared" si="16"/>
        <v>2018Q4</v>
      </c>
      <c r="D34" s="9">
        <f t="shared" si="16"/>
        <v>20190214</v>
      </c>
      <c r="E34" s="18">
        <f t="shared" si="3"/>
        <v>2.2824326290677988E-3</v>
      </c>
      <c r="F34" s="18">
        <f t="shared" ref="F34:J34" si="17">$S12/F12-1</f>
        <v>5.3798479146625056E-3</v>
      </c>
      <c r="G34" s="18">
        <f t="shared" si="17"/>
        <v>0.11980472550586452</v>
      </c>
      <c r="H34" s="18">
        <f t="shared" si="17"/>
        <v>1.8221443345671329E-2</v>
      </c>
      <c r="I34" s="18">
        <f t="shared" si="17"/>
        <v>-6.390045625049412E-2</v>
      </c>
      <c r="J34" s="18">
        <f t="shared" si="17"/>
        <v>3.9722765382817826E-2</v>
      </c>
      <c r="K34" s="18">
        <f t="shared" ref="K34:Q34" si="18">$S12/K12-1</f>
        <v>9.168815915713413E-2</v>
      </c>
      <c r="L34" s="18">
        <f t="shared" si="18"/>
        <v>8.5884521000801017E-2</v>
      </c>
      <c r="M34" s="18">
        <f t="shared" si="18"/>
        <v>8.1759816003217134E-2</v>
      </c>
      <c r="N34" s="18">
        <f t="shared" si="18"/>
        <v>-3.1368812315794581E-2</v>
      </c>
      <c r="O34" s="18">
        <f t="shared" si="18"/>
        <v>5.1234683149634641E-3</v>
      </c>
      <c r="P34" s="18">
        <f t="shared" si="18"/>
        <v>8.6614755513253483E-2</v>
      </c>
      <c r="Q34" s="18">
        <f t="shared" si="18"/>
        <v>5.0987419739820572E-2</v>
      </c>
      <c r="R34" s="40">
        <f t="shared" si="12"/>
        <v>-3.8167938931297218E-3</v>
      </c>
    </row>
    <row r="35" spans="1:18" x14ac:dyDescent="0.2">
      <c r="A35" s="9" t="str">
        <f t="shared" ref="A35:D35" si="19">A13</f>
        <v>NUVA</v>
      </c>
      <c r="B35" s="9" t="str">
        <f t="shared" si="19"/>
        <v>SPINAL HARDWARE</v>
      </c>
      <c r="C35" s="9" t="str">
        <f t="shared" si="19"/>
        <v>2019Q1</v>
      </c>
      <c r="D35" s="9">
        <f t="shared" si="19"/>
        <v>20190425</v>
      </c>
      <c r="E35" s="18">
        <f t="shared" si="3"/>
        <v>-2.7720580893667357E-2</v>
      </c>
      <c r="F35" s="18">
        <f t="shared" ref="F35:J35" si="20">$S13/F13-1</f>
        <v>-2.6118853206321457E-2</v>
      </c>
      <c r="G35" s="18">
        <f t="shared" si="20"/>
        <v>7.693668424051392E-4</v>
      </c>
      <c r="H35" s="18">
        <f t="shared" si="20"/>
        <v>-3.7737174511181193E-2</v>
      </c>
      <c r="I35" s="18">
        <f t="shared" si="20"/>
        <v>-0.10455295984899682</v>
      </c>
      <c r="J35" s="18">
        <f t="shared" si="20"/>
        <v>-1.7862298304821445E-2</v>
      </c>
      <c r="K35" s="18">
        <f t="shared" ref="K35:Q35" si="21">$S13/K13-1</f>
        <v>-2.9934689610427223E-2</v>
      </c>
      <c r="L35" s="18">
        <f t="shared" si="21"/>
        <v>-3.1330149680558916E-2</v>
      </c>
      <c r="M35" s="18">
        <f t="shared" si="21"/>
        <v>-0.10630010389506606</v>
      </c>
      <c r="N35" s="18">
        <f t="shared" si="21"/>
        <v>-5.4957218022224863E-2</v>
      </c>
      <c r="O35" s="18">
        <f t="shared" si="21"/>
        <v>-4.3427543438030902E-2</v>
      </c>
      <c r="P35" s="18">
        <f t="shared" si="21"/>
        <v>-5.5385017626729538E-2</v>
      </c>
      <c r="Q35" s="18">
        <f t="shared" si="21"/>
        <v>-5.4273716893100232E-2</v>
      </c>
      <c r="R35" s="40">
        <f t="shared" si="12"/>
        <v>1.8607856650585841E-2</v>
      </c>
    </row>
    <row r="36" spans="1:18" x14ac:dyDescent="0.2">
      <c r="A36" s="9" t="str">
        <f t="shared" ref="A36:D36" si="22">A14</f>
        <v>NUVA</v>
      </c>
      <c r="B36" s="9" t="str">
        <f t="shared" si="22"/>
        <v>SPINAL HARDWARE</v>
      </c>
      <c r="C36" s="9" t="str">
        <f t="shared" si="22"/>
        <v>2019Q2</v>
      </c>
      <c r="D36" s="9">
        <f t="shared" si="22"/>
        <v>20190725</v>
      </c>
      <c r="E36" s="18">
        <f t="shared" si="3"/>
        <v>-1.3532152869584868E-2</v>
      </c>
      <c r="F36" s="18">
        <f t="shared" ref="F36:J36" si="23">$S14/F14-1</f>
        <v>-4.4314607613005208E-3</v>
      </c>
      <c r="G36" s="18">
        <f>$S14/G14-1</f>
        <v>5.1345999497545813E-2</v>
      </c>
      <c r="H36" s="18">
        <f t="shared" si="23"/>
        <v>4.036087144315248E-2</v>
      </c>
      <c r="I36" s="18">
        <f t="shared" si="23"/>
        <v>-4.82918132061394E-3</v>
      </c>
      <c r="J36" s="18">
        <f t="shared" si="23"/>
        <v>1.0328717028045054E-2</v>
      </c>
      <c r="K36" s="18">
        <f t="shared" ref="K36:Q36" si="24">$S14/K14-1</f>
        <v>1.4592953162706701E-2</v>
      </c>
      <c r="L36" s="18">
        <f t="shared" si="24"/>
        <v>2.2269034077128103E-2</v>
      </c>
      <c r="M36" s="18">
        <f t="shared" si="24"/>
        <v>5.0537750585550434E-2</v>
      </c>
      <c r="N36" s="18">
        <f t="shared" si="24"/>
        <v>8.1160826216746917E-2</v>
      </c>
      <c r="O36" s="18">
        <f t="shared" si="24"/>
        <v>0.11136758965841898</v>
      </c>
      <c r="P36" s="18">
        <f t="shared" si="24"/>
        <v>2.8703729919143273E-2</v>
      </c>
      <c r="Q36" s="18">
        <f t="shared" si="24"/>
        <v>5.0319454363183524E-2</v>
      </c>
      <c r="R36" s="40">
        <f t="shared" si="12"/>
        <v>4.0935672514619714E-2</v>
      </c>
    </row>
    <row r="37" spans="1:18" x14ac:dyDescent="0.2">
      <c r="A37" s="9" t="str">
        <f t="shared" ref="A37:D37" si="25">A15</f>
        <v>NUVA</v>
      </c>
      <c r="B37" s="9" t="str">
        <f t="shared" si="25"/>
        <v>SPINAL HARDWARE</v>
      </c>
      <c r="C37" s="9" t="str">
        <f t="shared" si="25"/>
        <v>2019Q3</v>
      </c>
      <c r="D37" s="9">
        <f t="shared" si="25"/>
        <v>20191024</v>
      </c>
      <c r="E37" s="18">
        <f t="shared" si="3"/>
        <v>-1.9502487718288219E-2</v>
      </c>
      <c r="F37" s="18">
        <f t="shared" ref="F37:J37" si="26">$S15/F15-1</f>
        <v>-2.5631690130805573E-2</v>
      </c>
      <c r="G37" s="18">
        <f>$S15/G15-1</f>
        <v>2.4237980922996449E-3</v>
      </c>
      <c r="H37" s="18">
        <f t="shared" si="26"/>
        <v>4.8884088612586085E-2</v>
      </c>
      <c r="I37" s="18">
        <f t="shared" si="26"/>
        <v>6.4929858361599813E-2</v>
      </c>
      <c r="J37" s="18">
        <f t="shared" si="26"/>
        <v>-1.4382919098289371E-2</v>
      </c>
      <c r="K37" s="18">
        <f t="shared" ref="K37:Q37" si="27">$S15/K15-1</f>
        <v>-6.0522346126846704E-3</v>
      </c>
      <c r="L37" s="18">
        <f t="shared" si="27"/>
        <v>-2.1294595534041783E-2</v>
      </c>
      <c r="M37" s="18">
        <f t="shared" si="27"/>
        <v>-4.6532922014852152E-2</v>
      </c>
      <c r="N37" s="18">
        <f t="shared" si="27"/>
        <v>8.1925583741055963E-3</v>
      </c>
      <c r="O37" s="18">
        <f t="shared" si="27"/>
        <v>7.009755347809099E-2</v>
      </c>
      <c r="P37" s="18">
        <f t="shared" si="27"/>
        <v>-2.4459005974833081E-2</v>
      </c>
      <c r="Q37" s="18">
        <f t="shared" si="27"/>
        <v>-4.6600855898671911E-3</v>
      </c>
      <c r="R37" s="40">
        <f t="shared" si="12"/>
        <v>6.3829787234042534E-2</v>
      </c>
    </row>
    <row r="38" spans="1:18" x14ac:dyDescent="0.2">
      <c r="A38" s="9" t="str">
        <f t="shared" ref="A38:D38" si="28">A16</f>
        <v>NUVA</v>
      </c>
      <c r="B38" s="9" t="str">
        <f t="shared" si="28"/>
        <v>SPINAL HARDWARE</v>
      </c>
      <c r="C38" s="9" t="str">
        <f t="shared" si="28"/>
        <v>2019Q4</v>
      </c>
      <c r="D38" s="9">
        <f t="shared" si="28"/>
        <v>20200213</v>
      </c>
      <c r="E38" s="18">
        <f t="shared" si="3"/>
        <v>-6.7730525416422882E-2</v>
      </c>
      <c r="F38" s="18">
        <f t="shared" ref="F38:J38" si="29">$S16/F16-1</f>
        <v>-5.9472981448597251E-2</v>
      </c>
      <c r="G38" s="18">
        <f t="shared" si="29"/>
        <v>-7.8918125915665938E-2</v>
      </c>
      <c r="H38" s="18">
        <f t="shared" si="29"/>
        <v>8.6674212223576408E-3</v>
      </c>
      <c r="I38" s="18">
        <f t="shared" si="29"/>
        <v>5.3589570309119816E-2</v>
      </c>
      <c r="J38" s="18">
        <f t="shared" si="29"/>
        <v>-6.87754999895408E-2</v>
      </c>
      <c r="K38" s="18">
        <f t="shared" ref="K38:Q38" si="30">$S16/K16-1</f>
        <v>-4.918731265916565E-2</v>
      </c>
      <c r="L38" s="18">
        <f t="shared" si="30"/>
        <v>-3.4731518846641052E-2</v>
      </c>
      <c r="M38" s="18">
        <f t="shared" si="30"/>
        <v>-8.1145244319584586E-2</v>
      </c>
      <c r="N38" s="18">
        <f t="shared" si="30"/>
        <v>-3.8342337181818675E-2</v>
      </c>
      <c r="O38" s="18">
        <f t="shared" si="30"/>
        <v>-1.0648859137001865E-2</v>
      </c>
      <c r="P38" s="18">
        <f t="shared" si="30"/>
        <v>-5.5186321285635165E-2</v>
      </c>
      <c r="Q38" s="18">
        <f t="shared" si="30"/>
        <v>-4.5356490296526886E-2</v>
      </c>
      <c r="R38" s="40">
        <f t="shared" si="12"/>
        <v>1.8083182640144635E-2</v>
      </c>
    </row>
    <row r="39" spans="1:18" x14ac:dyDescent="0.2">
      <c r="A39" s="9" t="str">
        <f t="shared" ref="A39:D39" si="31">A17</f>
        <v>NUVA</v>
      </c>
      <c r="B39" s="9" t="str">
        <f t="shared" si="31"/>
        <v>SPINAL HARDWARE</v>
      </c>
      <c r="C39" s="9" t="str">
        <f t="shared" si="31"/>
        <v>2020Q1</v>
      </c>
      <c r="D39" s="9">
        <f t="shared" si="31"/>
        <v>20200430</v>
      </c>
      <c r="E39" s="18">
        <f t="shared" si="4"/>
        <v>-7.5904367858438015E-2</v>
      </c>
      <c r="F39" s="18">
        <f t="shared" ref="F39:J39" si="32">$S17/F17-1</f>
        <v>-7.5149949577976605E-2</v>
      </c>
      <c r="G39" s="18">
        <f t="shared" ref="G39:G44" si="33">$S17/G17-1</f>
        <v>3.6276687342020164E-2</v>
      </c>
      <c r="H39" s="18">
        <f t="shared" si="32"/>
        <v>-3.0913210854197515E-2</v>
      </c>
      <c r="I39" s="18">
        <f t="shared" si="32"/>
        <v>-9.4340287247108856E-3</v>
      </c>
      <c r="J39" s="18">
        <f t="shared" si="32"/>
        <v>-4.1039876693837796E-2</v>
      </c>
      <c r="K39" s="18">
        <f t="shared" ref="K39:Q39" si="34">$S17/K17-1</f>
        <v>-8.7676821614973699E-3</v>
      </c>
      <c r="L39" s="18">
        <f t="shared" si="34"/>
        <v>-1.6668280464207208E-2</v>
      </c>
      <c r="M39" s="18">
        <f t="shared" si="34"/>
        <v>0.12506468371468449</v>
      </c>
      <c r="N39" s="18">
        <f t="shared" si="34"/>
        <v>-3.924051797825423E-2</v>
      </c>
      <c r="O39" s="18">
        <f t="shared" si="34"/>
        <v>-5.9817979230128326E-2</v>
      </c>
      <c r="P39" s="18">
        <f t="shared" si="34"/>
        <v>2.9784035208901383E-2</v>
      </c>
      <c r="Q39" s="18">
        <f t="shared" si="34"/>
        <v>1.63963539623313E-3</v>
      </c>
      <c r="R39" s="40">
        <f t="shared" si="12"/>
        <v>-8.7615283267457267E-2</v>
      </c>
    </row>
    <row r="40" spans="1:18" x14ac:dyDescent="0.2">
      <c r="A40" s="9" t="str">
        <f t="shared" ref="A40:D40" si="35">A18</f>
        <v>NUVA</v>
      </c>
      <c r="B40" s="9" t="str">
        <f t="shared" si="35"/>
        <v>SPINAL HARDWARE</v>
      </c>
      <c r="C40" s="9" t="str">
        <f t="shared" si="35"/>
        <v>2020Q2</v>
      </c>
      <c r="D40" s="9">
        <f t="shared" si="35"/>
        <v>20200730</v>
      </c>
      <c r="E40" s="18">
        <f>$S18/E18-1</f>
        <v>-1.5548400874296764E-2</v>
      </c>
      <c r="F40" s="18">
        <f t="shared" ref="F40:J40" si="36">$S18/F18-1</f>
        <v>-1.1138920487644532E-2</v>
      </c>
      <c r="G40" s="18">
        <f t="shared" si="33"/>
        <v>0.24140886160843822</v>
      </c>
      <c r="H40" s="18">
        <f t="shared" si="36"/>
        <v>-1.8028309915925966E-2</v>
      </c>
      <c r="I40" s="18">
        <f t="shared" si="36"/>
        <v>-8.372067165626329E-3</v>
      </c>
      <c r="J40" s="18">
        <f t="shared" si="36"/>
        <v>5.9099613567620501E-2</v>
      </c>
      <c r="K40" s="18">
        <f t="shared" ref="K40:Q40" si="37">$S18/K18-1</f>
        <v>6.53135507677578E-2</v>
      </c>
      <c r="L40" s="18">
        <f t="shared" si="37"/>
        <v>6.921233237877078E-2</v>
      </c>
      <c r="M40" s="18">
        <f t="shared" si="37"/>
        <v>0.19795116185868111</v>
      </c>
      <c r="N40" s="18">
        <f t="shared" si="37"/>
        <v>1.3295920533215488E-2</v>
      </c>
      <c r="O40" s="18">
        <f t="shared" si="37"/>
        <v>1.072075550624163E-3</v>
      </c>
      <c r="P40" s="18">
        <f t="shared" si="37"/>
        <v>0.1044250827826001</v>
      </c>
      <c r="Q40" s="18">
        <f t="shared" si="37"/>
        <v>7.1433669988847592E-2</v>
      </c>
      <c r="R40" s="40">
        <f t="shared" ref="R40" si="38">$S18/R18-1</f>
        <v>0.30355097365406647</v>
      </c>
    </row>
    <row r="41" spans="1:18" x14ac:dyDescent="0.2">
      <c r="A41" s="9" t="str">
        <f t="shared" ref="A41:D41" si="39">A19</f>
        <v>NUVA</v>
      </c>
      <c r="B41" s="9" t="str">
        <f t="shared" si="39"/>
        <v>SPINAL HARDWARE</v>
      </c>
      <c r="C41" s="9" t="str">
        <f t="shared" si="39"/>
        <v>2020Q3</v>
      </c>
      <c r="D41" s="9">
        <f t="shared" si="39"/>
        <v>20201022</v>
      </c>
      <c r="E41" s="18">
        <f>$S19/E19-1</f>
        <v>5.4648958360450361E-2</v>
      </c>
      <c r="F41" s="18">
        <f t="shared" ref="F41:I41" si="40">$S19/F19-1</f>
        <v>0.11238011999517616</v>
      </c>
      <c r="G41" s="18">
        <f t="shared" si="33"/>
        <v>5.8003103677044976E-2</v>
      </c>
      <c r="H41" s="18">
        <f t="shared" si="40"/>
        <v>9.6764541879953869E-2</v>
      </c>
      <c r="I41" s="18">
        <f t="shared" si="40"/>
        <v>0.13528681214850691</v>
      </c>
      <c r="J41" s="18">
        <f>$S19/J19-1</f>
        <v>7.4370472277419442E-2</v>
      </c>
      <c r="K41" s="18">
        <f t="shared" ref="K41:Q41" si="41">$S19/K19-1</f>
        <v>7.1306054352585635E-2</v>
      </c>
      <c r="L41" s="18">
        <f t="shared" si="41"/>
        <v>0.12491040758094418</v>
      </c>
      <c r="M41" s="18">
        <f t="shared" si="41"/>
        <v>-0.14774001024429817</v>
      </c>
      <c r="N41" s="18">
        <f t="shared" si="41"/>
        <v>0.11690036785688962</v>
      </c>
      <c r="O41" s="18">
        <f t="shared" si="41"/>
        <v>0.14487175538058161</v>
      </c>
      <c r="P41" s="18">
        <f t="shared" si="41"/>
        <v>1.4418718045187573E-2</v>
      </c>
      <c r="Q41" s="18">
        <f t="shared" si="41"/>
        <v>4.3417990210689705E-2</v>
      </c>
      <c r="R41" s="40">
        <f>$S19/R19-1</f>
        <v>0.1272727272727272</v>
      </c>
    </row>
    <row r="42" spans="1:18" x14ac:dyDescent="0.2">
      <c r="A42" s="9" t="str">
        <f t="shared" ref="A42:D42" si="42">A20</f>
        <v>NUVA</v>
      </c>
      <c r="B42" s="9" t="str">
        <f t="shared" si="42"/>
        <v>SPINAL HARDWARE</v>
      </c>
      <c r="C42" s="9" t="str">
        <f t="shared" si="42"/>
        <v>2020Q4</v>
      </c>
      <c r="D42" s="9">
        <f t="shared" si="42"/>
        <v>20210218</v>
      </c>
      <c r="E42" s="18">
        <f>$S20/E20-1</f>
        <v>4.4892535327449634E-2</v>
      </c>
      <c r="F42" s="18">
        <f t="shared" ref="F42:I42" si="43">$S20/F20-1</f>
        <v>4.2107802694882679E-2</v>
      </c>
      <c r="G42" s="18">
        <f t="shared" si="33"/>
        <v>-5.4099516544290127E-2</v>
      </c>
      <c r="H42" s="18">
        <f t="shared" si="43"/>
        <v>9.7840391620605649E-2</v>
      </c>
      <c r="I42" s="18">
        <f t="shared" si="43"/>
        <v>0.19954217988734868</v>
      </c>
      <c r="J42" s="18">
        <f>$S20/J20-1</f>
        <v>8.8023027593895353E-3</v>
      </c>
      <c r="K42" s="18">
        <f t="shared" ref="K42:Q42" si="44">$S20/K20-1</f>
        <v>-9.2508724876264603E-3</v>
      </c>
      <c r="L42" s="18">
        <f t="shared" si="44"/>
        <v>-6.3172935255799367E-2</v>
      </c>
      <c r="M42" s="18">
        <f t="shared" si="44"/>
        <v>-0.10595679713200024</v>
      </c>
      <c r="N42" s="18">
        <f t="shared" si="44"/>
        <v>9.809304545966846E-4</v>
      </c>
      <c r="O42" s="18">
        <f t="shared" si="44"/>
        <v>5.6598356513311243E-2</v>
      </c>
      <c r="P42" s="18">
        <f t="shared" si="44"/>
        <v>-6.1029385309743556E-2</v>
      </c>
      <c r="Q42" s="18">
        <f t="shared" si="44"/>
        <v>-3.3152212640904843E-2</v>
      </c>
      <c r="R42" s="40">
        <f>$S20/R20-1</f>
        <v>-4.6683046683046792E-2</v>
      </c>
    </row>
    <row r="43" spans="1:18" x14ac:dyDescent="0.2">
      <c r="A43" s="9" t="str">
        <f t="shared" ref="A43:D43" si="45">A21</f>
        <v>NUVA</v>
      </c>
      <c r="B43" s="9" t="str">
        <f t="shared" si="45"/>
        <v>SPINAL HARDWARE</v>
      </c>
      <c r="C43" s="9" t="str">
        <f t="shared" si="45"/>
        <v>2021Q1</v>
      </c>
      <c r="D43" s="9">
        <f t="shared" si="45"/>
        <v>20210429</v>
      </c>
      <c r="E43" s="18">
        <f>$S21/E21-1</f>
        <v>7.1881556059258944E-3</v>
      </c>
      <c r="F43" s="18">
        <f t="shared" ref="F43:J43" si="46">$S21/F21-1</f>
        <v>6.3414004519853684E-2</v>
      </c>
      <c r="G43" s="18">
        <f t="shared" si="33"/>
        <v>8.1525753711055193E-2</v>
      </c>
      <c r="H43" s="18">
        <f t="shared" si="46"/>
        <v>3.2233417230537631E-2</v>
      </c>
      <c r="I43" s="18">
        <f t="shared" si="46"/>
        <v>0.22802788297737764</v>
      </c>
      <c r="J43" s="18">
        <f t="shared" si="46"/>
        <v>4.9740057847251551E-2</v>
      </c>
      <c r="K43" s="18">
        <f t="shared" ref="K43:Q43" si="47">$S21/K21-1</f>
        <v>-3.6084456962560352E-2</v>
      </c>
      <c r="L43" s="18">
        <f t="shared" si="47"/>
        <v>2.0445295361836147E-2</v>
      </c>
      <c r="M43" s="18">
        <f t="shared" si="47"/>
        <v>0.14338217669564779</v>
      </c>
      <c r="N43" s="18">
        <f t="shared" si="47"/>
        <v>-5.9760029682657922E-2</v>
      </c>
      <c r="O43" s="18">
        <f t="shared" si="47"/>
        <v>2.3747145842511586E-2</v>
      </c>
      <c r="P43" s="18">
        <f t="shared" si="47"/>
        <v>4.0580552776182666E-2</v>
      </c>
      <c r="Q43" s="18">
        <f t="shared" si="47"/>
        <v>1.8094627088524939E-2</v>
      </c>
      <c r="R43" s="40">
        <f>$S21/R21-1</f>
        <v>5.595930232558155E-2</v>
      </c>
    </row>
    <row r="44" spans="1:18" x14ac:dyDescent="0.2">
      <c r="A44" s="9" t="str">
        <f t="shared" ref="A44:D44" si="48">A22</f>
        <v>NUVA</v>
      </c>
      <c r="B44" s="9" t="str">
        <f t="shared" si="48"/>
        <v>SPINAL HARDWARE</v>
      </c>
      <c r="C44" s="9" t="str">
        <f t="shared" si="48"/>
        <v>2021Q2</v>
      </c>
      <c r="D44" s="9">
        <f t="shared" si="48"/>
        <v>20210722</v>
      </c>
      <c r="E44" s="18">
        <f>$S22/E22-1</f>
        <v>-6.6507411237303304E-2</v>
      </c>
      <c r="F44" s="18">
        <f t="shared" ref="F44:J44" si="49">$S22/F22-1</f>
        <v>-2.513501514694183E-2</v>
      </c>
      <c r="G44" s="18">
        <f t="shared" si="33"/>
        <v>-1.2396959645842753E-2</v>
      </c>
      <c r="H44" s="18">
        <f t="shared" si="49"/>
        <v>-5.5530098981507514E-2</v>
      </c>
      <c r="I44" s="18">
        <f t="shared" si="49"/>
        <v>0.19893470495257826</v>
      </c>
      <c r="J44" s="18">
        <f t="shared" si="49"/>
        <v>-3.5239929492208666E-2</v>
      </c>
      <c r="K44" s="18">
        <f t="shared" ref="K44:Q44" si="50">$S22/K22-1</f>
        <v>-7.3169612284502805E-2</v>
      </c>
      <c r="L44" s="18">
        <f t="shared" si="50"/>
        <v>-8.3268622841558892E-2</v>
      </c>
      <c r="M44" s="18">
        <f t="shared" si="50"/>
        <v>-8.6842789489403716E-2</v>
      </c>
      <c r="N44" s="18">
        <f t="shared" si="50"/>
        <v>-8.5022936427996076E-2</v>
      </c>
      <c r="O44" s="18">
        <f t="shared" si="50"/>
        <v>-2.3690975122048985E-2</v>
      </c>
      <c r="P44" s="18">
        <f t="shared" si="50"/>
        <v>-8.09533624102452E-2</v>
      </c>
      <c r="Q44" s="18">
        <f t="shared" si="50"/>
        <v>-7.2664943761042489E-2</v>
      </c>
      <c r="R44" s="40">
        <f>$S22/R22-1</f>
        <v>3.6245954692556648E-2</v>
      </c>
    </row>
    <row r="45" spans="1:18" x14ac:dyDescent="0.2">
      <c r="A45" s="177" t="s">
        <v>77</v>
      </c>
      <c r="B45" s="177"/>
      <c r="C45" s="173"/>
      <c r="D45" s="174"/>
      <c r="E45" s="73" cm="1">
        <f t="array" ref="E45">SUM(ABS(E28:E44))/COUNT(E28:E44)</f>
        <v>4.2607411984377168E-2</v>
      </c>
      <c r="F45" s="73" cm="1">
        <f t="array" ref="F45">SUM(ABS(F28:F44))/COUNT(F28:F44)</f>
        <v>4.1064823140977452E-2</v>
      </c>
      <c r="G45" s="73" cm="1">
        <f t="array" ref="G45">SUM(ABS(G28:G44))/COUNT(G28:G44)</f>
        <v>5.5541436334746605E-2</v>
      </c>
      <c r="H45" s="73" cm="1">
        <f t="array" ref="H45">SUM(ABS(H28:H44))/COUNT(H28:H44)</f>
        <v>5.7448444833355039E-2</v>
      </c>
      <c r="I45" s="73" cm="1">
        <f t="array" ref="I45">SUM(ABS(I28:I44))/COUNT(I28:I44)</f>
        <v>0.1306231546425097</v>
      </c>
      <c r="J45" s="75" cm="1">
        <f t="array" ref="J45">SUM(ABS(J28:J44))/COUNT(J28:J44)</f>
        <v>3.6254961730824653E-2</v>
      </c>
      <c r="K45" s="73" cm="1">
        <f t="array" ref="K45">SUM(ABS(K28:K44))/COUNT(K28:K44)</f>
        <v>3.9654994003654805E-2</v>
      </c>
      <c r="L45" s="73" cm="1">
        <f t="array" ref="L45">SUM(ABS(L28:L44))/COUNT(L28:L44)</f>
        <v>4.8569010169362672E-2</v>
      </c>
      <c r="M45" s="73" cm="1">
        <f t="array" ref="M45">SUM(ABS(M28:M44))/COUNT(M28:M44)</f>
        <v>9.1056225833635221E-2</v>
      </c>
      <c r="N45" s="73" cm="1">
        <f t="array" ref="N45">SUM(ABS(N28:N44))/COUNT(N28:N44)</f>
        <v>4.8131576986798923E-2</v>
      </c>
      <c r="O45" s="73" cm="1">
        <f t="array" ref="O45">SUM(ABS(O28:O44))/COUNT(O28:O44)</f>
        <v>5.7428701415349878E-2</v>
      </c>
      <c r="P45" s="73" cm="1">
        <f t="array" ref="P45">SUM(ABS(P28:P44))/COUNT(P28:P44)</f>
        <v>4.3746950199857589E-2</v>
      </c>
      <c r="Q45" s="75" cm="1">
        <f t="array" ref="Q45">SUM(ABS(Q28:Q44))/COUNT(Q28:Q44)</f>
        <v>3.4686433299067808E-2</v>
      </c>
      <c r="R45" s="73" cm="1">
        <f t="array" ref="R45">SUM(ABS(R28:R44))/COUNT(R28:R44)</f>
        <v>5.7843548001789022E-2</v>
      </c>
    </row>
    <row r="46" spans="1:18" x14ac:dyDescent="0.2">
      <c r="A46" s="178" t="s">
        <v>78</v>
      </c>
      <c r="B46" s="178"/>
      <c r="C46" s="175"/>
      <c r="D46" s="176"/>
      <c r="E46" s="74" cm="1">
        <f t="array" ref="E46">SQRT(SUM(POWER(E28:E44,2))/COUNT(E28:E44))</f>
        <v>4.9451382579328365E-2</v>
      </c>
      <c r="F46" s="74" cm="1">
        <f t="array" ref="F46">SQRT(SUM(POWER(F28:F44,2))/COUNT(F28:F44))</f>
        <v>5.0679207664869684E-2</v>
      </c>
      <c r="G46" s="74" cm="1">
        <f t="array" ref="G46">SQRT(SUM(POWER(G28:G44,2))/COUNT(G28:G44))</f>
        <v>7.9575211462759379E-2</v>
      </c>
      <c r="H46" s="74" cm="1">
        <f t="array" ref="H46">SQRT(SUM(POWER(H28:H44,2))/COUNT(H28:H44))</f>
        <v>6.9448051726959392E-2</v>
      </c>
      <c r="I46" s="74" cm="1">
        <f t="array" ref="I46">SQRT(SUM(POWER(I28:I44,2))/COUNT(I28:I44))</f>
        <v>0.15637789275053507</v>
      </c>
      <c r="J46" s="76" cm="1">
        <f t="array" ref="J46">SQRT(SUM(POWER(J28:J44,2))/COUNT(J28:J44))</f>
        <v>4.2168941727589698E-2</v>
      </c>
      <c r="K46" s="74" cm="1">
        <f t="array" ref="K46">SQRT(SUM(POWER(K28:K44,2))/COUNT(K28:K44))</f>
        <v>4.6738904498829573E-2</v>
      </c>
      <c r="L46" s="74" cm="1">
        <f t="array" ref="L46">SQRT(SUM(POWER(L28:L44,2))/COUNT(L28:L44))</f>
        <v>5.6640050974140835E-2</v>
      </c>
      <c r="M46" s="74" cm="1">
        <f t="array" ref="M46">SQRT(SUM(POWER(M28:M44,2))/COUNT(M28:M44))</f>
        <v>0.10233083236699474</v>
      </c>
      <c r="N46" s="74" cm="1">
        <f t="array" ref="N46">SQRT(SUM(POWER(N28:N44,2))/COUNT(N28:N44))</f>
        <v>5.8164860914466925E-2</v>
      </c>
      <c r="O46" s="74" cm="1">
        <f t="array" ref="O46">SQRT(SUM(POWER(O28:O44,2))/COUNT(O28:O44))</f>
        <v>7.2076619976099279E-2</v>
      </c>
      <c r="P46" s="74" cm="1">
        <f t="array" ref="P46">SQRT(SUM(POWER(P28:P44,2))/COUNT(P28:P44))</f>
        <v>5.1700899155458994E-2</v>
      </c>
      <c r="Q46" s="76" cm="1">
        <f t="array" ref="Q46">SQRT(SUM(POWER(Q28:Q44,2))/COUNT(Q28:Q44))</f>
        <v>4.120103551559811E-2</v>
      </c>
      <c r="R46" s="74" cm="1">
        <f t="array" ref="R46">SQRT(SUM(POWER(R28:R44,2))/COUNT(R28:R44))</f>
        <v>8.9361311796669798E-2</v>
      </c>
    </row>
    <row r="47" spans="1:18" x14ac:dyDescent="0.2">
      <c r="G47" s="3"/>
      <c r="J47" s="3"/>
    </row>
    <row r="48" spans="1:18" x14ac:dyDescent="0.2">
      <c r="B48" t="s">
        <v>158</v>
      </c>
      <c r="G48" s="3"/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C9" sqref="C9:M1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9" t="s">
        <v>82</v>
      </c>
      <c r="C7" s="179"/>
      <c r="D7" s="179" t="s">
        <v>112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6"/>
      <c r="P7" s="6"/>
      <c r="Q7" s="6"/>
    </row>
    <row r="8" spans="1:17" ht="15" x14ac:dyDescent="0.2">
      <c r="A8" s="67" t="s">
        <v>95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7.1409355996221696E-2</v>
      </c>
      <c r="D9" s="2">
        <v>3.7731421056027073E-2</v>
      </c>
      <c r="E9" s="2">
        <v>3.2444392227826732E-2</v>
      </c>
      <c r="F9" s="2">
        <v>5.8323200365614287E-2</v>
      </c>
      <c r="G9" s="2">
        <v>4.3224290269003797E-2</v>
      </c>
      <c r="H9" s="2">
        <v>3.1559968949836738E-2</v>
      </c>
      <c r="I9" s="2">
        <v>3.2624875899506967E-2</v>
      </c>
      <c r="J9" s="2">
        <v>4.264293232385942E-2</v>
      </c>
      <c r="K9" s="2">
        <v>4.219524106137932E-2</v>
      </c>
      <c r="L9" s="2">
        <v>6.6478801526726763E-2</v>
      </c>
      <c r="M9" s="2">
        <v>0.14047968688733811</v>
      </c>
      <c r="O9" s="6"/>
      <c r="P9" s="6"/>
      <c r="Q9" s="6"/>
    </row>
    <row r="10" spans="1:17" ht="15" x14ac:dyDescent="0.2">
      <c r="B10" s="71" t="s">
        <v>96</v>
      </c>
      <c r="C10" s="2">
        <v>9.4031990439735189E-2</v>
      </c>
      <c r="D10" s="2">
        <v>4.4153604107057542E-2</v>
      </c>
      <c r="E10" s="2">
        <v>4.2038957803342311E-2</v>
      </c>
      <c r="F10" s="2">
        <v>8.028411502776174E-2</v>
      </c>
      <c r="G10" s="2">
        <v>5.9542248137805447E-2</v>
      </c>
      <c r="H10" s="2">
        <v>4.1179010311143793E-2</v>
      </c>
      <c r="I10" s="2">
        <v>4.2286988028492033E-2</v>
      </c>
      <c r="J10" s="2">
        <v>5.8618985298577238E-2</v>
      </c>
      <c r="K10" s="2">
        <v>5.8120735674165487E-2</v>
      </c>
      <c r="L10" s="2">
        <v>0.11226616238621839</v>
      </c>
      <c r="M10" s="2">
        <v>0.21831854669981449</v>
      </c>
      <c r="O10" s="6"/>
      <c r="P10" s="6"/>
      <c r="Q10" s="6"/>
    </row>
    <row r="11" spans="1:17" ht="15" x14ac:dyDescent="0.2">
      <c r="B11" s="71" t="s">
        <v>97</v>
      </c>
      <c r="C11" s="2">
        <v>-3.7151990679982261E-2</v>
      </c>
      <c r="D11" s="2">
        <v>2.9336540914949309E-3</v>
      </c>
      <c r="E11" s="2">
        <v>-5.7872360027594327E-3</v>
      </c>
      <c r="F11" s="2">
        <v>-2.2954411624619531E-2</v>
      </c>
      <c r="G11" s="2">
        <v>-5.5141856794067023E-3</v>
      </c>
      <c r="H11" s="2">
        <v>-4.7320381179482007E-3</v>
      </c>
      <c r="I11" s="2">
        <v>-6.6980681315762514E-3</v>
      </c>
      <c r="J11" s="2">
        <v>-7.2332148461828338E-3</v>
      </c>
      <c r="K11" s="2">
        <v>-5.9360465676312479E-3</v>
      </c>
      <c r="L11" s="2">
        <v>-1.0285672853220851E-2</v>
      </c>
      <c r="M11" s="2">
        <v>2.132600112868976E-3</v>
      </c>
      <c r="O11" s="6"/>
      <c r="P11" s="6"/>
      <c r="Q11" s="6"/>
    </row>
    <row r="12" spans="1:17" ht="15" x14ac:dyDescent="0.2">
      <c r="B12" s="9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102</v>
      </c>
      <c r="B15" t="s">
        <v>105</v>
      </c>
      <c r="O15" s="6"/>
      <c r="P15" s="6"/>
      <c r="Q15" s="6"/>
    </row>
    <row r="16" spans="1:17" x14ac:dyDescent="0.2">
      <c r="B16" t="s">
        <v>139</v>
      </c>
      <c r="H16" s="68" t="s">
        <v>106</v>
      </c>
      <c r="O16" s="6"/>
      <c r="P16" s="6"/>
      <c r="Q16" s="6"/>
    </row>
    <row r="17" spans="1:17" x14ac:dyDescent="0.2">
      <c r="B17" t="s">
        <v>140</v>
      </c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104</v>
      </c>
      <c r="B20" s="180" t="s">
        <v>108</v>
      </c>
      <c r="C20" s="180"/>
      <c r="D20" s="180"/>
      <c r="E20" s="180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81" t="s">
        <v>159</v>
      </c>
      <c r="C24" s="181"/>
      <c r="D24" s="181"/>
      <c r="E24" s="3">
        <f>C9</f>
        <v>7.1409355996221696E-2</v>
      </c>
      <c r="F24" t="s">
        <v>110</v>
      </c>
      <c r="G24" s="181" t="s">
        <v>111</v>
      </c>
      <c r="H24" s="181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50"/>
  <sheetViews>
    <sheetView tabSelected="1" topLeftCell="A4" zoomScale="85" zoomScaleNormal="85" workbookViewId="0">
      <selection activeCell="P33" sqref="P33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78" t="str">
        <f>D5</f>
        <v>PROJ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95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6.4917596360201543E-2</v>
      </c>
      <c r="D6" s="2">
        <v>3.5448376123498937E-2</v>
      </c>
      <c r="E6" s="2">
        <v>3.1906336711511017E-2</v>
      </c>
      <c r="F6" s="2">
        <v>5.3295619020229383E-2</v>
      </c>
      <c r="G6" s="2">
        <v>4.1149922749098573E-2</v>
      </c>
      <c r="H6" s="2">
        <v>3.1102321630446319E-2</v>
      </c>
      <c r="I6" s="2">
        <v>3.2202332672319693E-2</v>
      </c>
      <c r="J6" s="2">
        <v>4.0608647001692838E-2</v>
      </c>
      <c r="K6" s="2">
        <v>4.0354095523191677E-2</v>
      </c>
      <c r="L6" s="2">
        <v>6.4092837161517105E-2</v>
      </c>
      <c r="M6" s="2">
        <v>0.13083647855423469</v>
      </c>
    </row>
    <row r="7" spans="1:25" ht="15" x14ac:dyDescent="0.2">
      <c r="B7" s="71" t="s">
        <v>96</v>
      </c>
      <c r="C7" s="2">
        <v>8.9655985076586703E-2</v>
      </c>
      <c r="D7" s="2">
        <v>4.2270363175755429E-2</v>
      </c>
      <c r="E7" s="2">
        <v>4.0872703514763027E-2</v>
      </c>
      <c r="F7" s="2">
        <v>7.6553315042267658E-2</v>
      </c>
      <c r="G7" s="2">
        <v>5.7103739785279252E-2</v>
      </c>
      <c r="H7" s="2">
        <v>4.0068951409166109E-2</v>
      </c>
      <c r="I7" s="2">
        <v>4.1192012157295753E-2</v>
      </c>
      <c r="J7" s="2">
        <v>5.6224029780127041E-2</v>
      </c>
      <c r="K7" s="2">
        <v>5.5809479977894753E-2</v>
      </c>
      <c r="L7" s="2">
        <v>0.10772676802036719</v>
      </c>
      <c r="M7" s="2">
        <v>0.20841687698671821</v>
      </c>
    </row>
    <row r="8" spans="1:25" ht="15" x14ac:dyDescent="0.2">
      <c r="B8" s="71" t="s">
        <v>97</v>
      </c>
      <c r="C8" s="2">
        <v>-3.4978138663335427E-2</v>
      </c>
      <c r="D8" s="2">
        <v>-8.7254980670101734E-3</v>
      </c>
      <c r="E8" s="2">
        <v>-1.2946247553228931E-2</v>
      </c>
      <c r="F8" s="2">
        <v>-1.124040335821808E-2</v>
      </c>
      <c r="G8" s="2">
        <v>-8.8728463767218102E-3</v>
      </c>
      <c r="H8" s="2">
        <v>-1.040169283722703E-2</v>
      </c>
      <c r="I8" s="2">
        <v>-1.290878796515227E-2</v>
      </c>
      <c r="J8" s="2">
        <v>-1.1857718390981259E-2</v>
      </c>
      <c r="K8" s="2">
        <v>-9.6800301194882588E-3</v>
      </c>
      <c r="L8" s="2">
        <v>-2.199717407757007E-2</v>
      </c>
      <c r="M8" s="2">
        <v>-1.265478181680346E-2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127</v>
      </c>
      <c r="N13" s="71" t="s">
        <v>128</v>
      </c>
      <c r="O13" s="71" t="s">
        <v>129</v>
      </c>
      <c r="P13" s="71" t="s">
        <v>130</v>
      </c>
      <c r="Q13" s="71" t="s">
        <v>131</v>
      </c>
      <c r="R13" s="71" t="s">
        <v>132</v>
      </c>
      <c r="S13" s="71" t="s">
        <v>133</v>
      </c>
      <c r="T13" s="71" t="s">
        <v>134</v>
      </c>
      <c r="U13" s="71" t="s">
        <v>135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169</v>
      </c>
      <c r="C14">
        <v>142.80000000000001</v>
      </c>
      <c r="D14">
        <v>146.9</v>
      </c>
      <c r="E14">
        <v>146.01516570000001</v>
      </c>
    </row>
    <row r="15" spans="1:25" x14ac:dyDescent="0.2">
      <c r="B15" t="s">
        <v>170</v>
      </c>
      <c r="C15">
        <v>136.5</v>
      </c>
      <c r="D15">
        <v>140.6</v>
      </c>
      <c r="E15">
        <v>138.50886929999999</v>
      </c>
    </row>
    <row r="16" spans="1:25" x14ac:dyDescent="0.2">
      <c r="B16" t="s">
        <v>167</v>
      </c>
      <c r="C16">
        <v>149.80000000000001</v>
      </c>
      <c r="D16">
        <v>150.69999999999999</v>
      </c>
      <c r="E16">
        <v>153.10208130000001</v>
      </c>
    </row>
    <row r="17" spans="2:25" x14ac:dyDescent="0.2">
      <c r="B17" t="s">
        <v>42</v>
      </c>
      <c r="C17">
        <v>141.5</v>
      </c>
      <c r="D17">
        <v>138.30000000000001</v>
      </c>
      <c r="E17">
        <v>148.50558229999999</v>
      </c>
    </row>
    <row r="18" spans="2:25" x14ac:dyDescent="0.2">
      <c r="B18" t="s">
        <v>43</v>
      </c>
      <c r="C18">
        <v>150.80000000000001</v>
      </c>
      <c r="D18">
        <v>144.1</v>
      </c>
      <c r="E18">
        <v>151.95275000000001</v>
      </c>
    </row>
    <row r="19" spans="2:25" x14ac:dyDescent="0.2">
      <c r="B19" t="s">
        <v>44</v>
      </c>
      <c r="C19">
        <v>146.1</v>
      </c>
      <c r="D19">
        <v>139.4</v>
      </c>
      <c r="E19">
        <v>152.68917930000001</v>
      </c>
    </row>
    <row r="20" spans="2:25" x14ac:dyDescent="0.2">
      <c r="B20" t="s">
        <v>45</v>
      </c>
      <c r="C20">
        <v>156.6</v>
      </c>
      <c r="D20">
        <v>157.19999999999999</v>
      </c>
      <c r="E20">
        <v>150.61707329999999</v>
      </c>
    </row>
    <row r="21" spans="2:25" x14ac:dyDescent="0.2">
      <c r="B21" t="s">
        <v>46</v>
      </c>
      <c r="C21">
        <v>147.80000000000001</v>
      </c>
      <c r="D21">
        <v>145.1</v>
      </c>
      <c r="E21">
        <v>150.4880627</v>
      </c>
      <c r="F21">
        <v>148.00274842595161</v>
      </c>
      <c r="G21">
        <v>146.13866838365541</v>
      </c>
      <c r="H21">
        <v>147.4814134076469</v>
      </c>
      <c r="I21">
        <v>147.9385797336767</v>
      </c>
      <c r="J21">
        <v>147.7279699215556</v>
      </c>
      <c r="K21">
        <v>147.4144324696554</v>
      </c>
      <c r="L21">
        <v>147.47601308626861</v>
      </c>
      <c r="M21" s="2">
        <v>-1.8267929634641519E-2</v>
      </c>
      <c r="N21" s="2">
        <v>1.818716305818668E-2</v>
      </c>
      <c r="O21" s="2">
        <v>1.3717755477100631E-3</v>
      </c>
      <c r="P21" s="2">
        <v>-1.124040335821808E-2</v>
      </c>
      <c r="Q21" s="2">
        <v>-2.1555249820915941E-3</v>
      </c>
      <c r="R21" s="2">
        <v>9.3761660133062641E-4</v>
      </c>
      <c r="S21" s="2">
        <v>-4.8734829800023421E-4</v>
      </c>
      <c r="T21" s="2">
        <v>-2.6087113013844032E-3</v>
      </c>
      <c r="U21" s="2">
        <v>-2.1920630157742371E-3</v>
      </c>
      <c r="V21" s="2">
        <v>-2.6087113013844032E-3</v>
      </c>
      <c r="W21" s="2">
        <v>-2.1920630157742371E-3</v>
      </c>
      <c r="X21" s="2">
        <v>1.4258283711283679E-3</v>
      </c>
      <c r="Y21" s="2">
        <v>1.9764272745790509E-2</v>
      </c>
    </row>
    <row r="22" spans="2:25" x14ac:dyDescent="0.2">
      <c r="B22" t="s">
        <v>47</v>
      </c>
      <c r="C22">
        <v>160.19999999999999</v>
      </c>
      <c r="D22">
        <v>153.9</v>
      </c>
      <c r="E22">
        <v>158.5622553</v>
      </c>
      <c r="F22">
        <v>155.96220757388511</v>
      </c>
      <c r="G22">
        <v>152.9621293422455</v>
      </c>
      <c r="H22">
        <v>158.77857001044919</v>
      </c>
      <c r="I22">
        <v>155.61705389683621</v>
      </c>
      <c r="J22">
        <v>155.04672421791221</v>
      </c>
      <c r="K22">
        <v>158.30039351376479</v>
      </c>
      <c r="L22">
        <v>158.649259174858</v>
      </c>
      <c r="M22" s="2">
        <v>-3.9325842696629087E-2</v>
      </c>
      <c r="N22" s="2">
        <v>-1.0223125468164731E-2</v>
      </c>
      <c r="O22" s="2">
        <v>-2.645313624291468E-2</v>
      </c>
      <c r="P22" s="2">
        <v>-4.5180216340539807E-2</v>
      </c>
      <c r="Q22" s="2">
        <v>-8.8728463767218102E-3</v>
      </c>
      <c r="R22" s="2">
        <v>-2.8607653577801481E-2</v>
      </c>
      <c r="S22" s="2">
        <v>-3.2167763933132143E-2</v>
      </c>
      <c r="T22" s="2">
        <v>-1.1857718390981259E-2</v>
      </c>
      <c r="U22" s="2">
        <v>-9.6800301194882588E-3</v>
      </c>
      <c r="V22" s="2">
        <v>-1.1857718390981259E-2</v>
      </c>
      <c r="W22" s="2">
        <v>-9.6800301194882588E-3</v>
      </c>
      <c r="X22" s="2">
        <v>-2.6590163634805149E-2</v>
      </c>
      <c r="Y22" s="2">
        <v>-0.28669638518020862</v>
      </c>
    </row>
    <row r="23" spans="2:25" x14ac:dyDescent="0.2">
      <c r="B23" t="s">
        <v>48</v>
      </c>
      <c r="C23">
        <v>160</v>
      </c>
      <c r="D23">
        <v>150.4</v>
      </c>
      <c r="E23">
        <v>162.33484899999999</v>
      </c>
      <c r="F23">
        <v>161.9763145909788</v>
      </c>
      <c r="G23">
        <v>151.79939354698089</v>
      </c>
      <c r="H23">
        <v>160.35773082815339</v>
      </c>
      <c r="I23">
        <v>161.42861803490769</v>
      </c>
      <c r="J23">
        <v>161.9717965485909</v>
      </c>
      <c r="K23">
        <v>159.98419652131099</v>
      </c>
      <c r="L23">
        <v>160.3537055174115</v>
      </c>
      <c r="M23" s="2">
        <v>-5.9999999999999942E-2</v>
      </c>
      <c r="N23" s="2">
        <v>1.4592806250000029E-2</v>
      </c>
      <c r="O23" s="2">
        <v>1.235196619361756E-2</v>
      </c>
      <c r="P23" s="2">
        <v>-5.1253790331369557E-2</v>
      </c>
      <c r="Q23" s="2">
        <v>2.2358176759589292E-3</v>
      </c>
      <c r="R23" s="2">
        <v>8.9288627181729474E-3</v>
      </c>
      <c r="S23" s="2">
        <v>1.2323728428693229E-2</v>
      </c>
      <c r="T23" s="2">
        <v>-9.8771741806502611E-5</v>
      </c>
      <c r="U23" s="2">
        <v>2.2106594838218201E-3</v>
      </c>
      <c r="V23" s="2">
        <v>-9.8771741806502611E-5</v>
      </c>
      <c r="W23" s="2">
        <v>2.2106594838218201E-3</v>
      </c>
      <c r="X23" s="2">
        <v>3.9004635995839809E-2</v>
      </c>
      <c r="Y23" s="2">
        <v>4.4086838925491589E-2</v>
      </c>
    </row>
    <row r="24" spans="2:25" x14ac:dyDescent="0.2">
      <c r="B24" t="s">
        <v>49</v>
      </c>
      <c r="C24">
        <v>168.9</v>
      </c>
      <c r="D24">
        <v>165.9</v>
      </c>
      <c r="E24">
        <v>181.37409400000001</v>
      </c>
      <c r="F24">
        <v>181.69230533327681</v>
      </c>
      <c r="G24">
        <v>168.37881629227181</v>
      </c>
      <c r="H24">
        <v>184.53013889300789</v>
      </c>
      <c r="I24">
        <v>180.86148036861891</v>
      </c>
      <c r="J24">
        <v>181.6843973431348</v>
      </c>
      <c r="K24">
        <v>183.87970890328211</v>
      </c>
      <c r="L24">
        <v>184.52162144307269</v>
      </c>
      <c r="M24" s="2">
        <v>-1.7761989342806369E-2</v>
      </c>
      <c r="N24" s="2">
        <v>7.3854908229721739E-2</v>
      </c>
      <c r="O24" s="2">
        <v>7.5738930333195897E-2</v>
      </c>
      <c r="P24" s="2">
        <v>-3.0857531541045309E-3</v>
      </c>
      <c r="Q24" s="2">
        <v>9.2540786814729881E-2</v>
      </c>
      <c r="R24" s="2">
        <v>7.0819895610532368E-2</v>
      </c>
      <c r="S24" s="2">
        <v>7.5692109787654394E-2</v>
      </c>
      <c r="T24" s="2">
        <v>8.8689809966146171E-2</v>
      </c>
      <c r="U24" s="2">
        <v>9.2490357863070916E-2</v>
      </c>
      <c r="V24" s="2">
        <v>8.8689809966146171E-2</v>
      </c>
      <c r="W24" s="2">
        <v>9.2490357863070916E-2</v>
      </c>
      <c r="X24" s="2">
        <v>9.9706416501065043E-2</v>
      </c>
      <c r="Y24" s="2">
        <v>-0.32813786800839778</v>
      </c>
    </row>
    <row r="25" spans="2:25" x14ac:dyDescent="0.2">
      <c r="B25" t="s">
        <v>50</v>
      </c>
      <c r="C25">
        <v>138.5</v>
      </c>
      <c r="D25">
        <v>151.80000000000001</v>
      </c>
      <c r="E25">
        <v>144.42727769999999</v>
      </c>
      <c r="F25">
        <v>143.44038955200691</v>
      </c>
      <c r="G25">
        <v>154.42260428322359</v>
      </c>
      <c r="H25">
        <v>148.13529027752551</v>
      </c>
      <c r="I25">
        <v>143.50259612286561</v>
      </c>
      <c r="J25">
        <v>143.44126535428379</v>
      </c>
      <c r="K25">
        <v>148.10084088959161</v>
      </c>
      <c r="L25">
        <v>148.1004708692343</v>
      </c>
      <c r="M25" s="2">
        <v>9.6028880866426025E-2</v>
      </c>
      <c r="N25" s="2">
        <v>4.2796228880866323E-2</v>
      </c>
      <c r="O25" s="2">
        <v>3.567068268597029E-2</v>
      </c>
      <c r="P25" s="2">
        <v>0.1149646518644305</v>
      </c>
      <c r="Q25" s="2">
        <v>6.9568882870220117E-2</v>
      </c>
      <c r="R25" s="2">
        <v>3.6119827601917683E-2</v>
      </c>
      <c r="S25" s="2">
        <v>3.5677006168113763E-2</v>
      </c>
      <c r="T25" s="2">
        <v>6.9320150827376414E-2</v>
      </c>
      <c r="U25" s="2">
        <v>6.9317479200247556E-2</v>
      </c>
      <c r="V25" s="2">
        <v>6.9320150827376414E-2</v>
      </c>
      <c r="W25" s="2">
        <v>6.9317479200247556E-2</v>
      </c>
      <c r="X25" s="2">
        <v>2.5700170418212931E-2</v>
      </c>
      <c r="Y25" s="2">
        <v>2.0968073866426629E-2</v>
      </c>
    </row>
    <row r="26" spans="2:25" x14ac:dyDescent="0.2">
      <c r="B26" t="s">
        <v>51</v>
      </c>
      <c r="C26">
        <v>113.8</v>
      </c>
      <c r="D26">
        <v>87.3</v>
      </c>
      <c r="E26">
        <v>107.4497607</v>
      </c>
      <c r="F26">
        <v>112.3267170284425</v>
      </c>
      <c r="G26">
        <v>92.276859918763677</v>
      </c>
      <c r="H26">
        <v>100.9073949234828</v>
      </c>
      <c r="I26">
        <v>112.6162873551236</v>
      </c>
      <c r="J26">
        <v>112.3309799295657</v>
      </c>
      <c r="K26">
        <v>101.09965099981019</v>
      </c>
      <c r="L26">
        <v>101.6381524113166</v>
      </c>
      <c r="M26" s="2">
        <v>-0.23286467486818979</v>
      </c>
      <c r="N26" s="2">
        <v>-5.5801751318101937E-2</v>
      </c>
      <c r="O26" s="2">
        <v>-1.2946247553228931E-2</v>
      </c>
      <c r="P26" s="2">
        <v>-0.1891312836664</v>
      </c>
      <c r="Q26" s="2">
        <v>-0.1132917845036658</v>
      </c>
      <c r="R26" s="2">
        <v>-1.040169283722703E-2</v>
      </c>
      <c r="S26" s="2">
        <v>-1.290878796515227E-2</v>
      </c>
      <c r="T26" s="2">
        <v>-0.1116023637978011</v>
      </c>
      <c r="U26" s="2">
        <v>-0.1068703654541598</v>
      </c>
      <c r="V26" s="2">
        <v>-0.1116023637978011</v>
      </c>
      <c r="W26" s="2">
        <v>-0.1068703654541598</v>
      </c>
      <c r="X26" s="2">
        <v>-0.32275328279193233</v>
      </c>
      <c r="Y26" s="2">
        <v>0.52108194789049578</v>
      </c>
    </row>
    <row r="27" spans="2:25" x14ac:dyDescent="0.2">
      <c r="B27" t="s">
        <v>52</v>
      </c>
      <c r="C27">
        <v>161.19999999999999</v>
      </c>
      <c r="D27">
        <v>143</v>
      </c>
      <c r="E27">
        <v>150.0413537</v>
      </c>
      <c r="F27">
        <v>147.45552539983569</v>
      </c>
      <c r="G27">
        <v>146.548525221002</v>
      </c>
      <c r="H27">
        <v>147.3218546236948</v>
      </c>
      <c r="I27">
        <v>147.45466414137681</v>
      </c>
      <c r="J27">
        <v>147.44918290396089</v>
      </c>
      <c r="K27">
        <v>147.31201841096299</v>
      </c>
      <c r="L27">
        <v>147.30491438007209</v>
      </c>
      <c r="M27" s="2">
        <v>-0.1129032258064515</v>
      </c>
      <c r="N27" s="2">
        <v>-6.9222371588089304E-2</v>
      </c>
      <c r="O27" s="2">
        <v>-8.5263490075461079E-2</v>
      </c>
      <c r="P27" s="2">
        <v>-9.0890042053337616E-2</v>
      </c>
      <c r="Q27" s="2">
        <v>-8.6092713252513331E-2</v>
      </c>
      <c r="R27" s="2">
        <v>-8.5268832869871192E-2</v>
      </c>
      <c r="S27" s="2">
        <v>-8.5302835583369263E-2</v>
      </c>
      <c r="T27" s="2">
        <v>-8.6153731941917E-2</v>
      </c>
      <c r="U27" s="2">
        <v>-8.6197801612455938E-2</v>
      </c>
      <c r="V27" s="2">
        <v>-8.6153731941917E-2</v>
      </c>
      <c r="W27" s="2">
        <v>-8.6197801612455938E-2</v>
      </c>
      <c r="X27" s="2">
        <v>-8.4090383329290752E-2</v>
      </c>
      <c r="Y27" s="2">
        <v>-8.3598116327710859E-2</v>
      </c>
    </row>
    <row r="28" spans="2:25" x14ac:dyDescent="0.2">
      <c r="B28" t="s">
        <v>53</v>
      </c>
      <c r="C28">
        <v>155.19999999999999</v>
      </c>
      <c r="D28">
        <v>162.80000000000001</v>
      </c>
      <c r="E28">
        <v>153.84580270000001</v>
      </c>
      <c r="F28">
        <v>151.49776674305409</v>
      </c>
      <c r="G28">
        <v>160.37283731608059</v>
      </c>
      <c r="H28">
        <v>152.6953895773668</v>
      </c>
      <c r="I28">
        <v>151.48750628963691</v>
      </c>
      <c r="J28">
        <v>151.4194024305107</v>
      </c>
      <c r="K28">
        <v>152.79413130182439</v>
      </c>
      <c r="L28">
        <v>152.55176516727201</v>
      </c>
      <c r="M28" s="2">
        <v>4.8969072164948502E-2</v>
      </c>
      <c r="N28" s="2">
        <v>-8.7254980670101734E-3</v>
      </c>
      <c r="O28" s="2">
        <v>-2.3854595727744069E-2</v>
      </c>
      <c r="P28" s="2">
        <v>3.3330137345880077E-2</v>
      </c>
      <c r="Q28" s="2">
        <v>-1.613795375407967E-2</v>
      </c>
      <c r="R28" s="2">
        <v>-2.39207068966697E-2</v>
      </c>
      <c r="S28" s="2">
        <v>-2.435952042196721E-2</v>
      </c>
      <c r="T28" s="2">
        <v>-1.550173130267762E-2</v>
      </c>
      <c r="U28" s="2">
        <v>-1.7063368767577192E-2</v>
      </c>
      <c r="V28" s="2">
        <v>-1.550173130267762E-2</v>
      </c>
      <c r="W28" s="2">
        <v>-1.7063368767577192E-2</v>
      </c>
      <c r="X28" s="2">
        <v>-2.199717407757007E-2</v>
      </c>
      <c r="Y28" s="2">
        <v>-1.265478181680346E-2</v>
      </c>
    </row>
    <row r="29" spans="2:25" x14ac:dyDescent="0.2">
      <c r="B29" t="s">
        <v>54</v>
      </c>
      <c r="C29">
        <v>145.30000000000001</v>
      </c>
      <c r="D29">
        <v>137.6</v>
      </c>
      <c r="E29">
        <v>138.41521900000001</v>
      </c>
      <c r="F29">
        <v>139.28223143100971</v>
      </c>
      <c r="G29">
        <v>143.92149448893269</v>
      </c>
      <c r="H29">
        <v>139.78242492651279</v>
      </c>
      <c r="I29">
        <v>139.31103754451419</v>
      </c>
      <c r="J29">
        <v>139.48233227226791</v>
      </c>
      <c r="K29">
        <v>139.83111383010521</v>
      </c>
      <c r="L29">
        <v>140.32560759541801</v>
      </c>
      <c r="M29" s="2">
        <v>-5.2993805918788772E-2</v>
      </c>
      <c r="N29" s="2">
        <v>-4.738321403991741E-2</v>
      </c>
      <c r="O29" s="2">
        <v>-4.1416163585618282E-2</v>
      </c>
      <c r="P29" s="2">
        <v>-9.4873056508417708E-3</v>
      </c>
      <c r="Q29" s="2">
        <v>-3.7973675660613833E-2</v>
      </c>
      <c r="R29" s="2">
        <v>-4.1217910911809041E-2</v>
      </c>
      <c r="S29" s="2">
        <v>-4.0039007073173427E-2</v>
      </c>
      <c r="T29" s="2">
        <v>-3.7638583412902833E-2</v>
      </c>
      <c r="U29" s="2">
        <v>-3.4235322811989273E-2</v>
      </c>
      <c r="V29" s="2">
        <v>-3.7638583412902833E-2</v>
      </c>
      <c r="W29" s="2">
        <v>-3.4235322811989273E-2</v>
      </c>
      <c r="X29" s="2">
        <v>-3.8082805288565558E-2</v>
      </c>
      <c r="Y29" s="2">
        <v>-7.0888602069514084E-2</v>
      </c>
    </row>
    <row r="30" spans="2:25" x14ac:dyDescent="0.2">
      <c r="B30" t="s">
        <v>55</v>
      </c>
      <c r="C30">
        <v>160.1</v>
      </c>
      <c r="D30">
        <v>154.5</v>
      </c>
      <c r="E30">
        <v>165.94799570000001</v>
      </c>
      <c r="F30">
        <v>161.60124718668229</v>
      </c>
      <c r="G30">
        <v>154.54958597544751</v>
      </c>
      <c r="H30">
        <v>160.6400039795908</v>
      </c>
      <c r="I30">
        <v>161.60120804867299</v>
      </c>
      <c r="J30">
        <v>161.26723327886381</v>
      </c>
      <c r="K30">
        <v>160.57353586395169</v>
      </c>
      <c r="L30">
        <v>159.8286365381382</v>
      </c>
      <c r="M30" s="2">
        <v>-3.4978138663335427E-2</v>
      </c>
      <c r="N30" s="2">
        <v>3.6527143660212369E-2</v>
      </c>
      <c r="O30" s="2">
        <v>9.376934332806508E-3</v>
      </c>
      <c r="P30" s="2">
        <v>-3.4668419891020992E-2</v>
      </c>
      <c r="Q30" s="2">
        <v>3.3729167994429599E-3</v>
      </c>
      <c r="R30" s="2">
        <v>9.3766898730354153E-3</v>
      </c>
      <c r="S30" s="2">
        <v>7.290651335813747E-3</v>
      </c>
      <c r="T30" s="2">
        <v>2.9577505556008798E-3</v>
      </c>
      <c r="U30" s="2">
        <v>-1.6949622852081569E-3</v>
      </c>
      <c r="V30" s="2">
        <v>2.9577505556008798E-3</v>
      </c>
      <c r="W30" s="2">
        <v>-1.6949622852081569E-3</v>
      </c>
      <c r="X30" s="2">
        <v>5.4371548588576513E-3</v>
      </c>
      <c r="Y30" s="2">
        <v>1.6919982042541411E-2</v>
      </c>
    </row>
    <row r="31" spans="2:25" x14ac:dyDescent="0.2">
      <c r="B31" t="s">
        <v>71</v>
      </c>
      <c r="C31">
        <v>157.1</v>
      </c>
      <c r="D31">
        <v>157.1</v>
      </c>
      <c r="E31">
        <v>155.1177237</v>
      </c>
      <c r="F31">
        <v>152.93279971875361</v>
      </c>
      <c r="G31">
        <v>156.62558854552171</v>
      </c>
      <c r="H31">
        <v>153.89417850988769</v>
      </c>
      <c r="I31">
        <v>152.93278921061921</v>
      </c>
      <c r="J31">
        <v>152.70482894708979</v>
      </c>
      <c r="K31">
        <v>153.9162437971577</v>
      </c>
      <c r="L31">
        <v>153.65281123379941</v>
      </c>
      <c r="M31" s="2">
        <v>0</v>
      </c>
      <c r="N31" s="2">
        <v>-1.2617926798217719E-2</v>
      </c>
      <c r="O31" s="2">
        <v>-2.652578154835394E-2</v>
      </c>
      <c r="P31" s="2">
        <v>-3.019805566380263E-3</v>
      </c>
      <c r="Q31" s="2">
        <v>-2.0406247550046271E-2</v>
      </c>
      <c r="R31" s="2">
        <v>-2.652584843654204E-2</v>
      </c>
      <c r="S31" s="2">
        <v>-2.797690040044698E-2</v>
      </c>
      <c r="T31" s="2">
        <v>-2.026579378002713E-2</v>
      </c>
      <c r="U31" s="2">
        <v>-2.194264014131531E-2</v>
      </c>
      <c r="V31" s="2">
        <v>-3.3563690360291283E-2</v>
      </c>
      <c r="W31" s="2">
        <v>-3.5776929078255471E-2</v>
      </c>
      <c r="X31" s="2">
        <v>-4.0233193509420562E-2</v>
      </c>
      <c r="Y31" s="2">
        <v>-3.4404395223200601E-2</v>
      </c>
    </row>
    <row r="32" spans="2:25" x14ac:dyDescent="0.2">
      <c r="C32" s="98" t="s">
        <v>148</v>
      </c>
      <c r="D32" s="98"/>
      <c r="E32" s="98"/>
      <c r="F32">
        <f t="shared" ref="F32:F37" si="0">$F$31/(1+O32)</f>
        <v>153.78512832709899</v>
      </c>
      <c r="K32" s="98" t="s">
        <v>141</v>
      </c>
      <c r="L32" s="98"/>
      <c r="M32" s="98"/>
      <c r="N32" s="98"/>
      <c r="O32" s="1">
        <f>AVERAGE(O21:O30)</f>
        <v>-5.5423344091666714E-3</v>
      </c>
    </row>
    <row r="33" spans="1:15" x14ac:dyDescent="0.2">
      <c r="C33" s="99" t="s">
        <v>149</v>
      </c>
      <c r="D33" s="99"/>
      <c r="E33" s="99"/>
      <c r="F33">
        <f t="shared" si="0"/>
        <v>153.82300977899945</v>
      </c>
      <c r="K33" s="99" t="s">
        <v>143</v>
      </c>
      <c r="L33" s="99"/>
      <c r="M33" s="99"/>
      <c r="N33" s="99"/>
      <c r="O33" s="1">
        <f>MEDIAN(O21:O30)</f>
        <v>-5.7872360027594336E-3</v>
      </c>
    </row>
    <row r="34" spans="1:15" x14ac:dyDescent="0.2">
      <c r="C34" s="100" t="s">
        <v>150</v>
      </c>
      <c r="D34" s="100"/>
      <c r="E34" s="100"/>
      <c r="F34">
        <f t="shared" si="0"/>
        <v>158.97161084288479</v>
      </c>
      <c r="K34" s="100" t="s">
        <v>142</v>
      </c>
      <c r="L34" s="100"/>
      <c r="M34" s="100"/>
      <c r="N34" s="100"/>
      <c r="O34" s="1">
        <f>AVERAGE(O26:O29,O22)</f>
        <v>-3.7986726636993408E-2</v>
      </c>
    </row>
    <row r="35" spans="1:15" x14ac:dyDescent="0.2">
      <c r="C35" s="101" t="s">
        <v>151</v>
      </c>
      <c r="D35" s="101"/>
      <c r="E35" s="101"/>
      <c r="F35">
        <f t="shared" si="0"/>
        <v>157.08827732088781</v>
      </c>
      <c r="G35">
        <f>AVERAGE(F35,F33)</f>
        <v>155.45564354994363</v>
      </c>
      <c r="K35" s="101" t="s">
        <v>144</v>
      </c>
      <c r="L35" s="101"/>
      <c r="M35" s="101"/>
      <c r="N35" s="101"/>
      <c r="O35" s="1">
        <f>MEDIAN(O26:O29,O22)</f>
        <v>-2.645313624291468E-2</v>
      </c>
    </row>
    <row r="36" spans="1:15" x14ac:dyDescent="0.2">
      <c r="C36" s="102" t="s">
        <v>152</v>
      </c>
      <c r="D36" s="102"/>
      <c r="E36" s="102"/>
      <c r="F36">
        <f>$F$31/(1+O36)</f>
        <v>148.92637380006099</v>
      </c>
      <c r="K36" s="102" t="s">
        <v>145</v>
      </c>
      <c r="L36" s="102"/>
      <c r="M36" s="102"/>
      <c r="N36" s="102"/>
      <c r="O36" s="1">
        <f>AVERAGE(O30,O23:O25,O21)</f>
        <v>2.6902057818660063E-2</v>
      </c>
    </row>
    <row r="37" spans="1:15" x14ac:dyDescent="0.2">
      <c r="C37" s="103" t="s">
        <v>153</v>
      </c>
      <c r="D37" s="103"/>
      <c r="E37" s="103"/>
      <c r="F37">
        <f>$F$31/(1+O37)</f>
        <v>151.06682737405225</v>
      </c>
      <c r="G37" s="106"/>
      <c r="K37" s="103" t="s">
        <v>146</v>
      </c>
      <c r="L37" s="103"/>
      <c r="M37" s="103"/>
      <c r="N37" s="103"/>
      <c r="O37" s="1">
        <f>MEDIAN(O30,O23:O25,O21)</f>
        <v>1.235196619361756E-2</v>
      </c>
    </row>
    <row r="40" spans="1:15" x14ac:dyDescent="0.2">
      <c r="A40" s="67" t="s">
        <v>102</v>
      </c>
      <c r="B40" t="s">
        <v>154</v>
      </c>
    </row>
    <row r="41" spans="1:15" x14ac:dyDescent="0.2">
      <c r="B41" t="s">
        <v>155</v>
      </c>
    </row>
    <row r="47" spans="1:15" x14ac:dyDescent="0.2">
      <c r="A47" s="67" t="s">
        <v>104</v>
      </c>
      <c r="B47" s="79" t="s">
        <v>156</v>
      </c>
      <c r="C47" s="80">
        <f>F37</f>
        <v>151.06682737405225</v>
      </c>
      <c r="D47" t="s">
        <v>168</v>
      </c>
    </row>
    <row r="49" spans="2:4" x14ac:dyDescent="0.2">
      <c r="B49" s="182" t="s">
        <v>164</v>
      </c>
      <c r="C49" s="182"/>
      <c r="D49" s="2">
        <f>C47/D31-1</f>
        <v>-3.8403390362493628E-2</v>
      </c>
    </row>
    <row r="50" spans="2:4" x14ac:dyDescent="0.2">
      <c r="B50" s="170" t="s">
        <v>163</v>
      </c>
      <c r="C50" s="170"/>
      <c r="D50" s="2">
        <f>'1. Data &amp; Confidence Interval'!U25</f>
        <v>-2.7910142954390649E-2</v>
      </c>
    </row>
  </sheetData>
  <mergeCells count="2">
    <mergeCell ref="B50:C50"/>
    <mergeCell ref="B49:C49"/>
  </mergeCells>
  <conditionalFormatting sqref="O32:O3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:W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1:Y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2021-11-04T21:11:17Z</dcterms:modified>
</cp:coreProperties>
</file>