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PEN\"/>
    </mc:Choice>
  </mc:AlternateContent>
  <xr:revisionPtr revIDLastSave="0" documentId="13_ncr:1_{48595060-E83C-4AEE-8A42-7428C67854E2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4" l="1"/>
  <c r="H33" i="4"/>
  <c r="G34" i="4"/>
  <c r="Q37" i="4"/>
  <c r="F37" i="4" s="1"/>
  <c r="Q36" i="4"/>
  <c r="F36" i="4" s="1"/>
  <c r="Q35" i="4"/>
  <c r="F35" i="4" s="1"/>
  <c r="Q34" i="4"/>
  <c r="F34" i="4" s="1"/>
  <c r="Q33" i="4"/>
  <c r="Q32" i="4"/>
  <c r="F32" i="4" s="1"/>
  <c r="F33" i="4"/>
  <c r="AG24" i="1" l="1"/>
  <c r="AF17" i="1"/>
  <c r="AE17" i="1"/>
  <c r="AD17" i="1"/>
  <c r="AC17" i="1"/>
  <c r="AB17" i="1"/>
  <c r="AA17" i="1"/>
  <c r="Z17" i="1"/>
  <c r="Y17" i="1"/>
  <c r="X17" i="1"/>
  <c r="W17" i="1"/>
  <c r="V17" i="1"/>
  <c r="U17" i="1"/>
  <c r="D50" i="4" l="1"/>
  <c r="AG23" i="1"/>
  <c r="AG22" i="1"/>
  <c r="AG21" i="1"/>
  <c r="AG20" i="1"/>
  <c r="R23" i="2"/>
  <c r="L23" i="2"/>
  <c r="M23" i="2"/>
  <c r="N23" i="2"/>
  <c r="O23" i="2"/>
  <c r="K23" i="2"/>
  <c r="Q23" i="2" s="1"/>
  <c r="J23" i="2"/>
  <c r="P23" i="2" s="1"/>
  <c r="J42" i="2"/>
  <c r="J41" i="2"/>
  <c r="J29" i="2"/>
  <c r="J30" i="2"/>
  <c r="J6" i="2"/>
  <c r="J28" i="2" s="1"/>
  <c r="Q30" i="2"/>
  <c r="N30" i="2"/>
  <c r="O30" i="2"/>
  <c r="P24" i="2"/>
  <c r="AG26" i="1"/>
  <c r="AG25" i="1"/>
  <c r="R25" i="1"/>
  <c r="O25" i="1"/>
  <c r="R24" i="1"/>
  <c r="O24" i="1"/>
  <c r="AF10" i="1"/>
  <c r="AC18" i="1"/>
  <c r="AB18" i="1"/>
  <c r="AA18" i="1"/>
  <c r="Z18" i="1"/>
  <c r="O22" i="1"/>
  <c r="E44" i="2"/>
  <c r="E43" i="2"/>
  <c r="E42" i="2"/>
  <c r="E41" i="2"/>
  <c r="E40" i="2"/>
  <c r="E38" i="2"/>
  <c r="E37" i="2"/>
  <c r="E36" i="2"/>
  <c r="E35" i="2"/>
  <c r="E34" i="2"/>
  <c r="E33" i="2"/>
  <c r="E32" i="2"/>
  <c r="E31" i="2"/>
  <c r="E30" i="2"/>
  <c r="E29" i="2"/>
  <c r="E28" i="2"/>
  <c r="A28" i="2"/>
  <c r="B28" i="2"/>
  <c r="C28" i="2"/>
  <c r="D28" i="2"/>
  <c r="F28" i="2"/>
  <c r="G28" i="2"/>
  <c r="H28" i="2"/>
  <c r="I28" i="2"/>
  <c r="R28" i="2"/>
  <c r="A29" i="2"/>
  <c r="B29" i="2"/>
  <c r="C29" i="2"/>
  <c r="D29" i="2"/>
  <c r="F29" i="2"/>
  <c r="G29" i="2"/>
  <c r="H29" i="2"/>
  <c r="I29" i="2"/>
  <c r="L29" i="2"/>
  <c r="R29" i="2"/>
  <c r="A30" i="2"/>
  <c r="B30" i="2"/>
  <c r="C30" i="2"/>
  <c r="D30" i="2"/>
  <c r="F30" i="2"/>
  <c r="G30" i="2"/>
  <c r="H30" i="2"/>
  <c r="I30" i="2"/>
  <c r="K30" i="2"/>
  <c r="M30" i="2"/>
  <c r="P30" i="2"/>
  <c r="R30" i="2"/>
  <c r="R24" i="2"/>
  <c r="I24" i="2"/>
  <c r="H24" i="2"/>
  <c r="G24" i="2"/>
  <c r="F24" i="2"/>
  <c r="E24" i="2"/>
  <c r="L30" i="2"/>
  <c r="AE20" i="1"/>
  <c r="J39" i="2"/>
  <c r="C2" i="4"/>
  <c r="J40" i="2"/>
  <c r="G40" i="2"/>
  <c r="H39" i="2"/>
  <c r="H40" i="2"/>
  <c r="G44" i="2"/>
  <c r="G43" i="2"/>
  <c r="G42" i="2"/>
  <c r="G41" i="2"/>
  <c r="G39" i="2"/>
  <c r="G37" i="2"/>
  <c r="G36" i="2"/>
  <c r="E39" i="2"/>
  <c r="AF18" i="1"/>
  <c r="AG18" i="1"/>
  <c r="F17" i="1"/>
  <c r="N17" i="1"/>
  <c r="M17" i="1"/>
  <c r="L17" i="1"/>
  <c r="K17" i="1"/>
  <c r="I18" i="1"/>
  <c r="H18" i="1"/>
  <c r="F18" i="1"/>
  <c r="O20" i="1"/>
  <c r="J24" i="2" l="1"/>
  <c r="E46" i="2" a="1"/>
  <c r="E46" i="2" s="1"/>
  <c r="K24" i="2"/>
  <c r="E45" i="2" a="1"/>
  <c r="E45" i="2" s="1"/>
  <c r="K29" i="2"/>
  <c r="O24" i="2"/>
  <c r="N24" i="2"/>
  <c r="L24" i="2"/>
  <c r="M24" i="2"/>
  <c r="P29" i="2"/>
  <c r="N29" i="2"/>
  <c r="O29" i="2"/>
  <c r="M29" i="2"/>
  <c r="AF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Q31" i="2"/>
  <c r="P31" i="2"/>
  <c r="O31" i="2"/>
  <c r="N31" i="2"/>
  <c r="M31" i="2"/>
  <c r="L31" i="2"/>
  <c r="K31" i="2"/>
  <c r="R31" i="2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E18" i="1"/>
  <c r="AD18" i="1"/>
  <c r="O18" i="1"/>
  <c r="N18" i="1"/>
  <c r="M18" i="1"/>
  <c r="L18" i="1"/>
  <c r="K18" i="1"/>
  <c r="J18" i="1"/>
  <c r="G18" i="1"/>
  <c r="H17" i="1"/>
  <c r="G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4" i="3"/>
  <c r="E24" i="3"/>
  <c r="C7" i="1" l="1"/>
  <c r="H10" i="1"/>
  <c r="Q24" i="2"/>
  <c r="Q29" i="2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Y18" i="1"/>
  <c r="X18" i="1"/>
  <c r="W18" i="1"/>
  <c r="V18" i="1"/>
  <c r="U18" i="1"/>
  <c r="T18" i="1"/>
  <c r="S18" i="1"/>
  <c r="R18" i="1"/>
  <c r="Q18" i="1"/>
  <c r="P18" i="1"/>
  <c r="I17" i="1"/>
  <c r="J17" i="1"/>
  <c r="O17" i="1"/>
  <c r="P17" i="1"/>
  <c r="Q17" i="1"/>
  <c r="R17" i="1"/>
  <c r="S17" i="1"/>
  <c r="T17" i="1"/>
  <c r="F20" i="3"/>
  <c r="B7" i="1" l="1"/>
  <c r="R21" i="1"/>
  <c r="R44" i="2"/>
  <c r="R43" i="2"/>
  <c r="R42" i="2"/>
  <c r="R41" i="2"/>
  <c r="R39" i="2"/>
  <c r="R38" i="2"/>
  <c r="R37" i="2"/>
  <c r="R36" i="2"/>
  <c r="R35" i="2"/>
  <c r="R34" i="2"/>
  <c r="R33" i="2"/>
  <c r="R32" i="2"/>
  <c r="I2" i="1" l="1"/>
  <c r="J2" i="1"/>
  <c r="J3" i="1"/>
  <c r="I3" i="1"/>
  <c r="H20" i="3"/>
  <c r="K2" i="1" l="1"/>
  <c r="L2" i="1" s="1"/>
  <c r="K3" i="1"/>
  <c r="L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F42" i="2"/>
  <c r="H42" i="2"/>
  <c r="I42" i="2"/>
  <c r="F43" i="2"/>
  <c r="H43" i="2"/>
  <c r="I43" i="2"/>
  <c r="J43" i="2"/>
  <c r="F44" i="2"/>
  <c r="H44" i="2"/>
  <c r="I44" i="2"/>
  <c r="J44" i="2"/>
  <c r="G47" i="2" l="1"/>
  <c r="G35" i="4" s="1"/>
  <c r="G48" i="2"/>
  <c r="G36" i="4" s="1"/>
  <c r="G46" i="2" a="1"/>
  <c r="G46" i="2" s="1"/>
  <c r="G45" i="2" a="1"/>
  <c r="G45" i="2" s="1"/>
  <c r="Q46" i="2" a="1"/>
  <c r="Q46" i="2" s="1"/>
  <c r="Q45" i="2" a="1"/>
  <c r="Q45" i="2" s="1"/>
  <c r="P46" i="2" a="1"/>
  <c r="P46" i="2" s="1"/>
  <c r="P45" i="2" a="1"/>
  <c r="P45" i="2" s="1"/>
  <c r="O46" i="2" a="1"/>
  <c r="O46" i="2" s="1"/>
  <c r="O45" i="2" a="1"/>
  <c r="O45" i="2" s="1"/>
  <c r="F46" i="2" a="1"/>
  <c r="F46" i="2" s="1"/>
  <c r="F45" i="2" a="1"/>
  <c r="F45" i="2" s="1"/>
  <c r="N46" i="2" a="1"/>
  <c r="N46" i="2" s="1"/>
  <c r="N45" i="2" a="1"/>
  <c r="N45" i="2" s="1"/>
  <c r="L46" i="2" a="1"/>
  <c r="L46" i="2" s="1"/>
  <c r="L45" i="2" a="1"/>
  <c r="L45" i="2" s="1"/>
  <c r="M45" i="2" a="1"/>
  <c r="M45" i="2" s="1"/>
  <c r="M46" i="2" a="1"/>
  <c r="M46" i="2" s="1"/>
  <c r="K46" i="2" a="1"/>
  <c r="K46" i="2" s="1"/>
  <c r="K45" i="2" a="1"/>
  <c r="K45" i="2" s="1"/>
  <c r="J46" i="2" a="1"/>
  <c r="J46" i="2" s="1"/>
  <c r="J45" i="2" a="1"/>
  <c r="J45" i="2" s="1"/>
  <c r="R46" i="2" a="1"/>
  <c r="R46" i="2" s="1"/>
  <c r="R45" i="2" a="1"/>
  <c r="R45" i="2" s="1"/>
  <c r="I46" i="2" a="1"/>
  <c r="I46" i="2" s="1"/>
  <c r="I45" i="2" a="1"/>
  <c r="I45" i="2" s="1"/>
  <c r="H46" i="2" a="1"/>
  <c r="H46" i="2" s="1"/>
  <c r="H45" i="2" a="1"/>
  <c r="H45" i="2" s="1"/>
  <c r="AD21" i="1"/>
  <c r="S21" i="1"/>
  <c r="AE21" i="1"/>
  <c r="AA21" i="1"/>
  <c r="AE23" i="1"/>
  <c r="T21" i="1"/>
  <c r="U21" i="1"/>
  <c r="V21" i="1"/>
  <c r="U23" i="1"/>
  <c r="T23" i="1"/>
  <c r="Z23" i="1"/>
  <c r="S23" i="1"/>
  <c r="R23" i="1"/>
  <c r="AA23" i="1"/>
  <c r="W23" i="1"/>
  <c r="Y23" i="1"/>
  <c r="V23" i="1"/>
  <c r="X23" i="1"/>
  <c r="AD23" i="1"/>
  <c r="AC23" i="1"/>
  <c r="AB23" i="1"/>
  <c r="AC21" i="1"/>
  <c r="W21" i="1"/>
  <c r="X21" i="1"/>
  <c r="Y21" i="1"/>
  <c r="Z21" i="1"/>
  <c r="AB21" i="1"/>
  <c r="H35" i="4" l="1"/>
  <c r="D49" i="4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<sst xmlns="http://schemas.openxmlformats.org/spreadsheetml/2006/main" count="310" uniqueCount="175">
  <si>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</si>
  <si>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</si>
  <si>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</si>
  <si>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</si>
  <si>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</si>
  <si>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</si>
  <si>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</si>
  <si>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</si>
  <si>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</si>
  <si>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</si>
  <si>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</si>
  <si>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</si>
  <si>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</si>
  <si>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</si>
  <si>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</si>
  <si>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</si>
  <si>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</si>
  <si>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</si>
  <si>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</si>
  <si>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</si>
  <si>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</si>
  <si>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</si>
  <si>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</si>
  <si>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</si>
  <si>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</si>
  <si>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</si>
  <si>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</si>
  <si>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</si>
  <si>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</si>
  <si>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</si>
  <si>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</si>
  <si>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</si>
  <si>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</si>
  <si>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</si>
  <si>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</si>
  <si>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</si>
  <si>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</si>
  <si>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</si>
  <si>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</si>
  <si>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</si>
  <si>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</si>
  <si>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</si>
  <si>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</si>
  <si>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</si>
  <si>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</si>
  <si>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</si>
  <si>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</si>
  <si>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</si>
  <si>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</si>
  <si>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</si>
  <si>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</si>
  <si>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</si>
  <si>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</si>
  <si>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</si>
  <si>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</si>
  <si>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</si>
  <si>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</si>
  <si>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</si>
  <si>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</si>
  <si>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</si>
  <si>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</si>
  <si>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</si>
  <si>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</si>
  <si>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</si>
  <si>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</si>
  <si>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</si>
  <si>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</si>
  <si>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</si>
  <si>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</si>
  <si>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</si>
  <si>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</si>
  <si>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</si>
  <si>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</si>
  <si>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</si>
  <si>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</si>
  <si>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</si>
  <si>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</si>
  <si>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</si>
  <si>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</si>
  <si>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</si>
  <si>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</si>
  <si>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</si>
  <si>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</si>
  <si>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</si>
  <si>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</si>
  <si>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</si>
  <si>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</si>
  <si>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</si>
  <si>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</si>
  <si>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</si>
  <si>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</si>
  <si>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</si>
  <si>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</si>
  <si>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</si>
  <si>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</si>
  <si>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</si>
  <si>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</si>
  <si>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</si>
  <si>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</si>
  <si>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</si>
  <si>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</si>
  <si>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</si>
  <si>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</si>
  <si>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</si>
  <si>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</si>
  <si>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</si>
  <si>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</si>
  <si>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</si>
  <si>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</si>
  <si>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</si>
  <si>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</si>
  <si>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</si>
  <si>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</si>
  <si>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</si>
  <si>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</si>
  <si>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</si>
  <si>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</si>
  <si>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</si>
  <si>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</si>
  <si>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</si>
  <si>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</si>
  <si>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</si>
  <si>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</si>
  <si>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</si>
  <si>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</si>
  <si>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</si>
  <si>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</si>
  <si>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</si>
  <si>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</si>
  <si>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</si>
  <si>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</si>
  <si>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</si>
  <si>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</si>
  <si>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</si>
  <si>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</si>
  <si>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</si>
  <si>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</si>
  <si>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</si>
  <si>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</si>
  <si>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</si>
  <si>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</si>
  <si>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</si>
  <si>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</si>
  <si>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</si>
  <si>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</si>
  <si>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</si>
  <si>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</si>
  <si>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</si>
  <si>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</si>
  <si>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</si>
  <si>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</si>
  <si>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</si>
  <si>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</si>
  <si>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</si>
  <si>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</si>
  <si>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</si>
  <si>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</si>
  <si>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</si>
  <si>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</si>
  <si>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</si>
  <si>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</si>
  <si>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</si>
  <si>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</si>
  <si>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</si>
  <si>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</si>
  <si>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</si>
  <si>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</si>
  <si>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</si>
  <si>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</si>
  <si>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</si>
  <si>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</si>
  <si>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CORRELATION</t>
  </si>
  <si>
    <t>SS NO LR</t>
  </si>
  <si>
    <t>PEN_NEURO</t>
  </si>
  <si>
    <t>Neuro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</si>
</sst>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"/>
    <numFmt numFmtId="166" formatCode="0.00000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6100"/>
      <name val="Arial"/>
      <family val="2"/>
    </font>
    <font>
      <sz val="10"/>
      <color rgb="FF9C57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</cellStyleXfs>
  <cellXfs count="180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18" borderId="0" xfId="2"/>
    <xf numFmtId="0" fontId="2" fillId="18" borderId="0" xfId="2" applyFont="1"/>
    <xf numFmtId="43" fontId="0" fillId="0" borderId="0" xfId="0" applyNumberFormat="1"/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1" fillId="19" borderId="0" xfId="3"/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H29"/>
  <sheetViews>
    <sheetView topLeftCell="B3" zoomScale="70" zoomScaleNormal="70" workbookViewId="0">
      <selection activeCell="O15" sqref="O15:AE15"/>
    </sheetView>
  </sheetViews>
  <sheetFormatPr defaultRowHeight="12.75" x14ac:dyDescent="0.2"/>
  <cols>
    <col min="1" max="1" width="17.85546875" bestFit="1" customWidth="1"/>
    <col min="2" max="3" width="17.85546875" customWidth="1"/>
    <col min="4" max="4" width="12.5703125" customWidth="1"/>
    <col min="5" max="5" width="11.7109375" customWidth="1"/>
    <col min="6" max="31" width="10.7109375" customWidth="1"/>
    <col min="32" max="32" width="17.85546875" customWidth="1"/>
    <col min="33" max="34" width="10.7109375" customWidth="1"/>
  </cols>
  <sheetData>
    <row r="1" spans="1:33" x14ac:dyDescent="0.2">
      <c r="A1" s="131" t="s">
        <v>173</v>
      </c>
      <c r="B1" s="132"/>
      <c r="C1" s="133"/>
      <c r="G1" s="140" t="s">
        <v>35</v>
      </c>
      <c r="H1" s="141"/>
      <c r="I1" s="61" t="s">
        <v>31</v>
      </c>
      <c r="J1" s="61" t="s">
        <v>32</v>
      </c>
      <c r="K1" s="4" t="s">
        <v>39</v>
      </c>
      <c r="L1" s="142" t="s">
        <v>41</v>
      </c>
      <c r="M1" s="143"/>
    </row>
    <row r="2" spans="1:33" x14ac:dyDescent="0.2">
      <c r="A2" s="134"/>
      <c r="B2" s="135"/>
      <c r="C2" s="136"/>
      <c r="G2" s="59" t="s">
        <v>37</v>
      </c>
      <c r="H2" s="60"/>
      <c r="I2" s="62">
        <f>$B$7*($AG$25-2*$AG$26)</f>
        <v>43.860163130812943</v>
      </c>
      <c r="J2" s="62">
        <f>$B$7*($AG$25+2*$AG$26)</f>
        <v>46.892443583834691</v>
      </c>
      <c r="K2" s="64">
        <f>AVERAGE(I2:J2)</f>
        <v>45.37630335732382</v>
      </c>
      <c r="L2" s="144">
        <f>$K$2/AB14-1</f>
        <v>4.074090269091335E-2</v>
      </c>
      <c r="M2" s="145"/>
    </row>
    <row r="3" spans="1:33" x14ac:dyDescent="0.2">
      <c r="A3" s="137"/>
      <c r="B3" s="138"/>
      <c r="C3" s="139"/>
      <c r="G3" s="45" t="s">
        <v>38</v>
      </c>
      <c r="H3" s="19"/>
      <c r="I3" s="63">
        <f>$C$7*($AG$25-2*$AG$26)</f>
        <v>44.469332063185348</v>
      </c>
      <c r="J3" s="63">
        <f>$C$7*($AG$25+2*$AG$26)</f>
        <v>47.543727522499061</v>
      </c>
      <c r="K3" s="65">
        <f>AVERAGE(I3:J3)</f>
        <v>46.006529792842201</v>
      </c>
      <c r="L3" s="111">
        <f>$K$3/AB15-1</f>
        <v>3.8522117219914387E-2</v>
      </c>
      <c r="M3" s="112"/>
    </row>
    <row r="4" spans="1:33" x14ac:dyDescent="0.2">
      <c r="A4" s="50"/>
      <c r="B4" s="50"/>
      <c r="C4" s="50"/>
      <c r="J4" s="4" t="s">
        <v>40</v>
      </c>
      <c r="K4" s="65">
        <f>AVERAGE(K2:K3)</f>
        <v>45.691416575083011</v>
      </c>
      <c r="L4" s="111">
        <f>$K$4/AB15-1</f>
        <v>3.14089520334766E-2</v>
      </c>
      <c r="M4" s="112"/>
    </row>
    <row r="5" spans="1:33" x14ac:dyDescent="0.2">
      <c r="A5" s="58" t="s">
        <v>34</v>
      </c>
      <c r="B5" s="48" t="s">
        <v>31</v>
      </c>
      <c r="C5" s="49" t="s">
        <v>32</v>
      </c>
    </row>
    <row r="6" spans="1:33" ht="15.75" x14ac:dyDescent="0.25">
      <c r="A6" s="52" t="s">
        <v>33</v>
      </c>
      <c r="B6" s="56">
        <v>720</v>
      </c>
      <c r="C6" s="57">
        <v>730</v>
      </c>
    </row>
    <row r="7" spans="1:33" ht="14.25" x14ac:dyDescent="0.2">
      <c r="A7" s="53" t="s">
        <v>36</v>
      </c>
      <c r="B7" s="54">
        <f>B6*$AG$24</f>
        <v>179.07130793078537</v>
      </c>
      <c r="C7" s="55">
        <f>C6*$AG$24</f>
        <v>181.55840942982405</v>
      </c>
    </row>
    <row r="10" spans="1:33" x14ac:dyDescent="0.2">
      <c r="F10" s="153" t="s">
        <v>15</v>
      </c>
      <c r="G10" s="153"/>
      <c r="H10" s="35">
        <f>AVERAGE(F13:AF13)</f>
        <v>1.1610622604748841</v>
      </c>
      <c r="AC10" s="153" t="s">
        <v>16</v>
      </c>
      <c r="AD10" s="153"/>
      <c r="AE10" s="153"/>
      <c r="AF10" s="81">
        <f>AVERAGE(AD13:AF13)</f>
        <v>1.0572103201952221</v>
      </c>
    </row>
    <row r="11" spans="1:33" x14ac:dyDescent="0.2">
      <c r="A11" s="51" t="s">
        <v>6</v>
      </c>
      <c r="B11" s="113">
        <v>2012</v>
      </c>
      <c r="C11" s="114"/>
      <c r="D11" s="114"/>
      <c r="E11" s="115"/>
      <c r="F11" s="125">
        <v>2015</v>
      </c>
      <c r="G11" s="126"/>
      <c r="H11" s="126"/>
      <c r="I11" s="127"/>
      <c r="J11" s="125">
        <v>2016</v>
      </c>
      <c r="K11" s="126"/>
      <c r="L11" s="126"/>
      <c r="M11" s="127"/>
      <c r="N11" s="128">
        <v>2017</v>
      </c>
      <c r="O11" s="129"/>
      <c r="P11" s="129"/>
      <c r="Q11" s="130"/>
      <c r="R11" s="118">
        <v>2018</v>
      </c>
      <c r="S11" s="119"/>
      <c r="T11" s="119"/>
      <c r="U11" s="120"/>
      <c r="V11" s="155">
        <v>2019</v>
      </c>
      <c r="W11" s="156"/>
      <c r="X11" s="156"/>
      <c r="Y11" s="157"/>
      <c r="Z11" s="158">
        <v>2020</v>
      </c>
      <c r="AA11" s="159"/>
      <c r="AB11" s="159"/>
      <c r="AC11" s="160"/>
      <c r="AD11" s="125">
        <v>2021</v>
      </c>
      <c r="AE11" s="126"/>
      <c r="AF11" s="126"/>
      <c r="AG11" s="127"/>
    </row>
    <row r="12" spans="1:33" x14ac:dyDescent="0.2">
      <c r="A12" s="14" t="s">
        <v>19</v>
      </c>
      <c r="B12" s="105" t="s">
        <v>20</v>
      </c>
      <c r="C12" s="105" t="s">
        <v>3</v>
      </c>
      <c r="D12" s="105" t="s">
        <v>4</v>
      </c>
      <c r="E12" s="105" t="s">
        <v>5</v>
      </c>
      <c r="F12" s="21" t="s">
        <v>20</v>
      </c>
      <c r="G12" s="22" t="s">
        <v>3</v>
      </c>
      <c r="H12" s="22" t="s">
        <v>4</v>
      </c>
      <c r="I12" s="22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3" t="s">
        <v>20</v>
      </c>
      <c r="O12" s="24" t="s">
        <v>3</v>
      </c>
      <c r="P12" s="24" t="s">
        <v>4</v>
      </c>
      <c r="Q12" s="24" t="s">
        <v>5</v>
      </c>
      <c r="R12" s="25" t="s">
        <v>20</v>
      </c>
      <c r="S12" s="26" t="s">
        <v>3</v>
      </c>
      <c r="T12" s="26" t="s">
        <v>4</v>
      </c>
      <c r="U12" s="26" t="s">
        <v>5</v>
      </c>
      <c r="V12" s="27" t="s">
        <v>20</v>
      </c>
      <c r="W12" s="28" t="s">
        <v>3</v>
      </c>
      <c r="X12" s="28" t="s">
        <v>4</v>
      </c>
      <c r="Y12" s="28" t="s">
        <v>5</v>
      </c>
      <c r="Z12" s="29" t="s">
        <v>20</v>
      </c>
      <c r="AA12" s="20" t="s">
        <v>3</v>
      </c>
      <c r="AB12" s="20" t="s">
        <v>4</v>
      </c>
      <c r="AC12" s="20" t="s">
        <v>5</v>
      </c>
      <c r="AD12" s="37" t="s">
        <v>20</v>
      </c>
      <c r="AE12" s="38" t="s">
        <v>3</v>
      </c>
      <c r="AF12" s="39" t="s">
        <v>21</v>
      </c>
      <c r="AG12" s="30" t="s">
        <v>22</v>
      </c>
    </row>
    <row r="13" spans="1:33" x14ac:dyDescent="0.2">
      <c r="A13" s="34" t="s">
        <v>2</v>
      </c>
      <c r="B13" s="106"/>
      <c r="C13" s="106"/>
      <c r="D13" s="106"/>
      <c r="E13" s="106"/>
      <c r="F13" s="85"/>
      <c r="G13" s="85"/>
      <c r="H13" s="85"/>
      <c r="I13" s="85"/>
      <c r="J13" s="85">
        <f t="shared" ref="J13:AE13" si="0">J15/F15</f>
        <v>1.2486772486772488</v>
      </c>
      <c r="K13" s="85">
        <f t="shared" si="0"/>
        <v>1.2550000000000001</v>
      </c>
      <c r="L13" s="85">
        <f t="shared" si="0"/>
        <v>1.2949999999999999</v>
      </c>
      <c r="M13" s="85">
        <f t="shared" si="0"/>
        <v>1.486772486772487</v>
      </c>
      <c r="N13" s="85">
        <f t="shared" si="0"/>
        <v>1.1864406779661016</v>
      </c>
      <c r="O13" s="85">
        <f t="shared" si="0"/>
        <v>1.2709163346613546</v>
      </c>
      <c r="P13" s="85">
        <f t="shared" si="0"/>
        <v>1.2934362934362935</v>
      </c>
      <c r="Q13" s="85">
        <f t="shared" si="0"/>
        <v>1.3202846975088969</v>
      </c>
      <c r="R13" s="85">
        <f t="shared" si="0"/>
        <v>1.4178571428571429</v>
      </c>
      <c r="S13" s="85">
        <f t="shared" si="0"/>
        <v>1.304075235109718</v>
      </c>
      <c r="T13" s="85">
        <f t="shared" si="0"/>
        <v>1.2268656716417912</v>
      </c>
      <c r="U13" s="85">
        <f t="shared" si="0"/>
        <v>1.1778975741239892</v>
      </c>
      <c r="V13" s="85">
        <f t="shared" si="0"/>
        <v>1.1435768261964734</v>
      </c>
      <c r="W13" s="85">
        <f t="shared" si="0"/>
        <v>1.0721153846153846</v>
      </c>
      <c r="X13" s="85">
        <f t="shared" si="0"/>
        <v>1.0875912408759125</v>
      </c>
      <c r="Y13" s="85">
        <f t="shared" si="0"/>
        <v>1.0572082379862699</v>
      </c>
      <c r="Z13" s="85">
        <f t="shared" si="0"/>
        <v>0.97797356828193838</v>
      </c>
      <c r="AA13" s="85">
        <f t="shared" si="0"/>
        <v>0.85426008968609868</v>
      </c>
      <c r="AB13" s="85">
        <f t="shared" si="0"/>
        <v>0.99105145413870233</v>
      </c>
      <c r="AC13" s="85">
        <f t="shared" si="0"/>
        <v>0.86580086580086579</v>
      </c>
      <c r="AD13" s="85">
        <f t="shared" si="0"/>
        <v>0.97747747747747749</v>
      </c>
      <c r="AE13" s="85">
        <f t="shared" si="0"/>
        <v>1.1391076115485563</v>
      </c>
      <c r="AF13" s="85">
        <f>AF14/AB14</f>
        <v>1.0550458715596329</v>
      </c>
      <c r="AG13" s="31"/>
    </row>
    <row r="14" spans="1:33" x14ac:dyDescent="0.2">
      <c r="A14" s="15" t="s">
        <v>0</v>
      </c>
      <c r="B14" s="6"/>
      <c r="C14" s="6"/>
      <c r="D14" s="6"/>
      <c r="E14" s="6"/>
      <c r="F14" s="9">
        <v>18.899999999999999</v>
      </c>
      <c r="G14" s="6">
        <v>20</v>
      </c>
      <c r="H14" s="6">
        <v>20</v>
      </c>
      <c r="I14" s="6">
        <v>18.899999999999999</v>
      </c>
      <c r="J14" s="9">
        <v>23.6</v>
      </c>
      <c r="K14" s="6">
        <v>25.1</v>
      </c>
      <c r="L14" s="6">
        <v>25.9</v>
      </c>
      <c r="M14" s="6">
        <v>28.1</v>
      </c>
      <c r="N14" s="9">
        <v>28</v>
      </c>
      <c r="O14" s="6">
        <v>31.9</v>
      </c>
      <c r="P14" s="6">
        <v>33.5</v>
      </c>
      <c r="Q14" s="6">
        <v>37.1</v>
      </c>
      <c r="R14" s="9">
        <v>39.700000000000003</v>
      </c>
      <c r="S14" s="6">
        <v>41.6</v>
      </c>
      <c r="T14" s="6">
        <v>41.1</v>
      </c>
      <c r="U14" s="6">
        <v>43.7</v>
      </c>
      <c r="V14" s="9">
        <v>45.4</v>
      </c>
      <c r="W14" s="6">
        <v>45.3</v>
      </c>
      <c r="X14" s="6">
        <v>45.1</v>
      </c>
      <c r="Y14" s="6">
        <v>49.3</v>
      </c>
      <c r="Z14" s="9">
        <v>44.4</v>
      </c>
      <c r="AA14" s="6">
        <v>38.1</v>
      </c>
      <c r="AB14" s="6">
        <v>43.6</v>
      </c>
      <c r="AC14" s="6">
        <v>41.1</v>
      </c>
      <c r="AD14" s="6">
        <v>43.4</v>
      </c>
      <c r="AE14" s="6">
        <v>43.4</v>
      </c>
      <c r="AF14" s="6">
        <v>46</v>
      </c>
      <c r="AG14" s="6">
        <v>48.6</v>
      </c>
    </row>
    <row r="15" spans="1:33" x14ac:dyDescent="0.2">
      <c r="A15" s="15" t="s">
        <v>1</v>
      </c>
      <c r="B15" s="6"/>
      <c r="C15" s="6"/>
      <c r="D15" s="6"/>
      <c r="E15" s="6"/>
      <c r="F15" s="9">
        <v>18.899999999999999</v>
      </c>
      <c r="G15" s="6">
        <v>20</v>
      </c>
      <c r="H15" s="6">
        <v>20</v>
      </c>
      <c r="I15" s="6">
        <v>18.899999999999999</v>
      </c>
      <c r="J15" s="9">
        <v>23.6</v>
      </c>
      <c r="K15" s="6">
        <v>25.1</v>
      </c>
      <c r="L15" s="6">
        <v>25.9</v>
      </c>
      <c r="M15" s="6">
        <v>28.1</v>
      </c>
      <c r="N15" s="9">
        <v>28</v>
      </c>
      <c r="O15" s="6">
        <v>31.9</v>
      </c>
      <c r="P15" s="6">
        <v>33.5</v>
      </c>
      <c r="Q15" s="6">
        <v>37.1</v>
      </c>
      <c r="R15" s="9">
        <v>39.700000000000003</v>
      </c>
      <c r="S15" s="6">
        <v>41.6</v>
      </c>
      <c r="T15" s="6">
        <v>41.1</v>
      </c>
      <c r="U15" s="6">
        <v>43.7</v>
      </c>
      <c r="V15" s="9">
        <v>45.4</v>
      </c>
      <c r="W15" s="6">
        <v>44.6</v>
      </c>
      <c r="X15" s="6">
        <v>44.7</v>
      </c>
      <c r="Y15" s="6">
        <v>46.2</v>
      </c>
      <c r="Z15" s="9">
        <v>44.4</v>
      </c>
      <c r="AA15" s="6">
        <v>38.1</v>
      </c>
      <c r="AB15" s="6">
        <v>44.3</v>
      </c>
      <c r="AC15" s="6">
        <v>40</v>
      </c>
      <c r="AD15" s="9">
        <v>43.4</v>
      </c>
      <c r="AE15" s="6">
        <v>43.4</v>
      </c>
      <c r="AF15" s="9"/>
      <c r="AG15" s="10"/>
    </row>
    <row r="16" spans="1:33" x14ac:dyDescent="0.2">
      <c r="A16" s="15" t="s">
        <v>157</v>
      </c>
      <c r="B16" s="9"/>
      <c r="C16" s="9"/>
      <c r="D16" s="9"/>
      <c r="E16" s="9"/>
      <c r="F16" s="9">
        <v>39</v>
      </c>
      <c r="G16" s="6">
        <v>42.3</v>
      </c>
      <c r="H16" s="6">
        <v>50.4</v>
      </c>
      <c r="I16" s="10">
        <v>54.4</v>
      </c>
      <c r="J16" s="9">
        <v>57.9</v>
      </c>
      <c r="K16" s="6">
        <v>65.099999999999994</v>
      </c>
      <c r="L16" s="6">
        <v>67.2</v>
      </c>
      <c r="M16" s="10">
        <v>73.099999999999994</v>
      </c>
      <c r="N16" s="9">
        <v>73.2</v>
      </c>
      <c r="O16" s="6">
        <v>80.599999999999994</v>
      </c>
      <c r="P16" s="6">
        <v>83.9</v>
      </c>
      <c r="Q16" s="10">
        <v>96.1</v>
      </c>
      <c r="R16" s="9">
        <v>102.7</v>
      </c>
      <c r="S16" s="6">
        <v>109.6</v>
      </c>
      <c r="T16" s="6">
        <v>111.8</v>
      </c>
      <c r="U16" s="10">
        <v>120.8</v>
      </c>
      <c r="V16" s="9">
        <v>128.4</v>
      </c>
      <c r="W16" s="6">
        <v>134.19999999999999</v>
      </c>
      <c r="X16" s="6">
        <v>139.5</v>
      </c>
      <c r="Y16" s="10">
        <v>145.30000000000001</v>
      </c>
      <c r="Z16" s="6">
        <v>137.30000000000001</v>
      </c>
      <c r="AA16" s="6">
        <v>105.1</v>
      </c>
      <c r="AB16" s="10">
        <v>151.1</v>
      </c>
      <c r="AC16" s="9">
        <v>166.9</v>
      </c>
      <c r="AD16">
        <v>169.2</v>
      </c>
      <c r="AE16" s="82">
        <v>184.3</v>
      </c>
      <c r="AF16">
        <v>181</v>
      </c>
      <c r="AG16" s="10"/>
    </row>
    <row r="17" spans="1:34" x14ac:dyDescent="0.2">
      <c r="A17" s="86" t="s">
        <v>18</v>
      </c>
      <c r="B17" s="87"/>
      <c r="C17" s="87"/>
      <c r="D17" s="87"/>
      <c r="E17" s="87"/>
      <c r="F17" s="87">
        <f t="shared" ref="F17:H17" si="1">F15/F16</f>
        <v>0.48461538461538456</v>
      </c>
      <c r="G17" s="87">
        <f t="shared" si="1"/>
        <v>0.4728132387706856</v>
      </c>
      <c r="H17" s="87">
        <f t="shared" si="1"/>
        <v>0.39682539682539686</v>
      </c>
      <c r="I17" s="87">
        <f t="shared" ref="I17:T17" si="2">I15/I16</f>
        <v>0.34742647058823528</v>
      </c>
      <c r="J17" s="87">
        <f t="shared" si="2"/>
        <v>0.40759930915371334</v>
      </c>
      <c r="K17" s="87">
        <f>K15/K16</f>
        <v>0.3855606758832566</v>
      </c>
      <c r="L17" s="87">
        <f>L15/L16</f>
        <v>0.38541666666666663</v>
      </c>
      <c r="M17" s="87">
        <f>M15/M16</f>
        <v>0.38440492476060195</v>
      </c>
      <c r="N17" s="87">
        <f>N15/N16</f>
        <v>0.38251366120218577</v>
      </c>
      <c r="O17" s="87">
        <f t="shared" si="2"/>
        <v>0.3957816377171216</v>
      </c>
      <c r="P17" s="87">
        <f t="shared" si="2"/>
        <v>0.39928486293206195</v>
      </c>
      <c r="Q17" s="87">
        <f t="shared" si="2"/>
        <v>0.3860561914672217</v>
      </c>
      <c r="R17" s="87">
        <f t="shared" si="2"/>
        <v>0.38656280428432327</v>
      </c>
      <c r="S17" s="87">
        <f t="shared" si="2"/>
        <v>0.37956204379562047</v>
      </c>
      <c r="T17" s="87">
        <f t="shared" si="2"/>
        <v>0.3676207513416816</v>
      </c>
      <c r="U17" s="87">
        <f t="shared" ref="U17:AE17" si="3">U15/U16</f>
        <v>0.36175496688741726</v>
      </c>
      <c r="V17" s="87">
        <f t="shared" si="3"/>
        <v>0.35358255451713394</v>
      </c>
      <c r="W17" s="87">
        <f t="shared" si="3"/>
        <v>0.33233979135618485</v>
      </c>
      <c r="X17" s="87">
        <f t="shared" si="3"/>
        <v>0.32043010752688172</v>
      </c>
      <c r="Y17" s="87">
        <f t="shared" si="3"/>
        <v>0.3179628355127323</v>
      </c>
      <c r="Z17" s="87">
        <f t="shared" si="3"/>
        <v>0.3233794610342316</v>
      </c>
      <c r="AA17" s="87">
        <f t="shared" si="3"/>
        <v>0.36251189343482398</v>
      </c>
      <c r="AB17" s="87">
        <f t="shared" si="3"/>
        <v>0.29318332230311051</v>
      </c>
      <c r="AC17" s="87">
        <f t="shared" si="3"/>
        <v>0.23966446974236069</v>
      </c>
      <c r="AD17" s="87">
        <f t="shared" si="3"/>
        <v>0.25650118203309691</v>
      </c>
      <c r="AE17" s="87">
        <f t="shared" si="3"/>
        <v>0.23548562126966899</v>
      </c>
      <c r="AF17" s="88">
        <f>AF14/AF16</f>
        <v>0.2541436464088398</v>
      </c>
      <c r="AG17" s="89"/>
    </row>
    <row r="18" spans="1:34" x14ac:dyDescent="0.2">
      <c r="A18" s="86" t="s">
        <v>24</v>
      </c>
      <c r="B18" s="87"/>
      <c r="C18" s="87"/>
      <c r="D18" s="87"/>
      <c r="E18" s="90"/>
      <c r="F18" s="87">
        <f>F15/SUM(F15:I15)</f>
        <v>0.24293059125964009</v>
      </c>
      <c r="G18" s="87">
        <f>G15/SUM(F15:I15)</f>
        <v>0.25706940874035988</v>
      </c>
      <c r="H18" s="87">
        <f>H15/SUM(F15:I15)</f>
        <v>0.25706940874035988</v>
      </c>
      <c r="I18" s="90">
        <f>I15/SUM(F15:I15)</f>
        <v>0.24293059125964009</v>
      </c>
      <c r="J18" s="87">
        <f>J15/SUM(J15:M15)</f>
        <v>0.22979552093476149</v>
      </c>
      <c r="K18" s="87">
        <f>K15/SUM(J15:M15)</f>
        <v>0.2444011684518014</v>
      </c>
      <c r="L18" s="87">
        <f>L15/SUM(J15:M15)</f>
        <v>0.25219084712755602</v>
      </c>
      <c r="M18" s="90">
        <f>M15/SUM(J15:M15)</f>
        <v>0.27361246348588125</v>
      </c>
      <c r="N18" s="87">
        <f>N15/SUM(N15:Q15)</f>
        <v>0.21455938697318008</v>
      </c>
      <c r="O18" s="87">
        <f>O15/SUM(N15:Q15)</f>
        <v>0.24444444444444444</v>
      </c>
      <c r="P18" s="87">
        <f>P15/SUM(N15:Q15)</f>
        <v>0.25670498084291188</v>
      </c>
      <c r="Q18" s="90">
        <f>Q15/SUM(N15:Q15)</f>
        <v>0.2842911877394636</v>
      </c>
      <c r="R18" s="87">
        <f>R15/SUM(R15:U15)</f>
        <v>0.23901264298615291</v>
      </c>
      <c r="S18" s="87">
        <f>S15/SUM(R15:U15)</f>
        <v>0.25045153521974711</v>
      </c>
      <c r="T18" s="87">
        <f>T15/SUM(R15:U15)</f>
        <v>0.24744130042143284</v>
      </c>
      <c r="U18" s="90">
        <f>U15/SUM(R15:U15)</f>
        <v>0.26309452137266703</v>
      </c>
      <c r="V18" s="87">
        <f>V15/SUM(V15:Y15)</f>
        <v>0.25096738529574353</v>
      </c>
      <c r="W18" s="87">
        <f>W15/SUM(V15:Y15)</f>
        <v>0.24654505251520181</v>
      </c>
      <c r="X18" s="87">
        <f>X15/SUM(V15:Y15)</f>
        <v>0.24709784411276953</v>
      </c>
      <c r="Y18" s="90">
        <f>Y15/SUM(V15:Y15)</f>
        <v>0.2553897180762853</v>
      </c>
      <c r="Z18" s="87">
        <f>Z15/SUM(Z15:AC15)</f>
        <v>0.26618705035971219</v>
      </c>
      <c r="AA18" s="87">
        <f>AA15/SUM(Z15:AC15)</f>
        <v>0.22841726618705036</v>
      </c>
      <c r="AB18" s="87">
        <f>AB15/SUM(Z15:AC15)</f>
        <v>0.26558752997601914</v>
      </c>
      <c r="AC18" s="90">
        <f>AC15/SUM(Z15:AC15)</f>
        <v>0.23980815347721821</v>
      </c>
      <c r="AD18" s="87">
        <f>AD15/SUM(AD15:AE15,AF14:AG14)</f>
        <v>0.23925027563395809</v>
      </c>
      <c r="AE18" s="87">
        <f>AE15/SUM(AD15:AE15,AF14:AG14)</f>
        <v>0.23925027563395809</v>
      </c>
      <c r="AF18" s="87">
        <f>AF14/SUM(AD15:AE15,AF14:AG14)</f>
        <v>0.25358324145534727</v>
      </c>
      <c r="AG18" s="90">
        <f>AG14/SUM(AD15:AE15,AF14:AG14)</f>
        <v>0.26791620727673648</v>
      </c>
      <c r="AH18" s="3"/>
    </row>
    <row r="19" spans="1:34" x14ac:dyDescent="0.2">
      <c r="A19" s="16" t="s">
        <v>17</v>
      </c>
      <c r="B19" s="12"/>
      <c r="C19" s="12"/>
      <c r="D19" s="12"/>
      <c r="E19" s="12"/>
      <c r="F19" s="11"/>
      <c r="G19" s="12"/>
      <c r="H19" s="12"/>
      <c r="I19" s="6"/>
      <c r="J19" s="9"/>
      <c r="K19" s="12"/>
      <c r="L19" s="12"/>
      <c r="M19" s="6"/>
      <c r="N19" s="83"/>
      <c r="O19" s="83">
        <v>27.2</v>
      </c>
      <c r="P19" s="83">
        <v>27.6</v>
      </c>
      <c r="Q19" s="83">
        <v>31.3</v>
      </c>
      <c r="R19" s="83">
        <v>34.299999999999997</v>
      </c>
      <c r="S19" s="63">
        <v>37.9</v>
      </c>
      <c r="T19" s="63">
        <v>37.299999999999997</v>
      </c>
      <c r="U19" s="63">
        <v>40.299999999999997</v>
      </c>
      <c r="V19" s="83">
        <v>43.9</v>
      </c>
      <c r="W19" s="63">
        <v>44.7</v>
      </c>
      <c r="X19" s="63">
        <v>47.2</v>
      </c>
      <c r="Y19" s="63">
        <v>46.6</v>
      </c>
      <c r="Z19" s="83">
        <v>44.8</v>
      </c>
      <c r="AA19" s="63">
        <v>34.1</v>
      </c>
      <c r="AB19" s="63">
        <v>36.299999999999997</v>
      </c>
      <c r="AC19" s="63">
        <v>25.8</v>
      </c>
      <c r="AD19" s="83">
        <v>40.1</v>
      </c>
      <c r="AE19" s="63">
        <v>44</v>
      </c>
      <c r="AF19" s="84"/>
      <c r="AG19" s="13"/>
    </row>
    <row r="20" spans="1:34" x14ac:dyDescent="0.2">
      <c r="F20" s="7"/>
      <c r="G20" s="7"/>
      <c r="H20" s="7"/>
      <c r="I20" s="7"/>
      <c r="J20" s="7"/>
      <c r="K20" s="7"/>
      <c r="L20" s="7"/>
      <c r="M20" s="121" t="s">
        <v>7</v>
      </c>
      <c r="N20" s="122"/>
      <c r="O20" s="7">
        <f t="shared" ref="O20:AD20" si="4">IF(O15&gt;O19,1,0)</f>
        <v>1</v>
      </c>
      <c r="P20" s="7">
        <f t="shared" si="4"/>
        <v>1</v>
      </c>
      <c r="Q20" s="7">
        <f t="shared" si="4"/>
        <v>1</v>
      </c>
      <c r="R20" s="7">
        <f t="shared" si="4"/>
        <v>1</v>
      </c>
      <c r="S20" s="7">
        <f t="shared" si="4"/>
        <v>1</v>
      </c>
      <c r="T20" s="7">
        <f t="shared" si="4"/>
        <v>1</v>
      </c>
      <c r="U20" s="7">
        <f t="shared" si="4"/>
        <v>1</v>
      </c>
      <c r="V20" s="7">
        <f t="shared" si="4"/>
        <v>1</v>
      </c>
      <c r="W20" s="7">
        <f t="shared" si="4"/>
        <v>0</v>
      </c>
      <c r="X20" s="7">
        <f t="shared" si="4"/>
        <v>0</v>
      </c>
      <c r="Y20" s="7">
        <f t="shared" si="4"/>
        <v>0</v>
      </c>
      <c r="Z20" s="7">
        <f t="shared" si="4"/>
        <v>0</v>
      </c>
      <c r="AA20" s="7">
        <f t="shared" si="4"/>
        <v>1</v>
      </c>
      <c r="AB20" s="7">
        <f t="shared" si="4"/>
        <v>1</v>
      </c>
      <c r="AC20" s="7">
        <f t="shared" si="4"/>
        <v>1</v>
      </c>
      <c r="AD20" s="7">
        <f t="shared" si="4"/>
        <v>1</v>
      </c>
      <c r="AE20" s="8">
        <f>IF(AE15&gt;AE19,1,0)</f>
        <v>0</v>
      </c>
      <c r="AF20" s="45" t="s">
        <v>8</v>
      </c>
      <c r="AG20" s="42">
        <f>AVERAGE(O20:AE20)</f>
        <v>0.70588235294117652</v>
      </c>
    </row>
    <row r="21" spans="1:34" x14ac:dyDescent="0.2">
      <c r="H21" s="6"/>
      <c r="I21" s="6"/>
      <c r="J21" s="6"/>
      <c r="K21" s="6"/>
      <c r="L21" s="6"/>
      <c r="M21" s="116" t="s">
        <v>9</v>
      </c>
      <c r="N21" s="117"/>
      <c r="O21" s="6"/>
      <c r="P21" s="6"/>
      <c r="Q21" s="6"/>
      <c r="R21" s="6">
        <f t="shared" ref="R21:AE21" si="5">AVERAGE(O20:R20)</f>
        <v>1</v>
      </c>
      <c r="S21" s="6">
        <f t="shared" si="5"/>
        <v>1</v>
      </c>
      <c r="T21" s="6">
        <f t="shared" si="5"/>
        <v>1</v>
      </c>
      <c r="U21" s="6">
        <f t="shared" si="5"/>
        <v>1</v>
      </c>
      <c r="V21" s="6">
        <f t="shared" si="5"/>
        <v>1</v>
      </c>
      <c r="W21" s="6">
        <f t="shared" si="5"/>
        <v>0.75</v>
      </c>
      <c r="X21" s="6">
        <f t="shared" si="5"/>
        <v>0.5</v>
      </c>
      <c r="Y21" s="6">
        <f t="shared" si="5"/>
        <v>0.25</v>
      </c>
      <c r="Z21" s="6">
        <f t="shared" si="5"/>
        <v>0</v>
      </c>
      <c r="AA21" s="6">
        <f t="shared" si="5"/>
        <v>0.25</v>
      </c>
      <c r="AB21" s="6">
        <f t="shared" si="5"/>
        <v>0.5</v>
      </c>
      <c r="AC21" s="6">
        <f t="shared" si="5"/>
        <v>0.75</v>
      </c>
      <c r="AD21" s="6">
        <f>AVERAGE(AA20:AD20)</f>
        <v>1</v>
      </c>
      <c r="AE21" s="10">
        <f t="shared" si="5"/>
        <v>0.75</v>
      </c>
      <c r="AF21" s="41" t="s">
        <v>10</v>
      </c>
      <c r="AG21" s="42">
        <f>AVERAGE(R21:AE21)</f>
        <v>0.6964285714285714</v>
      </c>
    </row>
    <row r="22" spans="1:34" x14ac:dyDescent="0.2">
      <c r="F22" s="18"/>
      <c r="G22" s="18"/>
      <c r="H22" s="18"/>
      <c r="I22" s="18"/>
      <c r="J22" s="18"/>
      <c r="K22" s="18"/>
      <c r="L22" s="18"/>
      <c r="M22" s="123" t="s">
        <v>11</v>
      </c>
      <c r="N22" s="124"/>
      <c r="O22" s="18">
        <f t="shared" ref="O22:AE22" si="6">O15/O19-1</f>
        <v>0.17279411764705888</v>
      </c>
      <c r="P22" s="18">
        <f t="shared" si="6"/>
        <v>0.21376811594202882</v>
      </c>
      <c r="Q22" s="18">
        <f t="shared" si="6"/>
        <v>0.18530351437699677</v>
      </c>
      <c r="R22" s="18">
        <f t="shared" si="6"/>
        <v>0.15743440233236172</v>
      </c>
      <c r="S22" s="18">
        <f t="shared" si="6"/>
        <v>9.7625329815303585E-2</v>
      </c>
      <c r="T22" s="18">
        <f t="shared" si="6"/>
        <v>0.10187667560321723</v>
      </c>
      <c r="U22" s="18">
        <f t="shared" si="6"/>
        <v>8.4367245657568368E-2</v>
      </c>
      <c r="V22" s="18">
        <f t="shared" si="6"/>
        <v>3.4168564920273425E-2</v>
      </c>
      <c r="W22" s="18">
        <f t="shared" si="6"/>
        <v>-2.2371364653244186E-3</v>
      </c>
      <c r="X22" s="18">
        <f t="shared" si="6"/>
        <v>-5.2966101694915224E-2</v>
      </c>
      <c r="Y22" s="18">
        <f t="shared" si="6"/>
        <v>-8.5836909871244149E-3</v>
      </c>
      <c r="Z22" s="18">
        <f t="shared" si="6"/>
        <v>-8.9285714285713969E-3</v>
      </c>
      <c r="AA22" s="18">
        <f t="shared" si="6"/>
        <v>0.11730205278592365</v>
      </c>
      <c r="AB22" s="18">
        <f t="shared" si="6"/>
        <v>0.22038567493112948</v>
      </c>
      <c r="AC22" s="18">
        <f t="shared" si="6"/>
        <v>0.55038759689922467</v>
      </c>
      <c r="AD22" s="18">
        <f t="shared" si="6"/>
        <v>8.229426433915199E-2</v>
      </c>
      <c r="AE22" s="40">
        <f t="shared" si="6"/>
        <v>-1.3636363636363669E-2</v>
      </c>
      <c r="AF22" s="41" t="s">
        <v>13</v>
      </c>
      <c r="AG22" s="43">
        <f>MEDIAN(O22:AE22)</f>
        <v>9.7625329815303585E-2</v>
      </c>
    </row>
    <row r="23" spans="1:34" x14ac:dyDescent="0.2">
      <c r="H23" s="32"/>
      <c r="I23" s="32"/>
      <c r="J23" s="32"/>
      <c r="K23" s="32"/>
      <c r="L23" s="32"/>
      <c r="M23" s="116" t="s">
        <v>12</v>
      </c>
      <c r="N23" s="117"/>
      <c r="O23" s="32"/>
      <c r="P23" s="32"/>
      <c r="Q23" s="32"/>
      <c r="R23" s="32">
        <f t="shared" ref="R23:AE23" si="7">AVERAGE(O22:R22)</f>
        <v>0.18232503757461155</v>
      </c>
      <c r="S23" s="32">
        <f t="shared" si="7"/>
        <v>0.16353284061667273</v>
      </c>
      <c r="T23" s="32">
        <f t="shared" si="7"/>
        <v>0.13555998053196983</v>
      </c>
      <c r="U23" s="32">
        <f t="shared" si="7"/>
        <v>0.11032591335211273</v>
      </c>
      <c r="V23" s="32">
        <f t="shared" si="7"/>
        <v>7.9509453999090651E-2</v>
      </c>
      <c r="W23" s="32">
        <f t="shared" si="7"/>
        <v>5.454383742893365E-2</v>
      </c>
      <c r="X23" s="32">
        <f t="shared" si="7"/>
        <v>1.5833143104400538E-2</v>
      </c>
      <c r="Y23" s="32">
        <f t="shared" si="7"/>
        <v>-7.4045910567726581E-3</v>
      </c>
      <c r="Z23" s="32">
        <f t="shared" si="7"/>
        <v>-1.8178875143983864E-2</v>
      </c>
      <c r="AA23" s="32">
        <f t="shared" si="7"/>
        <v>1.1705922168828153E-2</v>
      </c>
      <c r="AB23" s="32">
        <f t="shared" si="7"/>
        <v>8.004386632533933E-2</v>
      </c>
      <c r="AC23" s="32">
        <f t="shared" si="7"/>
        <v>0.2197866882969266</v>
      </c>
      <c r="AD23" s="32">
        <f t="shared" si="7"/>
        <v>0.24259239723885745</v>
      </c>
      <c r="AE23" s="33">
        <f t="shared" si="7"/>
        <v>0.20985779313328562</v>
      </c>
      <c r="AF23" s="19" t="s">
        <v>14</v>
      </c>
      <c r="AG23" s="33">
        <f>MEDIAN(R23:AE23)</f>
        <v>9.5184889838726028E-2</v>
      </c>
    </row>
    <row r="24" spans="1:34" x14ac:dyDescent="0.2">
      <c r="M24" s="121" t="s">
        <v>25</v>
      </c>
      <c r="N24" s="122"/>
      <c r="O24" s="101">
        <f>AVERAGE(AA22:AD22,O22:V22)</f>
        <v>0.1681422962708532</v>
      </c>
      <c r="P24" s="123" t="s">
        <v>29</v>
      </c>
      <c r="Q24" s="150"/>
      <c r="R24" s="46">
        <f>MEDIAN(AA22:AD22,O22:V22)</f>
        <v>0.13736822755914269</v>
      </c>
      <c r="AB24" s="3"/>
      <c r="AC24" s="161" t="s">
        <v>23</v>
      </c>
      <c r="AD24" s="162"/>
      <c r="AE24" s="162"/>
      <c r="AF24" s="163"/>
      <c r="AG24" s="44">
        <f>AVERAGE(AD17:AF17)</f>
        <v>0.24871014990386855</v>
      </c>
    </row>
    <row r="25" spans="1:34" x14ac:dyDescent="0.2">
      <c r="M25" s="151" t="s">
        <v>26</v>
      </c>
      <c r="N25" s="154"/>
      <c r="O25" s="100">
        <f>AVERAGE(W22:Z22,AE22)</f>
        <v>-1.7270372842459823E-2</v>
      </c>
      <c r="P25" s="151" t="s">
        <v>30</v>
      </c>
      <c r="Q25" s="152"/>
      <c r="R25" s="33">
        <f>MEDIAN(W22:Z22,AE22)</f>
        <v>-8.9285714285713969E-3</v>
      </c>
      <c r="AC25" s="146" t="s">
        <v>27</v>
      </c>
      <c r="AD25" s="147"/>
      <c r="AE25" s="147"/>
      <c r="AF25" s="147"/>
      <c r="AG25" s="46">
        <f>AVERAGE(AF18,AH22,T18,P18,L18,H18)</f>
        <v>0.25339795571752155</v>
      </c>
    </row>
    <row r="26" spans="1:34" x14ac:dyDescent="0.2">
      <c r="AC26" s="148" t="s">
        <v>28</v>
      </c>
      <c r="AD26" s="149"/>
      <c r="AE26" s="149"/>
      <c r="AF26" s="149"/>
      <c r="AG26" s="47">
        <f>_xlfn.STDEV.S(AF18,L18,H18,T18,X18)</f>
        <v>4.2333421362424238E-3</v>
      </c>
    </row>
    <row r="29" spans="1:34" ht="18" customHeight="1" x14ac:dyDescent="0.2"/>
  </sheetData>
  <mergeCells count="27">
    <mergeCell ref="AC25:AF25"/>
    <mergeCell ref="AC26:AF26"/>
    <mergeCell ref="P24:Q24"/>
    <mergeCell ref="P25:Q25"/>
    <mergeCell ref="F10:G10"/>
    <mergeCell ref="AC10:AE10"/>
    <mergeCell ref="M25:N25"/>
    <mergeCell ref="V11:Y11"/>
    <mergeCell ref="Z11:AC11"/>
    <mergeCell ref="AD11:AG11"/>
    <mergeCell ref="M20:N20"/>
    <mergeCell ref="AC24:AF24"/>
    <mergeCell ref="A1:C3"/>
    <mergeCell ref="G1:H1"/>
    <mergeCell ref="L1:M1"/>
    <mergeCell ref="L2:M2"/>
    <mergeCell ref="L3:M3"/>
    <mergeCell ref="L4:M4"/>
    <mergeCell ref="B11:E11"/>
    <mergeCell ref="M21:N21"/>
    <mergeCell ref="R11:U11"/>
    <mergeCell ref="M24:N24"/>
    <mergeCell ref="M23:N23"/>
    <mergeCell ref="M22:N22"/>
    <mergeCell ref="F11:I11"/>
    <mergeCell ref="J11:M11"/>
    <mergeCell ref="N11:Q11"/>
  </mergeCells>
  <conditionalFormatting sqref="O20:AE20 F20:L20 AG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L21 O21:AE21 AG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E22 F22:L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H23:L23 O23:AE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G22:AG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G20:AG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G20:AG21 AG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O22:AE22 F22:L22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H23:L23 O23:AE23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 AG24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zoomScale="85" zoomScaleNormal="85" workbookViewId="0">
      <selection activeCell="G12" sqref="G12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66" t="s">
        <v>75</v>
      </c>
      <c r="B4" s="166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173</v>
      </c>
      <c r="B6" t="s">
        <v>174</v>
      </c>
      <c r="C6" s="107" t="s">
        <v>169</v>
      </c>
      <c r="D6">
        <v>20170803</v>
      </c>
      <c r="E6" s="108">
        <v>34.846412999999998</v>
      </c>
      <c r="F6" s="108">
        <v>34.532328</v>
      </c>
      <c r="G6" s="109">
        <v>32.874215999999997</v>
      </c>
      <c r="H6">
        <v>34.555880999999999</v>
      </c>
      <c r="I6">
        <v>46.325854</v>
      </c>
      <c r="J6" s="108">
        <f>AVERAGE(E6:I6)</f>
        <v>36.626938399999993</v>
      </c>
      <c r="R6">
        <v>27.2</v>
      </c>
      <c r="S6" s="6">
        <v>31.9</v>
      </c>
    </row>
    <row r="7" spans="1:21" x14ac:dyDescent="0.2">
      <c r="A7" t="s">
        <v>173</v>
      </c>
      <c r="B7" t="s">
        <v>174</v>
      </c>
      <c r="C7" s="107" t="s">
        <v>170</v>
      </c>
      <c r="D7">
        <v>20171102</v>
      </c>
      <c r="E7" s="108">
        <v>35.876756</v>
      </c>
      <c r="F7" s="108">
        <v>35.437888999999998</v>
      </c>
      <c r="G7" s="109">
        <v>32.709141000000002</v>
      </c>
      <c r="H7">
        <v>34.597318999999999</v>
      </c>
      <c r="I7">
        <v>43.070416999999999</v>
      </c>
      <c r="J7" s="108">
        <v>34.65527625</v>
      </c>
      <c r="K7" s="110">
        <v>34.379338738595564</v>
      </c>
      <c r="L7" s="110">
        <v>34.267657526246126</v>
      </c>
      <c r="M7" s="110">
        <v>33.224324992936715</v>
      </c>
      <c r="N7" s="110">
        <v>33.43204232147923</v>
      </c>
      <c r="O7" s="110">
        <v>31.045458211390983</v>
      </c>
      <c r="P7" s="110">
        <v>33.834334139728604</v>
      </c>
      <c r="Q7" s="110">
        <v>33.363859321729535</v>
      </c>
      <c r="R7">
        <v>27.6</v>
      </c>
      <c r="S7" s="6">
        <v>33.5</v>
      </c>
      <c r="T7" s="92"/>
      <c r="U7" s="91"/>
    </row>
    <row r="8" spans="1:21" x14ac:dyDescent="0.2">
      <c r="A8" t="s">
        <v>173</v>
      </c>
      <c r="B8" t="s">
        <v>174</v>
      </c>
      <c r="C8" s="107" t="s">
        <v>167</v>
      </c>
      <c r="D8">
        <v>20180222</v>
      </c>
      <c r="E8" s="108">
        <v>39.887780999999997</v>
      </c>
      <c r="F8" s="108">
        <v>40.292437999999997</v>
      </c>
      <c r="G8" s="109">
        <v>37.935437</v>
      </c>
      <c r="H8">
        <v>39.543788999999997</v>
      </c>
      <c r="I8">
        <v>48.159086000000002</v>
      </c>
      <c r="J8" s="108">
        <v>39.414861250000001</v>
      </c>
      <c r="K8" s="110">
        <v>38.953028392979562</v>
      </c>
      <c r="L8" s="110">
        <v>39.835495217223574</v>
      </c>
      <c r="M8" s="110">
        <v>40.63408362610317</v>
      </c>
      <c r="N8" s="110">
        <v>40.045189380252268</v>
      </c>
      <c r="O8" s="110">
        <v>39.175421428959005</v>
      </c>
      <c r="P8" s="110">
        <v>39.847873922372791</v>
      </c>
      <c r="Q8" s="110">
        <v>39.748515327981728</v>
      </c>
      <c r="R8">
        <v>31.3</v>
      </c>
      <c r="S8" s="6">
        <v>37.1</v>
      </c>
      <c r="T8" s="92"/>
      <c r="U8" s="91"/>
    </row>
    <row r="9" spans="1:21" x14ac:dyDescent="0.2">
      <c r="A9" t="s">
        <v>173</v>
      </c>
      <c r="B9" t="s">
        <v>174</v>
      </c>
      <c r="C9" s="107" t="s">
        <v>42</v>
      </c>
      <c r="D9">
        <v>20180503</v>
      </c>
      <c r="E9" s="108">
        <v>44.727293000000003</v>
      </c>
      <c r="F9" s="108">
        <v>44.429130999999998</v>
      </c>
      <c r="G9" s="109">
        <v>42.251004000000002</v>
      </c>
      <c r="H9">
        <v>44.892150999999998</v>
      </c>
      <c r="I9">
        <v>54.786473999999998</v>
      </c>
      <c r="J9" s="108">
        <v>44.074894749999999</v>
      </c>
      <c r="K9" s="110">
        <v>42.684478621109569</v>
      </c>
      <c r="L9" s="110">
        <v>41.974111882879868</v>
      </c>
      <c r="M9" s="110">
        <v>42.396419955937247</v>
      </c>
      <c r="N9" s="110">
        <v>43.214488625912914</v>
      </c>
      <c r="O9" s="110">
        <v>43.304433129897859</v>
      </c>
      <c r="P9" s="110">
        <v>42.566557139751446</v>
      </c>
      <c r="Q9" s="110">
        <v>42.690081559248149</v>
      </c>
      <c r="R9">
        <v>34.299999999999997</v>
      </c>
      <c r="S9" s="9">
        <v>39.700000000000003</v>
      </c>
      <c r="T9" s="9"/>
      <c r="U9" s="62"/>
    </row>
    <row r="10" spans="1:21" x14ac:dyDescent="0.2">
      <c r="A10" t="s">
        <v>173</v>
      </c>
      <c r="B10" t="s">
        <v>174</v>
      </c>
      <c r="C10" s="107" t="s">
        <v>43</v>
      </c>
      <c r="D10">
        <v>20180802</v>
      </c>
      <c r="E10" s="108">
        <v>40.332185000000003</v>
      </c>
      <c r="F10" s="108">
        <v>40.269621000000001</v>
      </c>
      <c r="G10" s="109">
        <v>37.443665000000003</v>
      </c>
      <c r="H10">
        <v>40.619171999999999</v>
      </c>
      <c r="I10">
        <v>49.207262999999998</v>
      </c>
      <c r="J10" s="108">
        <v>39.666160750000003</v>
      </c>
      <c r="K10" s="110">
        <v>36.190249939561511</v>
      </c>
      <c r="L10" s="110">
        <v>36.376605457666955</v>
      </c>
      <c r="M10" s="110">
        <v>35.567534705447471</v>
      </c>
      <c r="N10" s="110">
        <v>36.313917082030663</v>
      </c>
      <c r="O10" s="110">
        <v>36.046931825581616</v>
      </c>
      <c r="P10" s="110">
        <v>36.119466752453228</v>
      </c>
      <c r="Q10" s="110">
        <v>36.102450960456913</v>
      </c>
      <c r="R10">
        <v>37.9</v>
      </c>
      <c r="S10" s="6">
        <v>41.6</v>
      </c>
      <c r="T10" s="9"/>
      <c r="U10" s="62"/>
    </row>
    <row r="11" spans="1:21" x14ac:dyDescent="0.2">
      <c r="A11" t="s">
        <v>173</v>
      </c>
      <c r="B11" t="s">
        <v>174</v>
      </c>
      <c r="C11" s="107" t="s">
        <v>44</v>
      </c>
      <c r="D11" s="179">
        <v>20181101</v>
      </c>
      <c r="E11" s="108">
        <v>44.443029000000003</v>
      </c>
      <c r="F11" s="108">
        <v>43.933303000000002</v>
      </c>
      <c r="G11" s="109">
        <v>41.046140000000001</v>
      </c>
      <c r="H11">
        <v>41.657671999999998</v>
      </c>
      <c r="I11">
        <v>46.114291999999999</v>
      </c>
      <c r="J11" s="108">
        <v>44.2695875</v>
      </c>
      <c r="K11" s="110">
        <v>47.826186429324359</v>
      </c>
      <c r="L11" s="110">
        <v>47.189730588425455</v>
      </c>
      <c r="M11" s="110">
        <v>47.1992089748693</v>
      </c>
      <c r="N11" s="110">
        <v>46.502609095035218</v>
      </c>
      <c r="O11" s="110">
        <v>45.561148983392961</v>
      </c>
      <c r="P11" s="110">
        <v>47.177845483823376</v>
      </c>
      <c r="Q11" s="110">
        <v>46.909454925811779</v>
      </c>
      <c r="R11">
        <v>37.299999999999997</v>
      </c>
      <c r="S11" s="6">
        <v>41.1</v>
      </c>
      <c r="T11" s="9"/>
      <c r="U11" s="62"/>
    </row>
    <row r="12" spans="1:21" x14ac:dyDescent="0.2">
      <c r="A12" t="s">
        <v>173</v>
      </c>
      <c r="B12" t="s">
        <v>174</v>
      </c>
      <c r="C12" s="107" t="s">
        <v>45</v>
      </c>
      <c r="D12">
        <v>20190221</v>
      </c>
      <c r="E12" s="108">
        <v>45.799771999999997</v>
      </c>
      <c r="F12" s="108">
        <v>46.436903000000001</v>
      </c>
      <c r="G12" s="109">
        <v>44.765534000000002</v>
      </c>
      <c r="H12">
        <v>45.812505000000002</v>
      </c>
      <c r="I12">
        <v>53.598506999999998</v>
      </c>
      <c r="J12" s="108">
        <v>45.703678499999995</v>
      </c>
      <c r="K12" s="110">
        <v>42.735015573804553</v>
      </c>
      <c r="L12" s="110">
        <v>43.982130336640658</v>
      </c>
      <c r="M12" s="110">
        <v>45.58991177548554</v>
      </c>
      <c r="N12" s="110">
        <v>43.652960893368409</v>
      </c>
      <c r="O12" s="110">
        <v>43.029556393643951</v>
      </c>
      <c r="P12" s="110">
        <v>43.957292874549601</v>
      </c>
      <c r="Q12" s="110">
        <v>43.824477974582116</v>
      </c>
      <c r="R12">
        <v>40.299999999999997</v>
      </c>
      <c r="S12" s="6">
        <v>43.7</v>
      </c>
      <c r="T12" s="9"/>
      <c r="U12" s="62"/>
    </row>
    <row r="13" spans="1:21" x14ac:dyDescent="0.2">
      <c r="A13" t="s">
        <v>173</v>
      </c>
      <c r="B13" t="s">
        <v>174</v>
      </c>
      <c r="C13" s="107" t="s">
        <v>46</v>
      </c>
      <c r="D13">
        <v>20190502</v>
      </c>
      <c r="E13" s="108">
        <v>47.597687000000001</v>
      </c>
      <c r="F13" s="108">
        <v>47.169670000000004</v>
      </c>
      <c r="G13" s="109">
        <v>43.990313</v>
      </c>
      <c r="H13">
        <v>45.397022999999997</v>
      </c>
      <c r="I13">
        <v>53.307352000000002</v>
      </c>
      <c r="J13" s="108">
        <v>46.038673250000002</v>
      </c>
      <c r="K13" s="110">
        <v>43.881544560702181</v>
      </c>
      <c r="L13" s="110">
        <v>42.890288055600955</v>
      </c>
      <c r="M13" s="110">
        <v>41.492791666731819</v>
      </c>
      <c r="N13" s="110">
        <v>41.841062809204601</v>
      </c>
      <c r="O13" s="110">
        <v>41.994633000654289</v>
      </c>
      <c r="P13" s="110">
        <v>42.533489712605956</v>
      </c>
      <c r="Q13" s="110">
        <v>42.438968300916635</v>
      </c>
      <c r="R13">
        <v>43.9</v>
      </c>
      <c r="S13" s="9">
        <v>45.4</v>
      </c>
      <c r="T13" s="9"/>
      <c r="U13" s="62"/>
    </row>
    <row r="14" spans="1:21" x14ac:dyDescent="0.2">
      <c r="A14" t="s">
        <v>173</v>
      </c>
      <c r="B14" t="s">
        <v>174</v>
      </c>
      <c r="C14" s="107" t="s">
        <v>47</v>
      </c>
      <c r="D14">
        <v>20190801</v>
      </c>
      <c r="E14" s="108">
        <v>49.036720000000003</v>
      </c>
      <c r="F14" s="108">
        <v>49.359167999999997</v>
      </c>
      <c r="G14" s="109">
        <v>47.752837</v>
      </c>
      <c r="H14">
        <v>48.771586999999997</v>
      </c>
      <c r="I14">
        <v>57.674019999999999</v>
      </c>
      <c r="J14" s="108">
        <v>48.730078000000006</v>
      </c>
      <c r="K14" s="110">
        <v>45.350867877256299</v>
      </c>
      <c r="L14" s="110">
        <v>46.063298203273405</v>
      </c>
      <c r="M14" s="110">
        <v>47.785063151062367</v>
      </c>
      <c r="N14" s="110">
        <v>47.292203714327258</v>
      </c>
      <c r="O14" s="110">
        <v>47.625895212352695</v>
      </c>
      <c r="P14" s="110">
        <v>46.593393817229511</v>
      </c>
      <c r="Q14" s="110">
        <v>46.785120329250255</v>
      </c>
      <c r="R14">
        <v>44.7</v>
      </c>
      <c r="S14" s="6">
        <v>44.6</v>
      </c>
      <c r="T14" s="9"/>
      <c r="U14" s="62"/>
    </row>
    <row r="15" spans="1:21" x14ac:dyDescent="0.2">
      <c r="A15" t="s">
        <v>173</v>
      </c>
      <c r="B15" t="s">
        <v>174</v>
      </c>
      <c r="C15" s="107" t="s">
        <v>48</v>
      </c>
      <c r="D15">
        <v>20191031</v>
      </c>
      <c r="E15" s="108">
        <v>46.646970000000003</v>
      </c>
      <c r="F15" s="108">
        <v>47.387836</v>
      </c>
      <c r="G15" s="109">
        <v>45.818938000000003</v>
      </c>
      <c r="H15">
        <v>45.262005000000002</v>
      </c>
      <c r="I15">
        <v>55.662466999999999</v>
      </c>
      <c r="J15" s="108">
        <v>46.278937249999998</v>
      </c>
      <c r="K15" s="110">
        <v>42.42646861372458</v>
      </c>
      <c r="L15" s="110">
        <v>42.818742114940036</v>
      </c>
      <c r="M15" s="110">
        <v>42.793784897010426</v>
      </c>
      <c r="N15" s="110">
        <v>41.390603570066332</v>
      </c>
      <c r="O15" s="110">
        <v>43.044442336428091</v>
      </c>
      <c r="P15" s="110">
        <v>42.356603684278937</v>
      </c>
      <c r="Q15" s="110">
        <v>42.471774202741408</v>
      </c>
      <c r="R15">
        <v>47.2</v>
      </c>
      <c r="S15" s="6">
        <v>44.7</v>
      </c>
      <c r="T15" s="9"/>
      <c r="U15" s="62"/>
    </row>
    <row r="16" spans="1:21" x14ac:dyDescent="0.2">
      <c r="A16" t="s">
        <v>173</v>
      </c>
      <c r="B16" t="s">
        <v>174</v>
      </c>
      <c r="C16" s="107" t="s">
        <v>49</v>
      </c>
      <c r="D16">
        <v>20200220</v>
      </c>
      <c r="E16" s="108">
        <v>49.200597000000002</v>
      </c>
      <c r="F16" s="108">
        <v>48.855015999999999</v>
      </c>
      <c r="G16" s="109">
        <v>46.722228999999999</v>
      </c>
      <c r="H16">
        <v>47.040734999999998</v>
      </c>
      <c r="I16">
        <v>54.061672000000002</v>
      </c>
      <c r="J16" s="108">
        <v>47.954644250000001</v>
      </c>
      <c r="K16" s="110">
        <v>47.737699152163579</v>
      </c>
      <c r="L16" s="110">
        <v>46.661299835679344</v>
      </c>
      <c r="M16" s="110">
        <v>46.152271895520578</v>
      </c>
      <c r="N16" s="110">
        <v>47.038651206458923</v>
      </c>
      <c r="O16" s="110">
        <v>43.958369195529912</v>
      </c>
      <c r="P16" s="110">
        <v>46.898812456092003</v>
      </c>
      <c r="Q16" s="110">
        <v>46.407850623574063</v>
      </c>
      <c r="R16">
        <v>46.6</v>
      </c>
      <c r="S16" s="6">
        <v>46.2</v>
      </c>
      <c r="T16" s="9"/>
      <c r="U16" s="62"/>
    </row>
    <row r="17" spans="1:21" x14ac:dyDescent="0.2">
      <c r="A17" t="s">
        <v>173</v>
      </c>
      <c r="B17" t="s">
        <v>174</v>
      </c>
      <c r="C17" s="107" t="s">
        <v>50</v>
      </c>
      <c r="D17">
        <v>20200430</v>
      </c>
      <c r="E17" s="108">
        <v>47.700831999999998</v>
      </c>
      <c r="F17" s="108">
        <v>48.380704000000001</v>
      </c>
      <c r="G17" s="109">
        <v>45.996594000000002</v>
      </c>
      <c r="H17">
        <v>46.151845999999999</v>
      </c>
      <c r="I17">
        <v>54.176420999999998</v>
      </c>
      <c r="J17" s="108">
        <v>47.057493999999998</v>
      </c>
      <c r="K17" s="110">
        <v>46.78890689720695</v>
      </c>
      <c r="L17" s="110">
        <v>47.791464750313452</v>
      </c>
      <c r="M17" s="110">
        <v>47.510482139882491</v>
      </c>
      <c r="N17" s="110">
        <v>47.348071580089034</v>
      </c>
      <c r="O17" s="110">
        <v>48.362434618374351</v>
      </c>
      <c r="P17" s="110">
        <v>47.357137060609084</v>
      </c>
      <c r="Q17" s="110">
        <v>47.52641617441256</v>
      </c>
      <c r="R17">
        <v>44.8</v>
      </c>
      <c r="S17" s="9">
        <v>44.4</v>
      </c>
      <c r="T17" s="9"/>
      <c r="U17" s="62"/>
    </row>
    <row r="18" spans="1:21" x14ac:dyDescent="0.2">
      <c r="A18" t="s">
        <v>173</v>
      </c>
      <c r="B18" t="s">
        <v>174</v>
      </c>
      <c r="C18" s="107" t="s">
        <v>51</v>
      </c>
      <c r="D18">
        <v>20200730</v>
      </c>
      <c r="E18" s="108">
        <v>41.305584000000003</v>
      </c>
      <c r="F18" s="108">
        <v>41.092765999999997</v>
      </c>
      <c r="G18" s="109">
        <v>38.449043000000003</v>
      </c>
      <c r="H18">
        <v>41.739018999999999</v>
      </c>
      <c r="I18">
        <v>48.753194000000001</v>
      </c>
      <c r="J18" s="108">
        <v>40.646602999999999</v>
      </c>
      <c r="K18" s="110">
        <v>39.082021099170774</v>
      </c>
      <c r="L18" s="110">
        <v>38.334287319961284</v>
      </c>
      <c r="M18" s="110">
        <v>37.727155574149691</v>
      </c>
      <c r="N18" s="110">
        <v>40.817590363059367</v>
      </c>
      <c r="O18" s="110">
        <v>40.615047361692653</v>
      </c>
      <c r="P18" s="110">
        <v>38.984292984216289</v>
      </c>
      <c r="Q18" s="110">
        <v>39.260065783708349</v>
      </c>
      <c r="R18">
        <v>34.1</v>
      </c>
      <c r="S18" s="6">
        <v>38.1</v>
      </c>
      <c r="T18" s="9"/>
      <c r="U18" s="62"/>
    </row>
    <row r="19" spans="1:21" x14ac:dyDescent="0.2">
      <c r="A19" t="s">
        <v>173</v>
      </c>
      <c r="B19" t="s">
        <v>174</v>
      </c>
      <c r="C19" s="107" t="s">
        <v>52</v>
      </c>
      <c r="D19">
        <v>20201022</v>
      </c>
      <c r="E19" s="108">
        <v>42.929931000000003</v>
      </c>
      <c r="F19" s="108">
        <v>43.241463000000003</v>
      </c>
      <c r="G19" s="109">
        <v>42.535156999999998</v>
      </c>
      <c r="H19">
        <v>42.601568999999998</v>
      </c>
      <c r="I19">
        <v>53.542211999999999</v>
      </c>
      <c r="J19" s="108">
        <v>42.827029999999993</v>
      </c>
      <c r="K19" s="110">
        <v>40.116910262520435</v>
      </c>
      <c r="L19" s="110">
        <v>40.61730062992109</v>
      </c>
      <c r="M19" s="110">
        <v>42.701050453791517</v>
      </c>
      <c r="N19" s="110">
        <v>39.396660516410307</v>
      </c>
      <c r="O19" s="110">
        <v>42.390573240965502</v>
      </c>
      <c r="P19" s="110">
        <v>40.669586360513314</v>
      </c>
      <c r="Q19" s="110">
        <v>40.98201357735369</v>
      </c>
      <c r="R19">
        <v>36.299999999999997</v>
      </c>
      <c r="S19" s="6">
        <v>44.3</v>
      </c>
      <c r="T19" s="9"/>
      <c r="U19" s="62"/>
    </row>
    <row r="20" spans="1:21" x14ac:dyDescent="0.2">
      <c r="A20" t="s">
        <v>173</v>
      </c>
      <c r="B20" t="s">
        <v>174</v>
      </c>
      <c r="C20" s="107" t="s">
        <v>53</v>
      </c>
      <c r="D20">
        <v>20210218</v>
      </c>
      <c r="E20" s="108">
        <v>41.793162000000002</v>
      </c>
      <c r="F20" s="108">
        <v>41.530358</v>
      </c>
      <c r="G20" s="109">
        <v>43.599046000000001</v>
      </c>
      <c r="H20">
        <v>43.357396000000001</v>
      </c>
      <c r="I20">
        <v>47.651097</v>
      </c>
      <c r="J20" s="108">
        <v>42.569990500000003</v>
      </c>
      <c r="K20" s="110">
        <v>43.51636021497449</v>
      </c>
      <c r="L20" s="110">
        <v>42.93117933128211</v>
      </c>
      <c r="M20" s="110">
        <v>45.818036035461212</v>
      </c>
      <c r="N20" s="110">
        <v>45.493056868398448</v>
      </c>
      <c r="O20" s="110">
        <v>39.781771360137306</v>
      </c>
      <c r="P20" s="110">
        <v>44.431719298536471</v>
      </c>
      <c r="Q20" s="110">
        <v>43.662020518131669</v>
      </c>
      <c r="R20">
        <v>25.8</v>
      </c>
      <c r="S20" s="6">
        <v>40</v>
      </c>
    </row>
    <row r="21" spans="1:21" x14ac:dyDescent="0.2">
      <c r="A21" t="s">
        <v>173</v>
      </c>
      <c r="B21" t="s">
        <v>174</v>
      </c>
      <c r="C21" s="107" t="s">
        <v>54</v>
      </c>
      <c r="D21">
        <v>20210429</v>
      </c>
      <c r="E21" s="108">
        <v>45.287928999999998</v>
      </c>
      <c r="F21" s="108">
        <v>43.647165000000001</v>
      </c>
      <c r="G21" s="109">
        <v>43.887762000000002</v>
      </c>
      <c r="H21">
        <v>43.279729000000003</v>
      </c>
      <c r="I21">
        <v>47.860185999999999</v>
      </c>
      <c r="J21" s="108">
        <v>44.025646250000001</v>
      </c>
      <c r="K21" s="110">
        <v>48.099748768757912</v>
      </c>
      <c r="L21" s="110">
        <v>46.650461332888106</v>
      </c>
      <c r="M21" s="110">
        <v>44.681940509799233</v>
      </c>
      <c r="N21" s="110">
        <v>44.308486857743951</v>
      </c>
      <c r="O21" s="110">
        <v>44.582770805213578</v>
      </c>
      <c r="P21" s="110">
        <v>45.905821513984129</v>
      </c>
      <c r="Q21" s="110">
        <v>45.704871631397822</v>
      </c>
      <c r="R21">
        <v>40.1</v>
      </c>
      <c r="S21" s="9">
        <v>43.4</v>
      </c>
    </row>
    <row r="22" spans="1:21" x14ac:dyDescent="0.2">
      <c r="A22" t="s">
        <v>173</v>
      </c>
      <c r="B22" t="s">
        <v>174</v>
      </c>
      <c r="C22" s="107" t="s">
        <v>55</v>
      </c>
      <c r="D22" s="179">
        <v>20210805</v>
      </c>
      <c r="E22" s="108">
        <v>42.903694999999999</v>
      </c>
      <c r="F22" s="108">
        <v>46.774729999999998</v>
      </c>
      <c r="G22" s="109">
        <v>45.860289999999999</v>
      </c>
      <c r="H22">
        <v>41.444048000000002</v>
      </c>
      <c r="I22">
        <v>47.775241999999999</v>
      </c>
      <c r="J22" s="108">
        <v>42.281399</v>
      </c>
      <c r="K22" s="110">
        <v>40.60271415811485</v>
      </c>
      <c r="L22" s="110">
        <v>41.627754792321561</v>
      </c>
      <c r="M22" s="110">
        <v>38.814747628279605</v>
      </c>
      <c r="N22" s="110">
        <v>40.296839843890886</v>
      </c>
      <c r="O22" s="110">
        <v>39.562164844073109</v>
      </c>
      <c r="P22" s="110">
        <v>40.33600660660376</v>
      </c>
      <c r="Q22" s="110">
        <v>40.206704645547291</v>
      </c>
      <c r="R22">
        <v>44</v>
      </c>
      <c r="S22" s="6">
        <v>43.4</v>
      </c>
    </row>
    <row r="23" spans="1:21" x14ac:dyDescent="0.2">
      <c r="A23" t="s">
        <v>173</v>
      </c>
      <c r="B23" t="s">
        <v>174</v>
      </c>
      <c r="C23" s="107" t="s">
        <v>71</v>
      </c>
      <c r="D23">
        <v>20211028</v>
      </c>
      <c r="E23">
        <v>48.085417999999997</v>
      </c>
      <c r="F23">
        <v>47.614027</v>
      </c>
      <c r="G23">
        <v>43.580936000000001</v>
      </c>
      <c r="H23">
        <v>46.280692000000002</v>
      </c>
      <c r="I23">
        <v>50.502020000000002</v>
      </c>
      <c r="J23" s="108">
        <f>AVERAGE(E23:H23)</f>
        <v>46.390268250000005</v>
      </c>
      <c r="K23" s="110">
        <f>(E23/E22)*$S22</f>
        <v>48.641664574578009</v>
      </c>
      <c r="L23" s="110">
        <f t="shared" ref="L23:Q23" si="0">(F23/F22)*$S22</f>
        <v>44.178742919520865</v>
      </c>
      <c r="M23" s="110">
        <f t="shared" si="0"/>
        <v>41.242927648298782</v>
      </c>
      <c r="N23" s="110">
        <f t="shared" si="0"/>
        <v>48.46490943162695</v>
      </c>
      <c r="O23" s="110">
        <f t="shared" si="0"/>
        <v>45.877060507616058</v>
      </c>
      <c r="P23" s="110">
        <f t="shared" si="0"/>
        <v>47.617573913531103</v>
      </c>
      <c r="Q23" s="110">
        <f t="shared" si="0"/>
        <v>51.992786352061437</v>
      </c>
      <c r="R23">
        <f>'1. Data &amp; Confidence Interval'!AF14</f>
        <v>46</v>
      </c>
    </row>
    <row r="24" spans="1:21" x14ac:dyDescent="0.2">
      <c r="A24" s="164" t="s">
        <v>171</v>
      </c>
      <c r="B24" s="165"/>
      <c r="C24" s="165"/>
      <c r="D24" s="165"/>
      <c r="E24" s="103">
        <f t="shared" ref="E24:R24" si="1">CORREL(E6:E22,$S6:$S22)</f>
        <v>0.91000862533640381</v>
      </c>
      <c r="F24" s="103">
        <f t="shared" si="1"/>
        <v>0.9204296636828041</v>
      </c>
      <c r="G24" s="104">
        <f t="shared" si="1"/>
        <v>0.90868879185657392</v>
      </c>
      <c r="H24" s="103">
        <f t="shared" si="1"/>
        <v>0.8741216109712141</v>
      </c>
      <c r="I24" s="103">
        <f t="shared" si="1"/>
        <v>0.71345084832431305</v>
      </c>
      <c r="J24" s="104">
        <f>CORREL(J6:J22,$S6:$S22)</f>
        <v>0.88508234788288365</v>
      </c>
      <c r="K24" s="103">
        <f t="shared" si="1"/>
        <v>0.64407431032756368</v>
      </c>
      <c r="L24" s="103">
        <f t="shared" si="1"/>
        <v>0.68759498902298899</v>
      </c>
      <c r="M24" s="103">
        <f t="shared" si="1"/>
        <v>0.61288015870271872</v>
      </c>
      <c r="N24" s="103">
        <f t="shared" si="1"/>
        <v>0.56530463620116156</v>
      </c>
      <c r="O24" s="103">
        <f t="shared" si="1"/>
        <v>0.69829056297737313</v>
      </c>
      <c r="P24" s="103">
        <f t="shared" si="1"/>
        <v>0.64232348946015294</v>
      </c>
      <c r="Q24" s="103">
        <f t="shared" si="1"/>
        <v>0.66090399215369222</v>
      </c>
      <c r="R24" s="103">
        <f t="shared" si="1"/>
        <v>0.86642991688423443</v>
      </c>
      <c r="S24" s="5"/>
    </row>
    <row r="26" spans="1:21" x14ac:dyDescent="0.2">
      <c r="A26" s="167" t="s">
        <v>76</v>
      </c>
      <c r="B26" s="168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9" si="2">A6</f>
        <v>PEN_NEURO</v>
      </c>
      <c r="B28" s="9" t="str">
        <f t="shared" si="2"/>
        <v>Neuro</v>
      </c>
      <c r="C28" s="9" t="str">
        <f t="shared" si="2"/>
        <v>2017Q2</v>
      </c>
      <c r="D28" s="9">
        <f t="shared" si="2"/>
        <v>20170803</v>
      </c>
      <c r="E28" s="18">
        <f t="shared" ref="E28:E38" si="3">$S6/E6-1</f>
        <v>-8.4554269617363453E-2</v>
      </c>
      <c r="F28" s="18">
        <f t="shared" ref="E28:R39" si="4">$S6/F6-1</f>
        <v>-7.6227933430957795E-2</v>
      </c>
      <c r="G28" s="18">
        <f t="shared" si="4"/>
        <v>-2.9634653492572993E-2</v>
      </c>
      <c r="H28" s="18">
        <f t="shared" si="4"/>
        <v>-7.6857568759424844E-2</v>
      </c>
      <c r="I28" s="18">
        <f t="shared" si="4"/>
        <v>-0.31139963442444041</v>
      </c>
      <c r="J28" s="18">
        <f t="shared" si="4"/>
        <v>-0.12905633412155448</v>
      </c>
      <c r="K28" s="18"/>
      <c r="L28" s="18"/>
      <c r="M28" s="18"/>
      <c r="N28" s="18"/>
      <c r="O28" s="18"/>
      <c r="P28" s="18"/>
      <c r="Q28" s="18"/>
      <c r="R28" s="40">
        <f t="shared" si="4"/>
        <v>0.17279411764705888</v>
      </c>
    </row>
    <row r="29" spans="1:21" x14ac:dyDescent="0.2">
      <c r="A29" s="9" t="str">
        <f t="shared" si="2"/>
        <v>PEN_NEURO</v>
      </c>
      <c r="B29" s="9" t="str">
        <f t="shared" si="2"/>
        <v>Neuro</v>
      </c>
      <c r="C29" s="9" t="str">
        <f t="shared" si="2"/>
        <v>2017Q3</v>
      </c>
      <c r="D29" s="9">
        <f t="shared" si="2"/>
        <v>20171102</v>
      </c>
      <c r="E29" s="18">
        <f t="shared" si="3"/>
        <v>-6.6247795647967789E-2</v>
      </c>
      <c r="F29" s="18">
        <f t="shared" si="4"/>
        <v>-5.4684098141398851E-2</v>
      </c>
      <c r="G29" s="18">
        <f t="shared" si="4"/>
        <v>2.4178531622093047E-2</v>
      </c>
      <c r="H29" s="18">
        <f t="shared" si="4"/>
        <v>-3.1716879565147793E-2</v>
      </c>
      <c r="I29" s="18">
        <f t="shared" si="4"/>
        <v>-0.22220395497912171</v>
      </c>
      <c r="J29" s="18">
        <f t="shared" si="4"/>
        <v>-3.3336229717689791E-2</v>
      </c>
      <c r="K29" s="18">
        <f t="shared" si="4"/>
        <v>-2.5577534963125537E-2</v>
      </c>
      <c r="L29" s="18">
        <f t="shared" si="4"/>
        <v>-2.240180921786572E-2</v>
      </c>
      <c r="M29" s="18">
        <f t="shared" si="4"/>
        <v>8.2973847360898745E-3</v>
      </c>
      <c r="N29" s="18">
        <f t="shared" si="4"/>
        <v>2.0327109503899266E-3</v>
      </c>
      <c r="O29" s="18">
        <f t="shared" si="4"/>
        <v>7.9062830121425343E-2</v>
      </c>
      <c r="P29" s="18">
        <f t="shared" si="4"/>
        <v>-9.8815049336533622E-3</v>
      </c>
      <c r="Q29" s="18">
        <f t="shared" si="4"/>
        <v>4.0804835243324344E-3</v>
      </c>
      <c r="R29" s="40">
        <f t="shared" si="4"/>
        <v>0.21376811594202882</v>
      </c>
    </row>
    <row r="30" spans="1:21" x14ac:dyDescent="0.2">
      <c r="A30" s="9" t="str">
        <f t="shared" ref="A30:D30" si="5">A8</f>
        <v>PEN_NEURO</v>
      </c>
      <c r="B30" s="9" t="str">
        <f t="shared" si="5"/>
        <v>Neuro</v>
      </c>
      <c r="C30" s="9" t="str">
        <f t="shared" si="5"/>
        <v>2017Q4</v>
      </c>
      <c r="D30" s="9">
        <f t="shared" si="5"/>
        <v>20180222</v>
      </c>
      <c r="E30" s="18">
        <f t="shared" si="3"/>
        <v>-6.9890601334779534E-2</v>
      </c>
      <c r="F30" s="18">
        <f t="shared" si="4"/>
        <v>-7.9231691068184951E-2</v>
      </c>
      <c r="G30" s="18">
        <f t="shared" si="4"/>
        <v>-2.2022601189489399E-2</v>
      </c>
      <c r="H30" s="18">
        <f t="shared" si="4"/>
        <v>-6.1799566045630971E-2</v>
      </c>
      <c r="I30" s="18">
        <f t="shared" si="4"/>
        <v>-0.22963654252076127</v>
      </c>
      <c r="J30" s="18">
        <f t="shared" si="4"/>
        <v>-5.8730671035915449E-2</v>
      </c>
      <c r="K30" s="18">
        <f t="shared" si="4"/>
        <v>-4.7570842869652963E-2</v>
      </c>
      <c r="L30" s="18">
        <f t="shared" si="4"/>
        <v>-6.866979316579036E-2</v>
      </c>
      <c r="M30" s="18">
        <f t="shared" si="4"/>
        <v>-8.6973380736778516E-2</v>
      </c>
      <c r="N30" s="18">
        <f t="shared" si="4"/>
        <v>-7.3546646322133369E-2</v>
      </c>
      <c r="O30" s="18">
        <f t="shared" si="4"/>
        <v>-5.2977641420465349E-2</v>
      </c>
      <c r="P30" s="18">
        <f t="shared" si="4"/>
        <v>-6.8959110032467352E-2</v>
      </c>
      <c r="Q30" s="18">
        <f t="shared" si="4"/>
        <v>-6.6631805141090461E-2</v>
      </c>
      <c r="R30" s="40">
        <f t="shared" si="4"/>
        <v>0.18530351437699677</v>
      </c>
    </row>
    <row r="31" spans="1:21" x14ac:dyDescent="0.2">
      <c r="A31" s="9" t="str">
        <f>A9</f>
        <v>PEN_NEURO</v>
      </c>
      <c r="B31" s="9" t="str">
        <f t="shared" ref="B31:D31" si="6">B9</f>
        <v>Neuro</v>
      </c>
      <c r="C31" s="9" t="str">
        <f t="shared" si="6"/>
        <v>2018Q1</v>
      </c>
      <c r="D31" s="9">
        <f t="shared" si="6"/>
        <v>20180503</v>
      </c>
      <c r="E31" s="18">
        <f t="shared" si="3"/>
        <v>-0.11239877629079853</v>
      </c>
      <c r="F31" s="18">
        <f t="shared" ref="F31:J31" si="7">$S9/F9-1</f>
        <v>-0.10644212239937789</v>
      </c>
      <c r="G31" s="18">
        <f t="shared" si="7"/>
        <v>-6.037735813331202E-2</v>
      </c>
      <c r="H31" s="18">
        <f t="shared" si="7"/>
        <v>-0.11565832521591568</v>
      </c>
      <c r="I31" s="18">
        <f t="shared" si="7"/>
        <v>-0.27536858823949861</v>
      </c>
      <c r="J31" s="18">
        <f t="shared" si="7"/>
        <v>-9.9260469589663503E-2</v>
      </c>
      <c r="K31" s="18">
        <f t="shared" ref="K31:Q31" si="8">$S9/K9-1</f>
        <v>-6.9919528538731957E-2</v>
      </c>
      <c r="L31" s="18">
        <f t="shared" si="8"/>
        <v>-5.4178916023888912E-2</v>
      </c>
      <c r="M31" s="18">
        <f t="shared" si="8"/>
        <v>-6.3600180362861858E-2</v>
      </c>
      <c r="N31" s="18">
        <f t="shared" si="8"/>
        <v>-8.1326627658055872E-2</v>
      </c>
      <c r="O31" s="18">
        <f t="shared" si="8"/>
        <v>-8.3234737632653988E-2</v>
      </c>
      <c r="P31" s="18">
        <f t="shared" si="8"/>
        <v>-6.7342940852373134E-2</v>
      </c>
      <c r="Q31" s="18">
        <f t="shared" si="8"/>
        <v>-7.0041598657953119E-2</v>
      </c>
      <c r="R31" s="40">
        <f>$S9/R9-1</f>
        <v>0.15743440233236172</v>
      </c>
    </row>
    <row r="32" spans="1:21" x14ac:dyDescent="0.2">
      <c r="A32" s="9" t="str">
        <f t="shared" ref="A32:D32" si="9">A10</f>
        <v>PEN_NEURO</v>
      </c>
      <c r="B32" s="9" t="str">
        <f t="shared" si="9"/>
        <v>Neuro</v>
      </c>
      <c r="C32" s="9" t="str">
        <f t="shared" si="9"/>
        <v>2018Q2</v>
      </c>
      <c r="D32" s="9">
        <f t="shared" si="9"/>
        <v>20180802</v>
      </c>
      <c r="E32" s="18">
        <f t="shared" si="3"/>
        <v>3.1434324721063334E-2</v>
      </c>
      <c r="F32" s="18">
        <f t="shared" ref="F32:J32" si="10">$S10/F10-1</f>
        <v>3.3036789693153601E-2</v>
      </c>
      <c r="G32" s="18">
        <f t="shared" si="10"/>
        <v>0.11100235513804524</v>
      </c>
      <c r="H32" s="18">
        <f t="shared" si="10"/>
        <v>2.414692254189732E-2</v>
      </c>
      <c r="I32" s="18">
        <f t="shared" si="10"/>
        <v>-0.154596344852588</v>
      </c>
      <c r="J32" s="18">
        <f t="shared" si="10"/>
        <v>4.8752871803959374E-2</v>
      </c>
      <c r="K32" s="18">
        <f t="shared" ref="K32:Q32" si="11">$S10/K10-1</f>
        <v>0.14948087038561186</v>
      </c>
      <c r="L32" s="18">
        <f t="shared" si="11"/>
        <v>0.14359213776589841</v>
      </c>
      <c r="M32" s="18">
        <f t="shared" si="11"/>
        <v>0.16960594386173766</v>
      </c>
      <c r="N32" s="18">
        <f t="shared" si="11"/>
        <v>0.14556631018428656</v>
      </c>
      <c r="O32" s="18">
        <f t="shared" si="11"/>
        <v>0.15405106324409856</v>
      </c>
      <c r="P32" s="18">
        <f t="shared" si="11"/>
        <v>0.15173350385009599</v>
      </c>
      <c r="Q32" s="18">
        <f t="shared" si="11"/>
        <v>0.15227633840053034</v>
      </c>
      <c r="R32" s="40">
        <f t="shared" ref="R32:R39" si="12">$S10/R10-1</f>
        <v>9.7625329815303585E-2</v>
      </c>
    </row>
    <row r="33" spans="1:18" x14ac:dyDescent="0.2">
      <c r="A33" s="9" t="str">
        <f t="shared" ref="A33:D33" si="13">A11</f>
        <v>PEN_NEURO</v>
      </c>
      <c r="B33" s="9" t="str">
        <f t="shared" si="13"/>
        <v>Neuro</v>
      </c>
      <c r="C33" s="9" t="str">
        <f t="shared" si="13"/>
        <v>2018Q3</v>
      </c>
      <c r="D33" s="9">
        <f t="shared" si="13"/>
        <v>20181101</v>
      </c>
      <c r="E33" s="18">
        <f t="shared" si="3"/>
        <v>-7.5220548086405215E-2</v>
      </c>
      <c r="F33" s="18">
        <f t="shared" ref="F33:J33" si="14">$S11/F11-1</f>
        <v>-6.4491008108359171E-2</v>
      </c>
      <c r="G33" s="18">
        <f t="shared" si="14"/>
        <v>1.31218185193549E-3</v>
      </c>
      <c r="H33" s="18">
        <f t="shared" si="14"/>
        <v>-1.3387017882324215E-2</v>
      </c>
      <c r="I33" s="18">
        <f t="shared" si="14"/>
        <v>-0.10873618096532844</v>
      </c>
      <c r="J33" s="18">
        <f t="shared" si="14"/>
        <v>-7.1597403070448706E-2</v>
      </c>
      <c r="K33" s="18">
        <f t="shared" ref="K33:Q33" si="15">$S11/K11-1</f>
        <v>-0.14063815101093313</v>
      </c>
      <c r="L33" s="18">
        <f t="shared" si="15"/>
        <v>-0.12904779307892733</v>
      </c>
      <c r="M33" s="18">
        <f t="shared" si="15"/>
        <v>-0.12922269477263393</v>
      </c>
      <c r="N33" s="18">
        <f t="shared" si="15"/>
        <v>-0.11617862309605376</v>
      </c>
      <c r="O33" s="18">
        <f t="shared" si="15"/>
        <v>-9.7915638278109451E-2</v>
      </c>
      <c r="P33" s="18">
        <f t="shared" si="15"/>
        <v>-0.12882838165866184</v>
      </c>
      <c r="Q33" s="18">
        <f t="shared" si="15"/>
        <v>-0.12384400831345288</v>
      </c>
      <c r="R33" s="40">
        <f t="shared" si="12"/>
        <v>0.10187667560321723</v>
      </c>
    </row>
    <row r="34" spans="1:18" x14ac:dyDescent="0.2">
      <c r="A34" s="9" t="str">
        <f t="shared" ref="A34:D34" si="16">A12</f>
        <v>PEN_NEURO</v>
      </c>
      <c r="B34" s="9" t="str">
        <f t="shared" si="16"/>
        <v>Neuro</v>
      </c>
      <c r="C34" s="9" t="str">
        <f t="shared" si="16"/>
        <v>2018Q4</v>
      </c>
      <c r="D34" s="9">
        <f t="shared" si="16"/>
        <v>20190221</v>
      </c>
      <c r="E34" s="18">
        <f t="shared" si="3"/>
        <v>-4.5846778451211434E-2</v>
      </c>
      <c r="F34" s="18">
        <f t="shared" ref="F34:J34" si="17">$S12/F12-1</f>
        <v>-5.8938103602645509E-2</v>
      </c>
      <c r="G34" s="18">
        <f t="shared" si="17"/>
        <v>-2.3802553098104418E-2</v>
      </c>
      <c r="H34" s="18">
        <f t="shared" si="17"/>
        <v>-4.6111973139211671E-2</v>
      </c>
      <c r="I34" s="18">
        <f t="shared" si="17"/>
        <v>-0.18467878219070533</v>
      </c>
      <c r="J34" s="18">
        <f t="shared" si="17"/>
        <v>-4.3840639654420643E-2</v>
      </c>
      <c r="K34" s="18">
        <f t="shared" ref="K34:Q34" si="18">$S12/K12-1</f>
        <v>2.2580649924624385E-2</v>
      </c>
      <c r="L34" s="18">
        <f t="shared" si="18"/>
        <v>-6.4146582823801923E-3</v>
      </c>
      <c r="M34" s="18">
        <f t="shared" si="18"/>
        <v>-4.1454604799252448E-2</v>
      </c>
      <c r="N34" s="18">
        <f t="shared" si="18"/>
        <v>1.0775696692486569E-3</v>
      </c>
      <c r="O34" s="18">
        <f t="shared" si="18"/>
        <v>1.5581002049444459E-2</v>
      </c>
      <c r="P34" s="18">
        <f t="shared" si="18"/>
        <v>-5.8532465883167628E-3</v>
      </c>
      <c r="Q34" s="18">
        <f t="shared" si="18"/>
        <v>-2.8403755237953465E-3</v>
      </c>
      <c r="R34" s="40">
        <f t="shared" si="12"/>
        <v>8.4367245657568368E-2</v>
      </c>
    </row>
    <row r="35" spans="1:18" x14ac:dyDescent="0.2">
      <c r="A35" s="9" t="str">
        <f t="shared" ref="A35:D35" si="19">A13</f>
        <v>PEN_NEURO</v>
      </c>
      <c r="B35" s="9" t="str">
        <f t="shared" si="19"/>
        <v>Neuro</v>
      </c>
      <c r="C35" s="9" t="str">
        <f t="shared" si="19"/>
        <v>2019Q1</v>
      </c>
      <c r="D35" s="9">
        <f t="shared" si="19"/>
        <v>20190502</v>
      </c>
      <c r="E35" s="18">
        <f t="shared" si="3"/>
        <v>-4.6172138574716914E-2</v>
      </c>
      <c r="F35" s="18">
        <f t="shared" ref="F35:J35" si="20">$S13/F13-1</f>
        <v>-3.7517116401280859E-2</v>
      </c>
      <c r="G35" s="18">
        <f t="shared" si="20"/>
        <v>3.2045395994340753E-2</v>
      </c>
      <c r="H35" s="18">
        <f t="shared" si="20"/>
        <v>6.5576987283932908E-5</v>
      </c>
      <c r="I35" s="18">
        <f t="shared" si="20"/>
        <v>-0.1483351114495427</v>
      </c>
      <c r="J35" s="18">
        <f t="shared" si="20"/>
        <v>-1.3872538127497003E-2</v>
      </c>
      <c r="K35" s="18">
        <f t="shared" ref="K35:Q35" si="21">$S13/K13-1</f>
        <v>3.4603509390999321E-2</v>
      </c>
      <c r="L35" s="18">
        <f t="shared" si="21"/>
        <v>5.8514690811718673E-2</v>
      </c>
      <c r="M35" s="18">
        <f t="shared" si="21"/>
        <v>9.4165954526528317E-2</v>
      </c>
      <c r="N35" s="18">
        <f t="shared" si="21"/>
        <v>8.5058479681172638E-2</v>
      </c>
      <c r="O35" s="18">
        <f t="shared" si="21"/>
        <v>8.109052886097734E-2</v>
      </c>
      <c r="P35" s="18">
        <f t="shared" si="21"/>
        <v>6.739419471016217E-2</v>
      </c>
      <c r="Q35" s="18">
        <f t="shared" si="21"/>
        <v>6.9771528800793403E-2</v>
      </c>
      <c r="R35" s="40">
        <f t="shared" si="12"/>
        <v>3.4168564920273425E-2</v>
      </c>
    </row>
    <row r="36" spans="1:18" x14ac:dyDescent="0.2">
      <c r="A36" s="9" t="str">
        <f t="shared" ref="A36:D36" si="22">A14</f>
        <v>PEN_NEURO</v>
      </c>
      <c r="B36" s="9" t="str">
        <f t="shared" si="22"/>
        <v>Neuro</v>
      </c>
      <c r="C36" s="9" t="str">
        <f t="shared" si="22"/>
        <v>2019Q2</v>
      </c>
      <c r="D36" s="9">
        <f t="shared" si="22"/>
        <v>20190801</v>
      </c>
      <c r="E36" s="18">
        <f t="shared" si="3"/>
        <v>-9.0477503389296832E-2</v>
      </c>
      <c r="F36" s="18">
        <f t="shared" ref="F36:J36" si="23">$S14/F14-1</f>
        <v>-9.6419129268953574E-2</v>
      </c>
      <c r="G36" s="18">
        <f>$S14/G14-1</f>
        <v>-6.6024077271052972E-2</v>
      </c>
      <c r="H36" s="18">
        <f t="shared" si="23"/>
        <v>-8.5533140432768717E-2</v>
      </c>
      <c r="I36" s="18">
        <f t="shared" si="23"/>
        <v>-0.2266882038047634</v>
      </c>
      <c r="J36" s="18">
        <f t="shared" si="23"/>
        <v>-8.4754184058560389E-2</v>
      </c>
      <c r="K36" s="18">
        <f t="shared" ref="K36:Q36" si="24">$S14/K14-1</f>
        <v>-1.6556857947868764E-2</v>
      </c>
      <c r="L36" s="18">
        <f t="shared" si="24"/>
        <v>-3.1767117430801295E-2</v>
      </c>
      <c r="M36" s="18">
        <f t="shared" si="24"/>
        <v>-6.6653948766238202E-2</v>
      </c>
      <c r="N36" s="18">
        <f t="shared" si="24"/>
        <v>-5.6927009166029774E-2</v>
      </c>
      <c r="O36" s="18">
        <f t="shared" si="24"/>
        <v>-6.3534663209183551E-2</v>
      </c>
      <c r="P36" s="18">
        <f t="shared" si="24"/>
        <v>-4.2782756393512256E-2</v>
      </c>
      <c r="Q36" s="18">
        <f t="shared" si="24"/>
        <v>-4.6705454936793345E-2</v>
      </c>
      <c r="R36" s="40">
        <f t="shared" si="12"/>
        <v>-2.2371364653244186E-3</v>
      </c>
    </row>
    <row r="37" spans="1:18" x14ac:dyDescent="0.2">
      <c r="A37" s="9" t="str">
        <f t="shared" ref="A37:D37" si="25">A15</f>
        <v>PEN_NEURO</v>
      </c>
      <c r="B37" s="9" t="str">
        <f t="shared" si="25"/>
        <v>Neuro</v>
      </c>
      <c r="C37" s="9" t="str">
        <f t="shared" si="25"/>
        <v>2019Q3</v>
      </c>
      <c r="D37" s="9">
        <f t="shared" si="25"/>
        <v>20191031</v>
      </c>
      <c r="E37" s="18">
        <f t="shared" si="3"/>
        <v>-4.173840230137138E-2</v>
      </c>
      <c r="F37" s="18">
        <f t="shared" ref="F37:J37" si="26">$S15/F15-1</f>
        <v>-5.6719956572821695E-2</v>
      </c>
      <c r="G37" s="18">
        <f>$S15/G15-1</f>
        <v>-2.4420862831870949E-2</v>
      </c>
      <c r="H37" s="18">
        <f t="shared" si="26"/>
        <v>-1.2416705799930816E-2</v>
      </c>
      <c r="I37" s="18">
        <f t="shared" si="26"/>
        <v>-0.19694540308463149</v>
      </c>
      <c r="J37" s="18">
        <f t="shared" si="26"/>
        <v>-3.4117837267319651E-2</v>
      </c>
      <c r="K37" s="18">
        <f t="shared" ref="K37:Q37" si="27">$S15/K15-1</f>
        <v>5.3587570697315901E-2</v>
      </c>
      <c r="L37" s="18">
        <f t="shared" si="27"/>
        <v>4.3935384183169779E-2</v>
      </c>
      <c r="M37" s="18">
        <f t="shared" si="27"/>
        <v>4.4544204434759926E-2</v>
      </c>
      <c r="N37" s="18">
        <f t="shared" si="27"/>
        <v>7.9955259031956327E-2</v>
      </c>
      <c r="O37" s="18">
        <f t="shared" si="27"/>
        <v>3.8461589318136591E-2</v>
      </c>
      <c r="P37" s="18">
        <f t="shared" si="27"/>
        <v>5.5325406474713068E-2</v>
      </c>
      <c r="Q37" s="18">
        <f t="shared" si="27"/>
        <v>5.2463685331863852E-2</v>
      </c>
      <c r="R37" s="40">
        <f t="shared" si="12"/>
        <v>-5.2966101694915224E-2</v>
      </c>
    </row>
    <row r="38" spans="1:18" x14ac:dyDescent="0.2">
      <c r="A38" s="9" t="str">
        <f t="shared" ref="A38:D38" si="28">A16</f>
        <v>PEN_NEURO</v>
      </c>
      <c r="B38" s="9" t="str">
        <f t="shared" si="28"/>
        <v>Neuro</v>
      </c>
      <c r="C38" s="9" t="str">
        <f t="shared" si="28"/>
        <v>2019Q4</v>
      </c>
      <c r="D38" s="9">
        <f t="shared" si="28"/>
        <v>20200220</v>
      </c>
      <c r="E38" s="18">
        <f t="shared" si="3"/>
        <v>-6.0987003877209012E-2</v>
      </c>
      <c r="F38" s="18">
        <f t="shared" ref="F38:J38" si="29">$S16/F16-1</f>
        <v>-5.4344798495204572E-2</v>
      </c>
      <c r="G38" s="18">
        <f t="shared" si="29"/>
        <v>-1.1177313479628581E-2</v>
      </c>
      <c r="H38" s="18">
        <f t="shared" si="29"/>
        <v>-1.7872488599508407E-2</v>
      </c>
      <c r="I38" s="18">
        <f t="shared" si="29"/>
        <v>-0.14542043760688717</v>
      </c>
      <c r="J38" s="18">
        <f t="shared" si="29"/>
        <v>-3.6589662533050626E-2</v>
      </c>
      <c r="K38" s="18">
        <f t="shared" ref="K38:Q38" si="30">$S16/K16-1</f>
        <v>-3.2211421569819931E-2</v>
      </c>
      <c r="L38" s="18">
        <f t="shared" si="30"/>
        <v>-9.8861334189968009E-3</v>
      </c>
      <c r="M38" s="18">
        <f t="shared" si="30"/>
        <v>1.0341442039401016E-3</v>
      </c>
      <c r="N38" s="18">
        <f t="shared" si="30"/>
        <v>-1.7828980741347533E-2</v>
      </c>
      <c r="O38" s="18">
        <f t="shared" si="30"/>
        <v>5.0994403238645125E-2</v>
      </c>
      <c r="P38" s="18">
        <f t="shared" si="30"/>
        <v>-1.4900429658986525E-2</v>
      </c>
      <c r="Q38" s="18">
        <f t="shared" si="30"/>
        <v>-4.4787815160841626E-3</v>
      </c>
      <c r="R38" s="40">
        <f t="shared" si="12"/>
        <v>-8.5836909871244149E-3</v>
      </c>
    </row>
    <row r="39" spans="1:18" x14ac:dyDescent="0.2">
      <c r="A39" s="9" t="str">
        <f t="shared" ref="A39:D39" si="31">A17</f>
        <v>PEN_NEURO</v>
      </c>
      <c r="B39" s="9" t="str">
        <f t="shared" si="31"/>
        <v>Neuro</v>
      </c>
      <c r="C39" s="9" t="str">
        <f t="shared" si="31"/>
        <v>2020Q1</v>
      </c>
      <c r="D39" s="9">
        <f t="shared" si="31"/>
        <v>20200430</v>
      </c>
      <c r="E39" s="18">
        <f t="shared" si="4"/>
        <v>-6.9198625298611094E-2</v>
      </c>
      <c r="F39" s="18">
        <f t="shared" ref="F39:J39" si="32">$S17/F17-1</f>
        <v>-8.227875311611843E-2</v>
      </c>
      <c r="G39" s="18">
        <f t="shared" ref="G39:G44" si="33">$S17/G17-1</f>
        <v>-3.4711135350587119E-2</v>
      </c>
      <c r="H39" s="18">
        <f t="shared" si="32"/>
        <v>-3.7958308319888223E-2</v>
      </c>
      <c r="I39" s="18">
        <f t="shared" si="32"/>
        <v>-0.18045527592160437</v>
      </c>
      <c r="J39" s="18">
        <f t="shared" si="32"/>
        <v>-5.6473343013123456E-2</v>
      </c>
      <c r="K39" s="18">
        <f t="shared" ref="K39:Q39" si="34">$S17/K17-1</f>
        <v>-5.1057121348341616E-2</v>
      </c>
      <c r="L39" s="18">
        <f t="shared" si="34"/>
        <v>-7.0963816824451076E-2</v>
      </c>
      <c r="M39" s="18">
        <f t="shared" si="34"/>
        <v>-6.5469386960217979E-2</v>
      </c>
      <c r="N39" s="18">
        <f t="shared" si="34"/>
        <v>-6.2263815224288255E-2</v>
      </c>
      <c r="O39" s="18">
        <f t="shared" si="34"/>
        <v>-8.1932074959454204E-2</v>
      </c>
      <c r="P39" s="18">
        <f t="shared" si="34"/>
        <v>-6.2443324156704283E-2</v>
      </c>
      <c r="Q39" s="18">
        <f t="shared" si="34"/>
        <v>-6.578270414792553E-2</v>
      </c>
      <c r="R39" s="40">
        <f t="shared" si="12"/>
        <v>-8.9285714285713969E-3</v>
      </c>
    </row>
    <row r="40" spans="1:18" x14ac:dyDescent="0.2">
      <c r="A40" s="9" t="str">
        <f t="shared" ref="A40:D40" si="35">A18</f>
        <v>PEN_NEURO</v>
      </c>
      <c r="B40" s="9" t="str">
        <f t="shared" si="35"/>
        <v>Neuro</v>
      </c>
      <c r="C40" s="9" t="str">
        <f t="shared" si="35"/>
        <v>2020Q2</v>
      </c>
      <c r="D40" s="9">
        <f t="shared" si="35"/>
        <v>20200730</v>
      </c>
      <c r="E40" s="18">
        <f>$S18/E18-1</f>
        <v>-7.760655314787468E-2</v>
      </c>
      <c r="F40" s="18">
        <f t="shared" ref="F40:J40" si="36">$S18/F18-1</f>
        <v>-7.2829509700077066E-2</v>
      </c>
      <c r="G40" s="18">
        <f t="shared" si="33"/>
        <v>-9.0780673006608525E-3</v>
      </c>
      <c r="H40" s="18">
        <f t="shared" si="36"/>
        <v>-8.7185062974287852E-2</v>
      </c>
      <c r="I40" s="18">
        <f t="shared" si="36"/>
        <v>-0.21851273990376918</v>
      </c>
      <c r="J40" s="18">
        <f t="shared" si="36"/>
        <v>-6.2652295937252078E-2</v>
      </c>
      <c r="K40" s="18">
        <f t="shared" ref="K40:Q40" si="37">$S18/K18-1</f>
        <v>-2.5127183076814052E-2</v>
      </c>
      <c r="L40" s="18">
        <f t="shared" si="37"/>
        <v>-6.1116910301678429E-3</v>
      </c>
      <c r="M40" s="18">
        <f t="shared" si="37"/>
        <v>9.8826540240362082E-3</v>
      </c>
      <c r="N40" s="18">
        <f t="shared" si="37"/>
        <v>-6.6578902352815827E-2</v>
      </c>
      <c r="O40" s="18">
        <f t="shared" si="37"/>
        <v>-6.192402877916614E-2</v>
      </c>
      <c r="P40" s="18">
        <f t="shared" si="37"/>
        <v>-2.2683314651218978E-2</v>
      </c>
      <c r="Q40" s="18">
        <f t="shared" si="37"/>
        <v>-2.9548238408447558E-2</v>
      </c>
      <c r="R40" s="40">
        <f t="shared" ref="R40" si="38">$S18/R18-1</f>
        <v>0.11730205278592365</v>
      </c>
    </row>
    <row r="41" spans="1:18" x14ac:dyDescent="0.2">
      <c r="A41" s="9" t="str">
        <f t="shared" ref="A41:D41" si="39">A19</f>
        <v>PEN_NEURO</v>
      </c>
      <c r="B41" s="9" t="str">
        <f t="shared" si="39"/>
        <v>Neuro</v>
      </c>
      <c r="C41" s="9" t="str">
        <f t="shared" si="39"/>
        <v>2020Q3</v>
      </c>
      <c r="D41" s="9">
        <f t="shared" si="39"/>
        <v>20201022</v>
      </c>
      <c r="E41" s="18">
        <f>$S19/E19-1</f>
        <v>3.1914074122317837E-2</v>
      </c>
      <c r="F41" s="18">
        <f t="shared" ref="F41:I41" si="40">$S19/F19-1</f>
        <v>2.4479675907357556E-2</v>
      </c>
      <c r="G41" s="18">
        <f t="shared" si="33"/>
        <v>4.1491394988856012E-2</v>
      </c>
      <c r="H41" s="18">
        <f t="shared" si="40"/>
        <v>3.986780392994449E-2</v>
      </c>
      <c r="I41" s="18">
        <f t="shared" si="40"/>
        <v>-0.1726154309799528</v>
      </c>
      <c r="J41" s="18">
        <f>$S19/J19-1</f>
        <v>3.4393465995657513E-2</v>
      </c>
      <c r="K41" s="18">
        <f t="shared" ref="K41:Q41" si="41">$S19/K19-1</f>
        <v>0.10427248036067338</v>
      </c>
      <c r="L41" s="18">
        <f t="shared" si="41"/>
        <v>9.0668245131140468E-2</v>
      </c>
      <c r="M41" s="18">
        <f t="shared" si="41"/>
        <v>3.7445204022293677E-2</v>
      </c>
      <c r="N41" s="18">
        <f t="shared" si="41"/>
        <v>0.12446078980595954</v>
      </c>
      <c r="O41" s="18">
        <f t="shared" si="41"/>
        <v>4.5043664500135971E-2</v>
      </c>
      <c r="P41" s="18">
        <f t="shared" si="41"/>
        <v>8.9266057621168793E-2</v>
      </c>
      <c r="Q41" s="18">
        <f t="shared" si="41"/>
        <v>8.0962015601883319E-2</v>
      </c>
      <c r="R41" s="40">
        <f>$S19/R19-1</f>
        <v>0.22038567493112948</v>
      </c>
    </row>
    <row r="42" spans="1:18" x14ac:dyDescent="0.2">
      <c r="A42" s="9" t="str">
        <f t="shared" ref="A42:D42" si="42">A20</f>
        <v>PEN_NEURO</v>
      </c>
      <c r="B42" s="9" t="str">
        <f t="shared" si="42"/>
        <v>Neuro</v>
      </c>
      <c r="C42" s="9" t="str">
        <f t="shared" si="42"/>
        <v>2020Q4</v>
      </c>
      <c r="D42" s="9">
        <f t="shared" si="42"/>
        <v>20210218</v>
      </c>
      <c r="E42" s="18">
        <f>$S20/E20-1</f>
        <v>-4.2905631308777337E-2</v>
      </c>
      <c r="F42" s="18">
        <f t="shared" ref="F42:I42" si="43">$S20/F20-1</f>
        <v>-3.6849140573264494E-2</v>
      </c>
      <c r="G42" s="18">
        <f t="shared" si="33"/>
        <v>-8.254873283236519E-2</v>
      </c>
      <c r="H42" s="18">
        <f t="shared" si="43"/>
        <v>-7.7435369965484169E-2</v>
      </c>
      <c r="I42" s="18">
        <f t="shared" si="43"/>
        <v>-0.16056497083372501</v>
      </c>
      <c r="J42" s="18">
        <f>$S20/J20-1</f>
        <v>-6.0370943705049807E-2</v>
      </c>
      <c r="K42" s="18">
        <f t="shared" ref="K42:Q42" si="44">$S20/K20-1</f>
        <v>-8.0805476322086123E-2</v>
      </c>
      <c r="L42" s="18">
        <f t="shared" si="44"/>
        <v>-6.8276235988380729E-2</v>
      </c>
      <c r="M42" s="18">
        <f t="shared" si="44"/>
        <v>-0.12698134924330451</v>
      </c>
      <c r="N42" s="18">
        <f t="shared" si="44"/>
        <v>-0.12074494981264217</v>
      </c>
      <c r="O42" s="18">
        <f t="shared" si="44"/>
        <v>5.485644112905641E-3</v>
      </c>
      <c r="P42" s="18">
        <f t="shared" si="44"/>
        <v>-9.974224199517856E-2</v>
      </c>
      <c r="Q42" s="18">
        <f t="shared" si="44"/>
        <v>-8.387198930958617E-2</v>
      </c>
      <c r="R42" s="40">
        <f>$S20/R20-1</f>
        <v>0.55038759689922467</v>
      </c>
    </row>
    <row r="43" spans="1:18" x14ac:dyDescent="0.2">
      <c r="A43" s="9" t="str">
        <f t="shared" ref="A43:D43" si="45">A21</f>
        <v>PEN_NEURO</v>
      </c>
      <c r="B43" s="9" t="str">
        <f t="shared" si="45"/>
        <v>Neuro</v>
      </c>
      <c r="C43" s="9" t="str">
        <f t="shared" si="45"/>
        <v>2021Q1</v>
      </c>
      <c r="D43" s="9">
        <f t="shared" si="45"/>
        <v>20210429</v>
      </c>
      <c r="E43" s="18">
        <f>$S21/E21-1</f>
        <v>-4.1687245181823207E-2</v>
      </c>
      <c r="F43" s="18">
        <f t="shared" ref="F43:J43" si="46">$S21/F21-1</f>
        <v>-5.6627961976454255E-3</v>
      </c>
      <c r="G43" s="18">
        <f t="shared" si="33"/>
        <v>-1.1113849915609819E-2</v>
      </c>
      <c r="H43" s="18">
        <f t="shared" si="46"/>
        <v>2.7789222062826191E-3</v>
      </c>
      <c r="I43" s="18">
        <f t="shared" si="46"/>
        <v>-9.3191990520053558E-2</v>
      </c>
      <c r="J43" s="18">
        <f t="shared" si="46"/>
        <v>-1.4210949827908603E-2</v>
      </c>
      <c r="K43" s="18">
        <f t="shared" ref="K43:Q43" si="47">$S21/K21-1</f>
        <v>-9.7708384951285421E-2</v>
      </c>
      <c r="L43" s="18">
        <f t="shared" si="47"/>
        <v>-6.9676938662910137E-2</v>
      </c>
      <c r="M43" s="18">
        <f t="shared" si="47"/>
        <v>-2.8690349952865013E-2</v>
      </c>
      <c r="N43" s="18">
        <f t="shared" si="47"/>
        <v>-2.0503675981098701E-2</v>
      </c>
      <c r="O43" s="18">
        <f t="shared" si="47"/>
        <v>-2.6529773359785569E-2</v>
      </c>
      <c r="P43" s="18">
        <f t="shared" si="47"/>
        <v>-5.4586138126746953E-2</v>
      </c>
      <c r="Q43" s="18">
        <f t="shared" si="47"/>
        <v>-5.0429452028357691E-2</v>
      </c>
      <c r="R43" s="40">
        <f>$S21/R21-1</f>
        <v>8.229426433915199E-2</v>
      </c>
    </row>
    <row r="44" spans="1:18" x14ac:dyDescent="0.2">
      <c r="A44" s="9" t="str">
        <f t="shared" ref="A44:D44" si="48">A22</f>
        <v>PEN_NEURO</v>
      </c>
      <c r="B44" s="9" t="str">
        <f t="shared" si="48"/>
        <v>Neuro</v>
      </c>
      <c r="C44" s="9" t="str">
        <f t="shared" si="48"/>
        <v>2021Q2</v>
      </c>
      <c r="D44" s="9">
        <f t="shared" si="48"/>
        <v>20210805</v>
      </c>
      <c r="E44" s="18">
        <f>$S22/E22-1</f>
        <v>1.156788477076387E-2</v>
      </c>
      <c r="F44" s="18">
        <f t="shared" ref="F44:J44" si="49">$S22/F22-1</f>
        <v>-7.2148572530509547E-2</v>
      </c>
      <c r="G44" s="18">
        <f t="shared" si="33"/>
        <v>-5.3647502010999104E-2</v>
      </c>
      <c r="H44" s="18">
        <f t="shared" si="49"/>
        <v>4.7195003731295593E-2</v>
      </c>
      <c r="I44" s="18">
        <f t="shared" si="49"/>
        <v>-9.1579693097106674E-2</v>
      </c>
      <c r="J44" s="18">
        <f t="shared" si="49"/>
        <v>2.6456101890100614E-2</v>
      </c>
      <c r="K44" s="18">
        <f t="shared" ref="K44:Q44" si="50">$S22/K22-1</f>
        <v>6.8894060406700319E-2</v>
      </c>
      <c r="L44" s="18">
        <f t="shared" si="50"/>
        <v>4.2573643871019806E-2</v>
      </c>
      <c r="M44" s="18">
        <f t="shared" si="50"/>
        <v>0.11813170642335113</v>
      </c>
      <c r="N44" s="18">
        <f t="shared" si="50"/>
        <v>7.7007531313390665E-2</v>
      </c>
      <c r="O44" s="18">
        <f t="shared" si="50"/>
        <v>9.7007713583243005E-2</v>
      </c>
      <c r="P44" s="18">
        <f t="shared" si="50"/>
        <v>7.5961743642083857E-2</v>
      </c>
      <c r="Q44" s="18">
        <f t="shared" si="50"/>
        <v>7.9421961650526729E-2</v>
      </c>
      <c r="R44" s="40">
        <f>$S22/R22-1</f>
        <v>-1.3636363636363669E-2</v>
      </c>
    </row>
    <row r="45" spans="1:18" x14ac:dyDescent="0.2">
      <c r="A45" s="173" t="s">
        <v>77</v>
      </c>
      <c r="B45" s="173"/>
      <c r="C45" s="169"/>
      <c r="D45" s="170"/>
      <c r="E45" s="73" cm="1">
        <f t="array" ref="E45">SUM(ABS(E28:E44))/COUNT(E28:E44)</f>
        <v>5.8814597418961848E-2</v>
      </c>
      <c r="F45" s="73" cm="1">
        <f t="array" ref="F45">SUM(ABS(F28:F44))/COUNT(F28:F44)</f>
        <v>5.9547129129841829E-2</v>
      </c>
      <c r="G45" s="75" cm="1">
        <f t="array" ref="G45">SUM(ABS(G28:G44))/COUNT(G28:G44)</f>
        <v>3.7564033323619059E-2</v>
      </c>
      <c r="H45" s="75" cm="1">
        <f t="array" ref="H45">SUM(ABS(H28:H44))/COUNT(H28:H44)</f>
        <v>4.5763919770366313E-2</v>
      </c>
      <c r="I45" s="73" cm="1">
        <f t="array" ref="I45">SUM(ABS(I28:I44))/COUNT(I28:I44)</f>
        <v>0.18358407561026352</v>
      </c>
      <c r="J45" s="75" cm="1">
        <f t="array" ref="J45">SUM(ABS(J28:J44))/COUNT(J28:J44)</f>
        <v>5.3439173020539514E-2</v>
      </c>
      <c r="K45" s="73" cm="1">
        <f t="array" ref="K45">SUM(ABS(K28:K44))/COUNT(K28:K44)</f>
        <v>6.3786977735286549E-2</v>
      </c>
      <c r="L45" s="73" cm="1">
        <f t="array" ref="L45">SUM(ABS(L28:L44))/COUNT(L28:L44)</f>
        <v>5.7292437805469221E-2</v>
      </c>
      <c r="M45" s="73" cm="1">
        <f t="array" ref="M45">SUM(ABS(M28:M44))/COUNT(M28:M44)</f>
        <v>6.8259568239180585E-2</v>
      </c>
      <c r="N45" s="73" cm="1">
        <f t="array" ref="N45">SUM(ABS(N28:N44))/COUNT(N28:N44)</f>
        <v>7.0691117561929362E-2</v>
      </c>
      <c r="O45" s="73" cm="1">
        <f t="array" ref="O45">SUM(ABS(O28:O44))/COUNT(O28:O44)</f>
        <v>6.4676687291739393E-2</v>
      </c>
      <c r="P45" s="73" cm="1">
        <f t="array" ref="P45">SUM(ABS(P28:P44))/COUNT(P28:P44)</f>
        <v>6.3605268459127742E-2</v>
      </c>
      <c r="Q45" s="73" cm="1">
        <f t="array" ref="Q45">SUM(ABS(Q28:Q44))/COUNT(Q28:Q44)</f>
        <v>6.1446901330838521E-2</v>
      </c>
      <c r="R45" s="73" cm="1">
        <f t="array" ref="R45">SUM(ABS(R28:R44))/COUNT(R28:R44)</f>
        <v>0.12376820114485515</v>
      </c>
    </row>
    <row r="46" spans="1:18" x14ac:dyDescent="0.2">
      <c r="A46" s="174" t="s">
        <v>78</v>
      </c>
      <c r="B46" s="174"/>
      <c r="C46" s="171"/>
      <c r="D46" s="172"/>
      <c r="E46" s="74" cm="1">
        <f t="array" ref="E46">SQRT(SUM(POWER(E28:E44,2))/COUNT(E28:E44))</f>
        <v>6.3767212265636544E-2</v>
      </c>
      <c r="F46" s="74" cm="1">
        <f t="array" ref="F46">SQRT(SUM(POWER(F28:F44,2))/COUNT(F28:F44))</f>
        <v>6.4751141552770439E-2</v>
      </c>
      <c r="G46" s="76" cm="1">
        <f t="array" ref="G46">SQRT(SUM(POWER(G28:G44,2))/COUNT(G28:G44))</f>
        <v>4.6913633529692404E-2</v>
      </c>
      <c r="H46" s="76" cm="1">
        <f t="array" ref="H46">SQRT(SUM(POWER(H28:H44,2))/COUNT(H28:H44))</f>
        <v>5.6177262189745711E-2</v>
      </c>
      <c r="I46" s="74" cm="1">
        <f t="array" ref="I46">SQRT(SUM(POWER(I28:I44,2))/COUNT(I28:I44))</f>
        <v>0.19266263126012739</v>
      </c>
      <c r="J46" s="76" cm="1">
        <f t="array" ref="J46">SQRT(SUM(POWER(J28:J44,2))/COUNT(J28:J44))</f>
        <v>6.0980393248790885E-2</v>
      </c>
      <c r="K46" s="74" cm="1">
        <f t="array" ref="K46">SQRT(SUM(POWER(K28:K44,2))/COUNT(K28:K44))</f>
        <v>7.531350216858923E-2</v>
      </c>
      <c r="L46" s="74" cm="1">
        <f t="array" ref="L46">SQRT(SUM(POWER(L28:L44,2))/COUNT(L28:L44))</f>
        <v>6.9169209977273105E-2</v>
      </c>
      <c r="M46" s="74" cm="1">
        <f t="array" ref="M46">SQRT(SUM(POWER(M28:M44,2))/COUNT(M28:M44))</f>
        <v>8.323353641725062E-2</v>
      </c>
      <c r="N46" s="74" cm="1">
        <f t="array" ref="N46">SQRT(SUM(POWER(N28:N44,2))/COUNT(N28:N44))</f>
        <v>8.239831450154321E-2</v>
      </c>
      <c r="O46" s="74" cm="1">
        <f t="array" ref="O46">SQRT(SUM(POWER(O28:O44,2))/COUNT(O28:O44))</f>
        <v>7.3722623313285773E-2</v>
      </c>
      <c r="P46" s="74" cm="1">
        <f t="array" ref="P46">SQRT(SUM(POWER(P28:P44,2))/COUNT(P28:P44))</f>
        <v>7.4907395648843078E-2</v>
      </c>
      <c r="Q46" s="74" cm="1">
        <f t="array" ref="Q46">SQRT(SUM(POWER(Q28:Q44,2))/COUNT(Q28:Q44))</f>
        <v>7.3040453246638187E-2</v>
      </c>
      <c r="R46" s="74" cm="1">
        <f t="array" ref="R46">SQRT(SUM(POWER(R28:R44,2))/COUNT(R28:R44))</f>
        <v>0.17790458700458733</v>
      </c>
    </row>
    <row r="47" spans="1:18" x14ac:dyDescent="0.2">
      <c r="G47" s="3">
        <f>AVERAGE(G43,G39,G36:G37,G34,G31)</f>
        <v>-3.674163943342288E-2</v>
      </c>
      <c r="J47" s="3"/>
    </row>
    <row r="48" spans="1:18" x14ac:dyDescent="0.2">
      <c r="B48" t="s">
        <v>158</v>
      </c>
      <c r="G48" s="3">
        <f>AVERAGE(G36,G34)</f>
        <v>-4.4913315184578695E-2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C9" sqref="C9:M11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5" t="s">
        <v>82</v>
      </c>
      <c r="C7" s="175"/>
      <c r="D7" s="175" t="s">
        <v>112</v>
      </c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6"/>
      <c r="P7" s="6"/>
      <c r="Q7" s="6"/>
    </row>
    <row r="8" spans="1:17" ht="15" x14ac:dyDescent="0.2">
      <c r="A8" s="67" t="s">
        <v>172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8.3931276458529103E-2</v>
      </c>
      <c r="D9" s="2">
        <v>3.8094023083225868E-2</v>
      </c>
      <c r="E9" s="2">
        <v>3.1905518311657277E-2</v>
      </c>
      <c r="F9" s="2">
        <v>5.0491572821138843E-2</v>
      </c>
      <c r="G9" s="2">
        <v>3.8136416711711009E-2</v>
      </c>
      <c r="H9" s="2">
        <v>3.2112397010725137E-2</v>
      </c>
      <c r="I9" s="2">
        <v>3.1923260298729862E-2</v>
      </c>
      <c r="J9" s="2">
        <v>3.7135021412599001E-2</v>
      </c>
      <c r="K9" s="2">
        <v>3.8445639136744543E-2</v>
      </c>
      <c r="L9" s="2">
        <v>3.1751067264570332E-2</v>
      </c>
      <c r="M9" s="2">
        <v>5.601439142967677E-2</v>
      </c>
      <c r="O9" s="6"/>
      <c r="P9" s="6"/>
      <c r="Q9" s="6"/>
    </row>
    <row r="10" spans="1:17" ht="15" x14ac:dyDescent="0.2">
      <c r="B10" s="71" t="s">
        <v>96</v>
      </c>
      <c r="C10" s="2">
        <v>0.13416868637607809</v>
      </c>
      <c r="D10" s="2">
        <v>4.5951619656452752E-2</v>
      </c>
      <c r="E10" s="2">
        <v>4.0064900001131658E-2</v>
      </c>
      <c r="F10" s="2">
        <v>6.9557387398618262E-2</v>
      </c>
      <c r="G10" s="2">
        <v>4.7750137703643433E-2</v>
      </c>
      <c r="H10" s="2">
        <v>4.0079993207173967E-2</v>
      </c>
      <c r="I10" s="2">
        <v>4.0058651615939432E-2</v>
      </c>
      <c r="J10" s="2">
        <v>4.6635524416739578E-2</v>
      </c>
      <c r="K10" s="2">
        <v>4.883513368023102E-2</v>
      </c>
      <c r="L10" s="2">
        <v>4.0429056356908973E-2</v>
      </c>
      <c r="M10" s="2">
        <v>8.6596628231342287E-2</v>
      </c>
      <c r="O10" s="6"/>
      <c r="P10" s="6"/>
      <c r="Q10" s="6"/>
    </row>
    <row r="11" spans="1:17" ht="15" x14ac:dyDescent="0.2">
      <c r="B11" s="71" t="s">
        <v>97</v>
      </c>
      <c r="C11" s="2">
        <v>-1.5398747555362359E-2</v>
      </c>
      <c r="D11" s="2">
        <v>1.8167914015514649E-2</v>
      </c>
      <c r="E11" s="2">
        <v>4.2312885431623481E-3</v>
      </c>
      <c r="F11" s="2">
        <v>1.281830440242482E-2</v>
      </c>
      <c r="G11" s="2">
        <v>1.2576225960674311E-2</v>
      </c>
      <c r="H11" s="2">
        <v>3.1971561584403512E-3</v>
      </c>
      <c r="I11" s="2">
        <v>4.2213913808808456E-3</v>
      </c>
      <c r="J11" s="2">
        <v>1.211999298887745E-2</v>
      </c>
      <c r="K11" s="2">
        <v>1.2321880419419279E-2</v>
      </c>
      <c r="L11" s="2">
        <v>1.1510836811668981E-3</v>
      </c>
      <c r="M11" s="2">
        <v>-2.1161367427771638E-3</v>
      </c>
      <c r="O11" s="6"/>
      <c r="P11" s="6"/>
      <c r="Q11" s="6"/>
    </row>
    <row r="12" spans="1:17" ht="15" x14ac:dyDescent="0.2">
      <c r="B12" s="9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102</v>
      </c>
      <c r="B15" t="s">
        <v>105</v>
      </c>
      <c r="O15" s="6"/>
      <c r="P15" s="6"/>
      <c r="Q15" s="6"/>
    </row>
    <row r="16" spans="1:17" x14ac:dyDescent="0.2">
      <c r="B16" t="s">
        <v>139</v>
      </c>
      <c r="H16" s="68" t="s">
        <v>106</v>
      </c>
      <c r="O16" s="6"/>
      <c r="P16" s="6"/>
      <c r="Q16" s="6"/>
    </row>
    <row r="17" spans="1:17" x14ac:dyDescent="0.2">
      <c r="B17" t="s">
        <v>140</v>
      </c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104</v>
      </c>
      <c r="B20" s="176" t="s">
        <v>108</v>
      </c>
      <c r="C20" s="176"/>
      <c r="D20" s="176"/>
      <c r="E20" s="176"/>
      <c r="F20" s="66" t="e">
        <f>#REF!+#REF!*'2. Past Proj &amp; Candidate Model'!R22</f>
        <v>#REF!</v>
      </c>
      <c r="G20" s="69" t="s">
        <v>109</v>
      </c>
      <c r="H20" s="2" t="e">
        <f>'2. Past Proj &amp; Candidate Model'!S22/'3.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7" t="s">
        <v>159</v>
      </c>
      <c r="C24" s="177"/>
      <c r="D24" s="177"/>
      <c r="E24" s="3">
        <f>C9</f>
        <v>8.3931276458529103E-2</v>
      </c>
      <c r="F24" t="s">
        <v>110</v>
      </c>
      <c r="G24" s="177" t="s">
        <v>111</v>
      </c>
      <c r="H24" s="177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50"/>
  <sheetViews>
    <sheetView tabSelected="1" zoomScale="85" zoomScaleNormal="85" workbookViewId="0">
      <selection activeCell="C48" sqref="C48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78" t="str">
        <f>D5</f>
        <v>PROJ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172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7.6301160416844635E-2</v>
      </c>
      <c r="D6" s="2">
        <v>3.9411688968940511E-2</v>
      </c>
      <c r="E6" s="2">
        <v>3.5573512964594413E-2</v>
      </c>
      <c r="F6" s="2">
        <v>4.674497067695535E-2</v>
      </c>
      <c r="G6" s="2">
        <v>3.8283263286286812E-2</v>
      </c>
      <c r="H6" s="2">
        <v>3.5761661241192157E-2</v>
      </c>
      <c r="I6" s="2">
        <v>3.5591228461457687E-2</v>
      </c>
      <c r="J6" s="2">
        <v>3.7372791038411103E-2</v>
      </c>
      <c r="K6" s="2">
        <v>3.8565013356405053E-2</v>
      </c>
      <c r="L6" s="2">
        <v>3.4833577213879363E-2</v>
      </c>
      <c r="M6" s="2">
        <v>5.7222675830815688E-2</v>
      </c>
    </row>
    <row r="7" spans="1:25" ht="15" x14ac:dyDescent="0.2">
      <c r="B7" s="71" t="s">
        <v>96</v>
      </c>
      <c r="C7" s="2">
        <v>0.12792482310781519</v>
      </c>
      <c r="D7" s="2">
        <v>4.6594037677085642E-2</v>
      </c>
      <c r="E7" s="2">
        <v>4.3975741794201363E-2</v>
      </c>
      <c r="F7" s="2">
        <v>6.6379350784386199E-2</v>
      </c>
      <c r="G7" s="2">
        <v>4.7079194853127497E-2</v>
      </c>
      <c r="H7" s="2">
        <v>4.3988369264209251E-2</v>
      </c>
      <c r="I7" s="2">
        <v>4.3973173782872979E-2</v>
      </c>
      <c r="J7" s="2">
        <v>4.6052166681389103E-2</v>
      </c>
      <c r="K7" s="2">
        <v>4.8080861301830383E-2</v>
      </c>
      <c r="L7" s="2">
        <v>4.3333954570617318E-2</v>
      </c>
      <c r="M7" s="2">
        <v>8.516989186911883E-2</v>
      </c>
    </row>
    <row r="8" spans="1:25" ht="15" x14ac:dyDescent="0.2">
      <c r="B8" s="71" t="s">
        <v>97</v>
      </c>
      <c r="C8" s="2">
        <v>0</v>
      </c>
      <c r="D8" s="2">
        <v>1.130365800865785E-2</v>
      </c>
      <c r="E8" s="2">
        <v>-2.043337545711621E-3</v>
      </c>
      <c r="F8" s="2">
        <v>6.3277015984126717E-3</v>
      </c>
      <c r="G8" s="2">
        <v>4.7424954438655131E-3</v>
      </c>
      <c r="H8" s="2">
        <v>-4.1139003346070124E-3</v>
      </c>
      <c r="I8" s="2">
        <v>-2.0959144931411711E-3</v>
      </c>
      <c r="J8" s="2">
        <v>5.1159001625147296E-3</v>
      </c>
      <c r="K8" s="2">
        <v>4.7007355528563277E-3</v>
      </c>
      <c r="L8" s="2">
        <v>-3.9650520847707149E-3</v>
      </c>
      <c r="M8" s="2">
        <v>-8.5081593498387287E-3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93</v>
      </c>
      <c r="N13" s="71" t="s">
        <v>94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169</v>
      </c>
      <c r="C14">
        <v>31.9</v>
      </c>
      <c r="D14">
        <v>27.2</v>
      </c>
      <c r="E14">
        <v>32.874215999999997</v>
      </c>
    </row>
    <row r="15" spans="1:25" x14ac:dyDescent="0.2">
      <c r="B15" t="s">
        <v>170</v>
      </c>
      <c r="C15">
        <v>33.5</v>
      </c>
      <c r="D15">
        <v>27.6</v>
      </c>
      <c r="E15">
        <v>32.709141000000002</v>
      </c>
    </row>
    <row r="16" spans="1:25" x14ac:dyDescent="0.2">
      <c r="B16" t="s">
        <v>167</v>
      </c>
      <c r="C16">
        <v>37.1</v>
      </c>
      <c r="D16">
        <v>31.3</v>
      </c>
      <c r="E16">
        <v>37.935437</v>
      </c>
    </row>
    <row r="17" spans="2:25" x14ac:dyDescent="0.2">
      <c r="B17" t="s">
        <v>42</v>
      </c>
      <c r="C17">
        <v>39.700000000000003</v>
      </c>
      <c r="D17">
        <v>34.299999999999997</v>
      </c>
      <c r="E17">
        <v>42.251004000000002</v>
      </c>
    </row>
    <row r="18" spans="2:25" x14ac:dyDescent="0.2">
      <c r="B18" t="s">
        <v>43</v>
      </c>
      <c r="C18">
        <v>41.6</v>
      </c>
      <c r="D18">
        <v>37.9</v>
      </c>
      <c r="E18">
        <v>37.443665000000003</v>
      </c>
    </row>
    <row r="19" spans="2:25" x14ac:dyDescent="0.2">
      <c r="B19" t="s">
        <v>44</v>
      </c>
      <c r="C19">
        <v>41.1</v>
      </c>
      <c r="D19">
        <v>37.299999999999997</v>
      </c>
      <c r="E19">
        <v>41.046140000000001</v>
      </c>
    </row>
    <row r="20" spans="2:25" x14ac:dyDescent="0.2">
      <c r="B20" t="s">
        <v>45</v>
      </c>
      <c r="C20">
        <v>43.7</v>
      </c>
      <c r="D20">
        <v>40.299999999999997</v>
      </c>
      <c r="E20">
        <v>44.765534000000002</v>
      </c>
    </row>
    <row r="21" spans="2:25" x14ac:dyDescent="0.2">
      <c r="B21" t="s">
        <v>46</v>
      </c>
      <c r="C21">
        <v>45.4</v>
      </c>
      <c r="D21">
        <v>43.9</v>
      </c>
      <c r="E21">
        <v>43.990313</v>
      </c>
      <c r="F21">
        <v>43.087273857179063</v>
      </c>
      <c r="G21">
        <v>46.939326405408828</v>
      </c>
      <c r="H21">
        <v>46.60617389843911</v>
      </c>
      <c r="I21">
        <v>43.086900784806588</v>
      </c>
      <c r="J21">
        <v>43.084195661072407</v>
      </c>
      <c r="K21">
        <v>46.6054502168666</v>
      </c>
      <c r="L21">
        <v>46.568647098822247</v>
      </c>
      <c r="M21">
        <v>42.40128106711694</v>
      </c>
      <c r="N21">
        <v>42.260080450853593</v>
      </c>
      <c r="O21" s="2">
        <v>-3.3039647577092553E-2</v>
      </c>
      <c r="P21" s="2">
        <v>-3.105037444933911E-2</v>
      </c>
      <c r="Q21" s="2">
        <v>-5.0941104467421623E-2</v>
      </c>
      <c r="R21" s="2">
        <v>3.3905867960546843E-2</v>
      </c>
      <c r="S21" s="2">
        <v>2.6567707014077291E-2</v>
      </c>
      <c r="T21" s="2">
        <v>-5.0949321920559683E-2</v>
      </c>
      <c r="U21" s="2">
        <v>-5.1008906143779509E-2</v>
      </c>
      <c r="V21" s="2">
        <v>2.6551766891334871E-2</v>
      </c>
      <c r="W21" s="2">
        <v>2.5741125524719299E-2</v>
      </c>
      <c r="X21" s="2">
        <v>-6.6051077816807413E-2</v>
      </c>
      <c r="Y21" s="2">
        <v>-6.9161223549480288E-2</v>
      </c>
    </row>
    <row r="22" spans="2:25" x14ac:dyDescent="0.2">
      <c r="B22" t="s">
        <v>47</v>
      </c>
      <c r="C22">
        <v>44.6</v>
      </c>
      <c r="D22">
        <v>44.7</v>
      </c>
      <c r="E22">
        <v>47.752837</v>
      </c>
      <c r="F22">
        <v>47.201061500558218</v>
      </c>
      <c r="G22">
        <v>46.886127006280553</v>
      </c>
      <c r="H22">
        <v>47.266935932870638</v>
      </c>
      <c r="I22">
        <v>47.200543303579572</v>
      </c>
      <c r="J22">
        <v>47.196563776668327</v>
      </c>
      <c r="K22">
        <v>47.139599568195649</v>
      </c>
      <c r="L22">
        <v>47.092547987028311</v>
      </c>
      <c r="M22">
        <v>45.204460895263011</v>
      </c>
      <c r="N22">
        <v>55.306536652560233</v>
      </c>
      <c r="O22" s="2">
        <v>2.2421524663678301E-3</v>
      </c>
      <c r="P22" s="2">
        <v>7.0691412556053823E-2</v>
      </c>
      <c r="Q22" s="2">
        <v>5.8319764586507013E-2</v>
      </c>
      <c r="R22" s="2">
        <v>5.1258453055617492E-2</v>
      </c>
      <c r="S22" s="2">
        <v>5.9796769795305897E-2</v>
      </c>
      <c r="T22" s="2">
        <v>5.8308145820169743E-2</v>
      </c>
      <c r="U22" s="2">
        <v>5.8218918759379568E-2</v>
      </c>
      <c r="V22" s="2">
        <v>5.694169435416252E-2</v>
      </c>
      <c r="W22" s="2">
        <v>5.5886726166554102E-2</v>
      </c>
      <c r="X22" s="2">
        <v>1.355293487136788E-2</v>
      </c>
      <c r="Y22" s="2">
        <v>0.2400568756179422</v>
      </c>
    </row>
    <row r="23" spans="2:25" x14ac:dyDescent="0.2">
      <c r="B23" t="s">
        <v>48</v>
      </c>
      <c r="C23">
        <v>44.7</v>
      </c>
      <c r="D23">
        <v>47.2</v>
      </c>
      <c r="E23">
        <v>45.818938000000003</v>
      </c>
      <c r="F23">
        <v>44.608662811706687</v>
      </c>
      <c r="G23">
        <v>47.937385435263032</v>
      </c>
      <c r="H23">
        <v>47.688886464747164</v>
      </c>
      <c r="I23">
        <v>44.51610865504307</v>
      </c>
      <c r="J23">
        <v>44.606312622156587</v>
      </c>
      <c r="K23">
        <v>47.331397922066671</v>
      </c>
      <c r="L23">
        <v>47.668681504238677</v>
      </c>
      <c r="M23">
        <v>44.133078620156752</v>
      </c>
      <c r="N23">
        <v>43.998840552690041</v>
      </c>
      <c r="O23" s="2">
        <v>5.5928411633109583E-2</v>
      </c>
      <c r="P23" s="2">
        <v>2.5032170022371458E-2</v>
      </c>
      <c r="Q23" s="2">
        <v>-2.043337545711621E-3</v>
      </c>
      <c r="R23" s="2">
        <v>7.242473009536976E-2</v>
      </c>
      <c r="S23" s="2">
        <v>6.6865469010003453E-2</v>
      </c>
      <c r="T23" s="2">
        <v>-4.1139003346070124E-3</v>
      </c>
      <c r="U23" s="2">
        <v>-2.0959144931411711E-3</v>
      </c>
      <c r="V23" s="2">
        <v>5.8867962462341612E-2</v>
      </c>
      <c r="W23" s="2">
        <v>6.641345647066399E-2</v>
      </c>
      <c r="X23" s="2">
        <v>-1.268280491819351E-2</v>
      </c>
      <c r="Y23" s="2">
        <v>-1.5685893675838058E-2</v>
      </c>
    </row>
    <row r="24" spans="2:25" x14ac:dyDescent="0.2">
      <c r="B24" t="s">
        <v>49</v>
      </c>
      <c r="C24">
        <v>46.2</v>
      </c>
      <c r="D24">
        <v>46.6</v>
      </c>
      <c r="E24">
        <v>46.722228999999999</v>
      </c>
      <c r="F24">
        <v>45.379841674588413</v>
      </c>
      <c r="G24">
        <v>46.492339813846669</v>
      </c>
      <c r="H24">
        <v>46.419103289506587</v>
      </c>
      <c r="I24">
        <v>45.379639001900117</v>
      </c>
      <c r="J24">
        <v>45.377408020922317</v>
      </c>
      <c r="K24">
        <v>46.310317117126928</v>
      </c>
      <c r="L24">
        <v>46.417173982541968</v>
      </c>
      <c r="M24">
        <v>44.610947037989213</v>
      </c>
      <c r="N24">
        <v>44.658944567890607</v>
      </c>
      <c r="O24" s="2">
        <v>8.6580086580085869E-3</v>
      </c>
      <c r="P24" s="2">
        <v>1.130365800865785E-2</v>
      </c>
      <c r="Q24" s="2">
        <v>-1.7752344705878609E-2</v>
      </c>
      <c r="R24" s="2">
        <v>6.3277015984126717E-3</v>
      </c>
      <c r="S24" s="2">
        <v>4.7424954438655131E-3</v>
      </c>
      <c r="T24" s="2">
        <v>-1.7756731560603419E-2</v>
      </c>
      <c r="U24" s="2">
        <v>-1.7805021192157659E-2</v>
      </c>
      <c r="V24" s="2">
        <v>2.3878163880286518E-3</v>
      </c>
      <c r="W24" s="2">
        <v>4.7007355528563277E-3</v>
      </c>
      <c r="X24" s="2">
        <v>-3.4395085757809467E-2</v>
      </c>
      <c r="Y24" s="2">
        <v>-3.3356178184185903E-2</v>
      </c>
    </row>
    <row r="25" spans="2:25" x14ac:dyDescent="0.2">
      <c r="B25" t="s">
        <v>50</v>
      </c>
      <c r="C25">
        <v>44.4</v>
      </c>
      <c r="D25">
        <v>44.8</v>
      </c>
      <c r="E25">
        <v>45.996594000000002</v>
      </c>
      <c r="F25">
        <v>44.926655935732207</v>
      </c>
      <c r="G25">
        <v>45.257315479965797</v>
      </c>
      <c r="H25">
        <v>45.306202067600253</v>
      </c>
      <c r="I25">
        <v>44.926512155931441</v>
      </c>
      <c r="J25">
        <v>44.924792612076388</v>
      </c>
      <c r="K25">
        <v>45.249109410196667</v>
      </c>
      <c r="L25">
        <v>45.285470322697613</v>
      </c>
      <c r="M25">
        <v>44.678264543451441</v>
      </c>
      <c r="N25">
        <v>44.589849332374229</v>
      </c>
      <c r="O25" s="2">
        <v>9.009009009008917E-3</v>
      </c>
      <c r="P25" s="2">
        <v>3.595932432432436E-2</v>
      </c>
      <c r="Q25" s="2">
        <v>1.1861620174149049E-2</v>
      </c>
      <c r="R25" s="2">
        <v>1.9308907206436961E-2</v>
      </c>
      <c r="S25" s="2">
        <v>2.0409956477483119E-2</v>
      </c>
      <c r="T25" s="2">
        <v>1.185838189034771E-2</v>
      </c>
      <c r="U25" s="2">
        <v>1.1819653425143789E-2</v>
      </c>
      <c r="V25" s="2">
        <v>1.912408581524017E-2</v>
      </c>
      <c r="W25" s="2">
        <v>1.9943025285982241E-2</v>
      </c>
      <c r="X25" s="2">
        <v>6.2672194471045106E-3</v>
      </c>
      <c r="Y25" s="2">
        <v>4.2758858642844011E-3</v>
      </c>
    </row>
    <row r="26" spans="2:25" x14ac:dyDescent="0.2">
      <c r="B26" t="s">
        <v>51</v>
      </c>
      <c r="C26">
        <v>38.1</v>
      </c>
      <c r="D26">
        <v>34.1</v>
      </c>
      <c r="E26">
        <v>38.449043000000003</v>
      </c>
      <c r="F26">
        <v>38.500275347480581</v>
      </c>
      <c r="G26">
        <v>38.286427347525859</v>
      </c>
      <c r="H26">
        <v>38.260084514775841</v>
      </c>
      <c r="I26">
        <v>38.500362902021678</v>
      </c>
      <c r="J26">
        <v>38.501524365411797</v>
      </c>
      <c r="K26">
        <v>38.294915796191823</v>
      </c>
      <c r="L26">
        <v>38.273794365187143</v>
      </c>
      <c r="M26">
        <v>39.234031633579988</v>
      </c>
      <c r="N26">
        <v>39.478262868369093</v>
      </c>
      <c r="O26" s="2">
        <v>-0.1049868766404199</v>
      </c>
      <c r="P26" s="2">
        <v>9.1612335958006774E-3</v>
      </c>
      <c r="Q26" s="2">
        <v>1.0505914632036321E-2</v>
      </c>
      <c r="R26" s="2">
        <v>4.8931062342745246E-3</v>
      </c>
      <c r="S26" s="2">
        <v>4.2016933012032354E-3</v>
      </c>
      <c r="T26" s="2">
        <v>1.050821265148771E-2</v>
      </c>
      <c r="U26" s="2">
        <v>1.0538697254902861E-2</v>
      </c>
      <c r="V26" s="2">
        <v>5.1159001625147296E-3</v>
      </c>
      <c r="W26" s="2">
        <v>4.5615318946756736E-3</v>
      </c>
      <c r="X26" s="2">
        <v>2.9764609805249091E-2</v>
      </c>
      <c r="Y26" s="2">
        <v>3.6174878434884088E-2</v>
      </c>
    </row>
    <row r="27" spans="2:25" x14ac:dyDescent="0.2">
      <c r="B27" t="s">
        <v>52</v>
      </c>
      <c r="C27">
        <v>44.3</v>
      </c>
      <c r="D27">
        <v>36.299999999999997</v>
      </c>
      <c r="E27">
        <v>42.535156999999998</v>
      </c>
      <c r="F27">
        <v>41.911139128887939</v>
      </c>
      <c r="G27">
        <v>39.676176867580828</v>
      </c>
      <c r="H27">
        <v>40.206860543005682</v>
      </c>
      <c r="I27">
        <v>41.911107541734893</v>
      </c>
      <c r="J27">
        <v>41.91065312533955</v>
      </c>
      <c r="K27">
        <v>40.272701821116478</v>
      </c>
      <c r="L27">
        <v>39.837754166415209</v>
      </c>
      <c r="M27">
        <v>42.408437842996591</v>
      </c>
      <c r="N27">
        <v>42.310491708981559</v>
      </c>
      <c r="O27" s="2">
        <v>-0.18058690744920991</v>
      </c>
      <c r="P27" s="2">
        <v>-3.9838442437923227E-2</v>
      </c>
      <c r="Q27" s="2">
        <v>-5.3924624630069078E-2</v>
      </c>
      <c r="R27" s="2">
        <v>-0.10437524000946211</v>
      </c>
      <c r="S27" s="2">
        <v>-9.2395924537117757E-2</v>
      </c>
      <c r="T27" s="2">
        <v>-5.3925337658354611E-2</v>
      </c>
      <c r="U27" s="2">
        <v>-5.3935595364795641E-2</v>
      </c>
      <c r="V27" s="2">
        <v>-9.0909665437551079E-2</v>
      </c>
      <c r="W27" s="2">
        <v>-0.1007278969206499</v>
      </c>
      <c r="X27" s="2">
        <v>-4.26989200226503E-2</v>
      </c>
      <c r="Y27" s="2">
        <v>-4.4909893702447801E-2</v>
      </c>
    </row>
    <row r="28" spans="2:25" x14ac:dyDescent="0.2">
      <c r="B28" t="s">
        <v>53</v>
      </c>
      <c r="C28">
        <v>40</v>
      </c>
      <c r="D28">
        <v>25.8</v>
      </c>
      <c r="E28">
        <v>43.599046000000001</v>
      </c>
      <c r="F28">
        <v>42.998454883824287</v>
      </c>
      <c r="G28">
        <v>33.452918536439881</v>
      </c>
      <c r="H28">
        <v>37.657170972490292</v>
      </c>
      <c r="I28">
        <v>42.998396484732723</v>
      </c>
      <c r="J28">
        <v>42.997496597689903</v>
      </c>
      <c r="K28">
        <v>37.454475065021811</v>
      </c>
      <c r="L28">
        <v>37.652508799959477</v>
      </c>
      <c r="M28">
        <v>43.377331254366098</v>
      </c>
      <c r="N28">
        <v>43.415908484704318</v>
      </c>
      <c r="O28" s="2">
        <v>-0.35499999999999998</v>
      </c>
      <c r="P28" s="2">
        <v>8.9976150000000032E-2</v>
      </c>
      <c r="Q28" s="2">
        <v>7.496137209560727E-2</v>
      </c>
      <c r="R28" s="2">
        <v>-0.16367703658900301</v>
      </c>
      <c r="S28" s="2">
        <v>-5.8570725687742693E-2</v>
      </c>
      <c r="T28" s="2">
        <v>7.4959912118317984E-2</v>
      </c>
      <c r="U28" s="2">
        <v>7.4937414942247482E-2</v>
      </c>
      <c r="V28" s="2">
        <v>-6.3638123374454736E-2</v>
      </c>
      <c r="W28" s="2">
        <v>-5.8687280001012858E-2</v>
      </c>
      <c r="X28" s="2">
        <v>8.4433281359152401E-2</v>
      </c>
      <c r="Y28" s="2">
        <v>8.5397712117607938E-2</v>
      </c>
    </row>
    <row r="29" spans="2:25" x14ac:dyDescent="0.2">
      <c r="B29" t="s">
        <v>54</v>
      </c>
      <c r="C29">
        <v>43.4</v>
      </c>
      <c r="D29">
        <v>40.1</v>
      </c>
      <c r="E29">
        <v>43.887762000000002</v>
      </c>
      <c r="F29">
        <v>43.001521789834513</v>
      </c>
      <c r="G29">
        <v>42.560800563151773</v>
      </c>
      <c r="H29">
        <v>43.035469455437578</v>
      </c>
      <c r="I29">
        <v>43.001461647682063</v>
      </c>
      <c r="J29">
        <v>42.993952489732173</v>
      </c>
      <c r="K29">
        <v>43.035431911399662</v>
      </c>
      <c r="L29">
        <v>43.034454582299588</v>
      </c>
      <c r="M29">
        <v>43.22791673952095</v>
      </c>
      <c r="N29">
        <v>43.030745884216998</v>
      </c>
      <c r="O29" s="2">
        <v>-7.6036866359446953E-2</v>
      </c>
      <c r="P29" s="2">
        <v>1.1238755760368809E-2</v>
      </c>
      <c r="Q29" s="2">
        <v>-9.1815255798498585E-3</v>
      </c>
      <c r="R29" s="2">
        <v>-1.9336392554106571E-2</v>
      </c>
      <c r="S29" s="2">
        <v>-8.3993213032815817E-3</v>
      </c>
      <c r="T29" s="2">
        <v>-9.1829113437313925E-3</v>
      </c>
      <c r="U29" s="2">
        <v>-9.3559334163093588E-3</v>
      </c>
      <c r="V29" s="2">
        <v>-8.4001863732796611E-3</v>
      </c>
      <c r="W29" s="2">
        <v>-8.4227054769679954E-3</v>
      </c>
      <c r="X29" s="2">
        <v>-3.9650520847707149E-3</v>
      </c>
      <c r="Y29" s="2">
        <v>-8.5081593498387287E-3</v>
      </c>
    </row>
    <row r="30" spans="2:25" x14ac:dyDescent="0.2">
      <c r="B30" t="s">
        <v>55</v>
      </c>
      <c r="C30">
        <v>43.4</v>
      </c>
      <c r="D30">
        <v>44</v>
      </c>
      <c r="E30">
        <v>45.860289999999999</v>
      </c>
      <c r="F30">
        <v>44.68305914195146</v>
      </c>
      <c r="G30">
        <v>44.676319912214083</v>
      </c>
      <c r="H30">
        <v>45.11057213734108</v>
      </c>
      <c r="I30">
        <v>44.682952382713729</v>
      </c>
      <c r="J30">
        <v>44.681018183002173</v>
      </c>
      <c r="K30">
        <v>45.11052475843136</v>
      </c>
      <c r="L30">
        <v>45.108740810383964</v>
      </c>
      <c r="M30">
        <v>44.428566396816763</v>
      </c>
      <c r="N30">
        <v>44.381587078931197</v>
      </c>
      <c r="O30" s="2">
        <v>1.3824884792626779E-2</v>
      </c>
      <c r="P30" s="2">
        <v>5.6688709677419347E-2</v>
      </c>
      <c r="Q30" s="2">
        <v>2.956357469934234E-2</v>
      </c>
      <c r="R30" s="2">
        <v>2.9408292908158499E-2</v>
      </c>
      <c r="S30" s="2">
        <v>3.9414104547029538E-2</v>
      </c>
      <c r="T30" s="2">
        <v>2.9561114809072201E-2</v>
      </c>
      <c r="U30" s="2">
        <v>2.951654799544157E-2</v>
      </c>
      <c r="V30" s="2">
        <v>3.9413012867081987E-2</v>
      </c>
      <c r="W30" s="2">
        <v>3.9371908073362993E-2</v>
      </c>
      <c r="X30" s="2">
        <v>2.3699686562598021E-2</v>
      </c>
      <c r="Y30" s="2">
        <v>2.261721380025827E-2</v>
      </c>
    </row>
    <row r="31" spans="2:25" x14ac:dyDescent="0.2">
      <c r="B31" t="s">
        <v>71</v>
      </c>
      <c r="C31">
        <v>46</v>
      </c>
      <c r="D31">
        <v>46</v>
      </c>
      <c r="E31">
        <v>43.580936000000001</v>
      </c>
      <c r="F31">
        <v>42.676340863277566</v>
      </c>
      <c r="G31">
        <v>45.573168335184462</v>
      </c>
      <c r="H31">
        <v>44.171420464525937</v>
      </c>
      <c r="I31">
        <v>42.676302036890327</v>
      </c>
      <c r="J31">
        <v>42.675538135918153</v>
      </c>
      <c r="K31">
        <v>44.171477584359522</v>
      </c>
      <c r="L31">
        <v>44.171097244561537</v>
      </c>
      <c r="M31">
        <v>42.979700871479388</v>
      </c>
      <c r="N31">
        <v>42.811946087258583</v>
      </c>
      <c r="O31" s="2">
        <v>0</v>
      </c>
      <c r="P31" s="2">
        <v>-5.2588347826086901E-2</v>
      </c>
      <c r="Q31" s="2">
        <v>-7.2253459493965777E-2</v>
      </c>
      <c r="R31" s="2">
        <v>-9.2789492351204039E-3</v>
      </c>
      <c r="S31" s="2">
        <v>-3.9751729032044818E-2</v>
      </c>
      <c r="T31" s="2">
        <v>-7.2254303545862264E-2</v>
      </c>
      <c r="U31" s="2">
        <v>-7.2270910088735985E-2</v>
      </c>
      <c r="V31" s="2">
        <v>-3.9750487296532078E-2</v>
      </c>
      <c r="W31" s="2">
        <v>-3.9758755553010117E-2</v>
      </c>
      <c r="X31" s="2">
        <v>-6.5658676706969676E-2</v>
      </c>
      <c r="Y31" s="2">
        <v>-6.9305519842204899E-2</v>
      </c>
    </row>
    <row r="32" spans="2:25" x14ac:dyDescent="0.2">
      <c r="C32" s="94" t="s">
        <v>148</v>
      </c>
      <c r="D32" s="94"/>
      <c r="E32" s="94"/>
      <c r="F32">
        <f>$F$31/(1+Q32)</f>
        <v>42.458235838540638</v>
      </c>
      <c r="M32" s="94" t="s">
        <v>141</v>
      </c>
      <c r="N32" s="94"/>
      <c r="O32" s="94"/>
      <c r="P32" s="94"/>
      <c r="Q32" s="1">
        <f>AVERAGE(Q21:Q30)</f>
        <v>5.1369309258711207E-3</v>
      </c>
    </row>
    <row r="33" spans="1:17" x14ac:dyDescent="0.2">
      <c r="C33" s="95" t="s">
        <v>149</v>
      </c>
      <c r="D33" s="95"/>
      <c r="E33" s="95"/>
      <c r="F33">
        <f t="shared" ref="F33:F37" si="0">$F$31/(1+Q33)</f>
        <v>42.496525800533568</v>
      </c>
      <c r="H33">
        <f>AVERAGE(F34:G34)</f>
        <v>44.957559853519498</v>
      </c>
      <c r="M33" s="95" t="s">
        <v>143</v>
      </c>
      <c r="N33" s="95"/>
      <c r="O33" s="95"/>
      <c r="P33" s="95"/>
      <c r="Q33" s="1">
        <f>MEDIAN(Q21:Q30)</f>
        <v>4.2312885431623499E-3</v>
      </c>
    </row>
    <row r="34" spans="1:17" x14ac:dyDescent="0.2">
      <c r="C34" s="96" t="s">
        <v>150</v>
      </c>
      <c r="D34" s="96"/>
      <c r="E34" s="96"/>
      <c r="F34">
        <f t="shared" si="0"/>
        <v>43.85014736489434</v>
      </c>
      <c r="G34">
        <f>$E$31/(1+MIN(Q14:Q30))</f>
        <v>46.064972342144664</v>
      </c>
      <c r="M34" s="96" t="s">
        <v>142</v>
      </c>
      <c r="N34" s="96"/>
      <c r="O34" s="96"/>
      <c r="P34" s="96"/>
      <c r="Q34" s="1">
        <f>AVERAGE(Q29,Q27,Q23:Q24,Q21)</f>
        <v>-2.6768587385786156E-2</v>
      </c>
    </row>
    <row r="35" spans="1:17" x14ac:dyDescent="0.2">
      <c r="C35" s="97" t="s">
        <v>151</v>
      </c>
      <c r="D35" s="97"/>
      <c r="E35" s="97"/>
      <c r="F35">
        <f t="shared" si="0"/>
        <v>43.447638315307238</v>
      </c>
      <c r="G35">
        <f>$E$31/(1+'2. Past Proj &amp; Candidate Model'!G47)</f>
        <v>45.243247070667742</v>
      </c>
      <c r="H35">
        <f>AVERAGE(G35:G36)</f>
        <v>45.436796593904148</v>
      </c>
      <c r="M35" s="97" t="s">
        <v>144</v>
      </c>
      <c r="N35" s="97"/>
      <c r="O35" s="97"/>
      <c r="P35" s="97"/>
      <c r="Q35" s="1">
        <f>MEDIAN(Q29,Q27,Q23:Q24,Q21)</f>
        <v>-1.7752344705878609E-2</v>
      </c>
    </row>
    <row r="36" spans="1:17" x14ac:dyDescent="0.2">
      <c r="C36" s="98" t="s">
        <v>152</v>
      </c>
      <c r="D36" s="98"/>
      <c r="E36" s="98"/>
      <c r="F36">
        <f t="shared" si="0"/>
        <v>41.151971064111002</v>
      </c>
      <c r="G36">
        <f>$E$31/(1+'2. Past Proj &amp; Candidate Model'!G48)</f>
        <v>45.630346117140547</v>
      </c>
      <c r="M36" s="98" t="s">
        <v>145</v>
      </c>
      <c r="N36" s="98"/>
      <c r="O36" s="98"/>
      <c r="P36" s="98"/>
      <c r="Q36" s="1">
        <f>AVERAGE(Q30,Q28,Q25:Q26,Q22)</f>
        <v>3.7042449237528398E-2</v>
      </c>
    </row>
    <row r="37" spans="1:17" x14ac:dyDescent="0.2">
      <c r="C37" s="99" t="s">
        <v>153</v>
      </c>
      <c r="D37" s="99"/>
      <c r="E37" s="99"/>
      <c r="F37">
        <f t="shared" si="0"/>
        <v>41.450903967479711</v>
      </c>
      <c r="G37" s="102"/>
      <c r="M37" s="99" t="s">
        <v>146</v>
      </c>
      <c r="N37" s="99"/>
      <c r="O37" s="99"/>
      <c r="P37" s="99"/>
      <c r="Q37" s="1">
        <f>MEDIAN(Q30,Q28,Q25:Q26,Q22)</f>
        <v>2.956357469934234E-2</v>
      </c>
    </row>
    <row r="40" spans="1:17" x14ac:dyDescent="0.2">
      <c r="A40" s="67" t="s">
        <v>102</v>
      </c>
      <c r="B40" t="s">
        <v>154</v>
      </c>
    </row>
    <row r="41" spans="1:17" x14ac:dyDescent="0.2">
      <c r="B41" t="s">
        <v>155</v>
      </c>
    </row>
    <row r="47" spans="1:17" x14ac:dyDescent="0.2">
      <c r="A47" s="67" t="s">
        <v>104</v>
      </c>
      <c r="B47" s="79" t="s">
        <v>156</v>
      </c>
      <c r="C47" s="80">
        <f>H33</f>
        <v>44.957559853519498</v>
      </c>
      <c r="D47" t="s">
        <v>168</v>
      </c>
    </row>
    <row r="49" spans="2:4" x14ac:dyDescent="0.2">
      <c r="B49" s="178" t="s">
        <v>164</v>
      </c>
      <c r="C49" s="178"/>
      <c r="D49" s="2">
        <f>C47/D31-1</f>
        <v>-2.2661742314793565E-2</v>
      </c>
    </row>
    <row r="50" spans="2:4" x14ac:dyDescent="0.2">
      <c r="B50" s="166" t="s">
        <v>163</v>
      </c>
      <c r="C50" s="166"/>
      <c r="D50" s="2">
        <f>'1. Data &amp; Confidence Interval'!O25</f>
        <v>-1.7270372842459823E-2</v>
      </c>
    </row>
  </sheetData>
  <mergeCells count="2">
    <mergeCell ref="B50:C50"/>
    <mergeCell ref="B49:C49"/>
  </mergeCells>
  <conditionalFormatting sqref="Q32:Q3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:W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2021-10-28T20:15:06Z</dcterms:modified>
</cp:coreProperties>
</file>