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PEN\"/>
    </mc:Choice>
  </mc:AlternateContent>
  <xr:revisionPtr revIDLastSave="0" documentId="13_ncr:1_{A2F93A06-6D2D-4750-AD97-57E79598FD31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4" l="1"/>
  <c r="I33" i="4"/>
  <c r="G33" i="4"/>
  <c r="Q36" i="4"/>
  <c r="F36" i="4" s="1"/>
  <c r="Q35" i="4"/>
  <c r="F35" i="4" s="1"/>
  <c r="Q34" i="4"/>
  <c r="F34" i="4" s="1"/>
  <c r="Q33" i="4"/>
  <c r="F33" i="4" s="1"/>
  <c r="Q32" i="4"/>
  <c r="F32" i="4" s="1"/>
  <c r="Q31" i="4"/>
  <c r="F31" i="4" s="1"/>
  <c r="J23" i="2"/>
  <c r="J22" i="2" l="1"/>
  <c r="AG24" i="1"/>
  <c r="AG23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D49" i="4"/>
  <c r="G37" i="4" l="1"/>
  <c r="L23" i="2"/>
  <c r="K23" i="2"/>
  <c r="Q23" i="2" s="1"/>
  <c r="AG26" i="1"/>
  <c r="AG25" i="1"/>
  <c r="AG22" i="1"/>
  <c r="AG21" i="1"/>
  <c r="AG20" i="1"/>
  <c r="AF10" i="1"/>
  <c r="R25" i="1"/>
  <c r="O25" i="1"/>
  <c r="R24" i="1"/>
  <c r="O24" i="1"/>
  <c r="R23" i="2"/>
  <c r="M23" i="2"/>
  <c r="N23" i="2"/>
  <c r="O23" i="2"/>
  <c r="J42" i="2"/>
  <c r="J41" i="2"/>
  <c r="J29" i="2"/>
  <c r="J30" i="2"/>
  <c r="J28" i="2"/>
  <c r="Q30" i="2"/>
  <c r="N30" i="2"/>
  <c r="O30" i="2"/>
  <c r="P24" i="2"/>
  <c r="AC18" i="1"/>
  <c r="AB18" i="1"/>
  <c r="AA18" i="1"/>
  <c r="Z18" i="1"/>
  <c r="O22" i="1"/>
  <c r="E44" i="2"/>
  <c r="E43" i="2"/>
  <c r="E42" i="2"/>
  <c r="E41" i="2"/>
  <c r="E40" i="2"/>
  <c r="E38" i="2"/>
  <c r="E37" i="2"/>
  <c r="E36" i="2"/>
  <c r="E35" i="2"/>
  <c r="E34" i="2"/>
  <c r="E33" i="2"/>
  <c r="E32" i="2"/>
  <c r="E31" i="2"/>
  <c r="E30" i="2"/>
  <c r="E29" i="2"/>
  <c r="E28" i="2"/>
  <c r="A28" i="2"/>
  <c r="B28" i="2"/>
  <c r="C28" i="2"/>
  <c r="D28" i="2"/>
  <c r="F28" i="2"/>
  <c r="G28" i="2"/>
  <c r="H28" i="2"/>
  <c r="I28" i="2"/>
  <c r="R28" i="2"/>
  <c r="A29" i="2"/>
  <c r="B29" i="2"/>
  <c r="C29" i="2"/>
  <c r="D29" i="2"/>
  <c r="F29" i="2"/>
  <c r="G29" i="2"/>
  <c r="H29" i="2"/>
  <c r="I29" i="2"/>
  <c r="L29" i="2"/>
  <c r="R29" i="2"/>
  <c r="A30" i="2"/>
  <c r="B30" i="2"/>
  <c r="C30" i="2"/>
  <c r="D30" i="2"/>
  <c r="F30" i="2"/>
  <c r="G30" i="2"/>
  <c r="H30" i="2"/>
  <c r="I30" i="2"/>
  <c r="K30" i="2"/>
  <c r="M30" i="2"/>
  <c r="P30" i="2"/>
  <c r="R30" i="2"/>
  <c r="R24" i="2"/>
  <c r="I24" i="2"/>
  <c r="H24" i="2"/>
  <c r="G24" i="2"/>
  <c r="F24" i="2"/>
  <c r="E24" i="2"/>
  <c r="L30" i="2"/>
  <c r="AE20" i="1"/>
  <c r="J39" i="2"/>
  <c r="J40" i="2"/>
  <c r="G40" i="2"/>
  <c r="H39" i="2"/>
  <c r="H40" i="2"/>
  <c r="G44" i="2"/>
  <c r="G43" i="2"/>
  <c r="G42" i="2"/>
  <c r="G41" i="2"/>
  <c r="G39" i="2"/>
  <c r="G37" i="2"/>
  <c r="G36" i="2"/>
  <c r="E39" i="2"/>
  <c r="AF18" i="1"/>
  <c r="AG18" i="1"/>
  <c r="F17" i="1"/>
  <c r="N17" i="1"/>
  <c r="M17" i="1"/>
  <c r="L17" i="1"/>
  <c r="K17" i="1"/>
  <c r="I18" i="1"/>
  <c r="H18" i="1"/>
  <c r="F18" i="1"/>
  <c r="O20" i="1"/>
  <c r="P23" i="2" l="1"/>
  <c r="J24" i="2"/>
  <c r="E46" i="2" a="1"/>
  <c r="E46" i="2" s="1"/>
  <c r="K24" i="2"/>
  <c r="E45" i="2" a="1"/>
  <c r="E45" i="2" s="1"/>
  <c r="K29" i="2"/>
  <c r="O24" i="2"/>
  <c r="N24" i="2"/>
  <c r="L24" i="2"/>
  <c r="M24" i="2"/>
  <c r="P29" i="2"/>
  <c r="N29" i="2"/>
  <c r="O29" i="2"/>
  <c r="M29" i="2"/>
  <c r="AF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Q31" i="2"/>
  <c r="P31" i="2"/>
  <c r="O31" i="2"/>
  <c r="N31" i="2"/>
  <c r="M31" i="2"/>
  <c r="L31" i="2"/>
  <c r="K31" i="2"/>
  <c r="R31" i="2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E18" i="1"/>
  <c r="AD18" i="1"/>
  <c r="O18" i="1"/>
  <c r="N18" i="1"/>
  <c r="M18" i="1"/>
  <c r="L18" i="1"/>
  <c r="K18" i="1"/>
  <c r="J18" i="1"/>
  <c r="G18" i="1"/>
  <c r="H17" i="1"/>
  <c r="G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8" i="3"/>
  <c r="E28" i="3"/>
  <c r="G48" i="2" l="1"/>
  <c r="G35" i="4" s="1"/>
  <c r="C7" i="1"/>
  <c r="H10" i="1"/>
  <c r="Q24" i="2"/>
  <c r="Q29" i="2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Y18" i="1"/>
  <c r="X18" i="1"/>
  <c r="W18" i="1"/>
  <c r="V18" i="1"/>
  <c r="U18" i="1"/>
  <c r="T18" i="1"/>
  <c r="S18" i="1"/>
  <c r="R18" i="1"/>
  <c r="Q18" i="1"/>
  <c r="P18" i="1"/>
  <c r="I17" i="1"/>
  <c r="J17" i="1"/>
  <c r="O17" i="1"/>
  <c r="P17" i="1"/>
  <c r="F24" i="3"/>
  <c r="B7" i="1" l="1"/>
  <c r="R21" i="1"/>
  <c r="R44" i="2"/>
  <c r="R43" i="2"/>
  <c r="R42" i="2"/>
  <c r="R41" i="2"/>
  <c r="R39" i="2"/>
  <c r="R38" i="2"/>
  <c r="R37" i="2"/>
  <c r="R36" i="2"/>
  <c r="R35" i="2"/>
  <c r="R34" i="2"/>
  <c r="R33" i="2"/>
  <c r="R32" i="2"/>
  <c r="I2" i="1" l="1"/>
  <c r="J2" i="1"/>
  <c r="J3" i="1"/>
  <c r="I3" i="1"/>
  <c r="H24" i="3"/>
  <c r="K2" i="1" l="1"/>
  <c r="L2" i="1" s="1"/>
  <c r="K3" i="1"/>
  <c r="L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F32" i="2"/>
  <c r="G32" i="2"/>
  <c r="H32" i="2"/>
  <c r="I32" i="2"/>
  <c r="J32" i="2"/>
  <c r="F33" i="2"/>
  <c r="G33" i="2"/>
  <c r="H33" i="2"/>
  <c r="I33" i="2"/>
  <c r="J33" i="2"/>
  <c r="F34" i="2"/>
  <c r="G34" i="2"/>
  <c r="G47" i="2" s="1"/>
  <c r="G34" i="4" s="1"/>
  <c r="H34" i="4" s="1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F42" i="2"/>
  <c r="H42" i="2"/>
  <c r="I42" i="2"/>
  <c r="F43" i="2"/>
  <c r="H43" i="2"/>
  <c r="I43" i="2"/>
  <c r="J43" i="2"/>
  <c r="F44" i="2"/>
  <c r="H44" i="2"/>
  <c r="I44" i="2"/>
  <c r="J44" i="2"/>
  <c r="G46" i="2" l="1" a="1"/>
  <c r="G46" i="2" s="1"/>
  <c r="G45" i="2" a="1"/>
  <c r="G45" i="2" s="1"/>
  <c r="Q46" i="2" a="1"/>
  <c r="Q46" i="2" s="1"/>
  <c r="Q45" i="2" a="1"/>
  <c r="Q45" i="2" s="1"/>
  <c r="P46" i="2" a="1"/>
  <c r="P46" i="2" s="1"/>
  <c r="P45" i="2" a="1"/>
  <c r="P45" i="2" s="1"/>
  <c r="O46" i="2" a="1"/>
  <c r="O46" i="2" s="1"/>
  <c r="O45" i="2" a="1"/>
  <c r="O45" i="2" s="1"/>
  <c r="F46" i="2" a="1"/>
  <c r="F46" i="2" s="1"/>
  <c r="F45" i="2" a="1"/>
  <c r="F45" i="2" s="1"/>
  <c r="N46" i="2" a="1"/>
  <c r="N46" i="2" s="1"/>
  <c r="N45" i="2" a="1"/>
  <c r="N45" i="2" s="1"/>
  <c r="L46" i="2" a="1"/>
  <c r="L46" i="2" s="1"/>
  <c r="L45" i="2" a="1"/>
  <c r="L45" i="2" s="1"/>
  <c r="M45" i="2" a="1"/>
  <c r="M45" i="2" s="1"/>
  <c r="M46" i="2" a="1"/>
  <c r="M46" i="2" s="1"/>
  <c r="K46" i="2" a="1"/>
  <c r="K46" i="2" s="1"/>
  <c r="K45" i="2" a="1"/>
  <c r="K45" i="2" s="1"/>
  <c r="J46" i="2" a="1"/>
  <c r="J46" i="2" s="1"/>
  <c r="J45" i="2" a="1"/>
  <c r="J45" i="2" s="1"/>
  <c r="R46" i="2" a="1"/>
  <c r="R46" i="2" s="1"/>
  <c r="R45" i="2" a="1"/>
  <c r="R45" i="2" s="1"/>
  <c r="I46" i="2" a="1"/>
  <c r="I46" i="2" s="1"/>
  <c r="I45" i="2" a="1"/>
  <c r="I45" i="2" s="1"/>
  <c r="H46" i="2" a="1"/>
  <c r="H46" i="2" s="1"/>
  <c r="H45" i="2" a="1"/>
  <c r="H45" i="2" s="1"/>
  <c r="AD21" i="1"/>
  <c r="S21" i="1"/>
  <c r="AE21" i="1"/>
  <c r="AA21" i="1"/>
  <c r="AE23" i="1"/>
  <c r="T21" i="1"/>
  <c r="U21" i="1"/>
  <c r="V21" i="1"/>
  <c r="U23" i="1"/>
  <c r="T23" i="1"/>
  <c r="Z23" i="1"/>
  <c r="S23" i="1"/>
  <c r="R23" i="1"/>
  <c r="AA23" i="1"/>
  <c r="W23" i="1"/>
  <c r="Y23" i="1"/>
  <c r="V23" i="1"/>
  <c r="X23" i="1"/>
  <c r="AD23" i="1"/>
  <c r="AC23" i="1"/>
  <c r="AB23" i="1"/>
  <c r="AC21" i="1"/>
  <c r="W21" i="1"/>
  <c r="X21" i="1"/>
  <c r="Y21" i="1"/>
  <c r="Z21" i="1"/>
  <c r="AB21" i="1"/>
  <c r="D48" i="4" l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<sst xmlns="http://schemas.openxmlformats.org/spreadsheetml/2006/main" count="325" uniqueCount="176">
  <si>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</si>
  <si>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</si>
  <si>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</si>
  <si>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</si>
  <si>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</si>
  <si>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</si>
  <si>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</si>
  <si>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</si>
  <si>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</si>
  <si>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</si>
  <si>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</si>
  <si>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</si>
  <si>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</si>
  <si>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</si>
  <si>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</si>
  <si>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</si>
  <si>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</si>
  <si>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</si>
  <si>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</si>
  <si>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</si>
  <si>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</si>
  <si>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</si>
  <si>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</si>
  <si>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</si>
  <si>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</si>
  <si>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</si>
  <si>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</si>
  <si>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</si>
  <si>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</si>
  <si>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</si>
  <si>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</si>
  <si>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</si>
  <si>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</si>
  <si>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</si>
  <si>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</si>
  <si>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</si>
  <si>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</si>
  <si>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</si>
  <si>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</si>
  <si>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</si>
  <si>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</si>
  <si>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</si>
  <si>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</si>
  <si>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</si>
  <si>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</si>
  <si>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</si>
  <si>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</si>
  <si>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</si>
  <si>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</si>
  <si>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</si>
  <si>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</si>
  <si>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</si>
  <si>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</si>
  <si>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</si>
  <si>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</si>
  <si>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</si>
  <si>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</si>
  <si>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</si>
  <si>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</si>
  <si>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</si>
  <si>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</si>
  <si>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</si>
  <si>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</si>
  <si>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</si>
  <si>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</si>
  <si>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</si>
  <si>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</si>
  <si>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</si>
  <si>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</si>
  <si>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</si>
  <si>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</si>
  <si>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</si>
  <si>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</si>
  <si>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</si>
  <si>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</si>
  <si>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</si>
  <si>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</si>
  <si>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</si>
  <si>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</si>
  <si>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</si>
  <si>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</si>
  <si>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</si>
  <si>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</si>
  <si>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</si>
  <si>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</si>
  <si>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</si>
  <si>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</si>
  <si>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</si>
  <si>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</si>
  <si>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</si>
  <si>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</si>
  <si>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</si>
  <si>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</si>
  <si>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</si>
  <si>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</si>
  <si>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</si>
  <si>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</si>
  <si>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</si>
  <si>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</si>
  <si>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</si>
  <si>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</si>
  <si>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</si>
  <si>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</si>
  <si>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</si>
  <si>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</si>
  <si>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Red highlights are the best performing for that dataset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</si>
  <si>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</si>
  <si>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</si>
  <si>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</si>
  <si>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</si>
  <si>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</si>
  <si>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</si>
  <si>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</si>
  <si>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</si>
  <si>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</si>
  <si>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</si>
  <si>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</si>
  <si>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</si>
  <si>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</si>
  <si>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</si>
  <si>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</si>
  <si>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</si>
  <si>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</si>
  <si>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</si>
  <si>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</si>
  <si>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</si>
  <si>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</si>
  <si>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</si>
  <si>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</si>
  <si>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</si>
  <si>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</si>
  <si>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</si>
  <si>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</si>
  <si>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</si>
  <si>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</si>
  <si>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</si>
  <si>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</si>
  <si>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</si>
  <si>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</si>
  <si>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</si>
  <si>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</si>
  <si>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</si>
  <si>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</si>
  <si>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</si>
  <si>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</si>
  <si>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</si>
  <si>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</si>
  <si>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</si>
  <si>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</si>
  <si>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</si>
  <si>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</si>
  <si>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</si>
  <si>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</si>
  <si>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</si>
  <si>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</si>
  <si>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</si>
  <si>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</si>
  <si>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</si>
  <si>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</si>
  <si>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</si>
  <si>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</si>
  <si>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</si>
  <si>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</si>
  <si>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</si>
  <si>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</si>
  <si>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</si>
  <si>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</si>
  <si>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</si>
  <si>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</si>
  <si>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2017Q2</t>
  </si>
  <si>
    <t>2017Q3</t>
  </si>
  <si>
    <t>CORRELATION</t>
  </si>
  <si>
    <t>SS NO LR</t>
  </si>
  <si>
    <t>PEN_PERI</t>
  </si>
  <si>
    <t>Peripheral</t>
  </si>
  <si>
    <t>SS NO LR RM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</si>
</sst>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"/>
    <numFmt numFmtId="166" formatCode="0.0000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61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18" borderId="0" applyNumberFormat="0" applyBorder="0" applyAlignment="0" applyProtection="0"/>
  </cellStyleXfs>
  <cellXfs count="181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5" fontId="6" fillId="0" borderId="11" xfId="0" applyNumberFormat="1" applyFont="1" applyFill="1" applyBorder="1" applyAlignment="1">
      <alignment horizontal="center" vertical="center"/>
    </xf>
    <xf numFmtId="165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5" fontId="0" fillId="0" borderId="0" xfId="0" applyNumberFormat="1" applyBorder="1"/>
    <xf numFmtId="165" fontId="0" fillId="0" borderId="11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5" fontId="0" fillId="2" borderId="0" xfId="0" applyNumberFormat="1" applyFill="1"/>
    <xf numFmtId="164" fontId="0" fillId="0" borderId="1" xfId="0" applyNumberFormat="1" applyBorder="1"/>
    <xf numFmtId="4" fontId="0" fillId="0" borderId="0" xfId="0" applyNumberFormat="1"/>
    <xf numFmtId="165" fontId="0" fillId="0" borderId="10" xfId="0" applyNumberFormat="1" applyBorder="1"/>
    <xf numFmtId="165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0" fontId="8" fillId="0" borderId="0" xfId="0" applyFont="1" applyBorder="1" applyAlignment="1">
      <alignment horizontal="center" vertical="top"/>
    </xf>
    <xf numFmtId="0" fontId="0" fillId="10" borderId="6" xfId="0" applyFill="1" applyBorder="1" applyAlignment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5" fontId="0" fillId="0" borderId="0" xfId="0" applyNumberFormat="1"/>
    <xf numFmtId="166" fontId="4" fillId="0" borderId="3" xfId="0" applyNumberFormat="1" applyFont="1" applyBorder="1"/>
    <xf numFmtId="166" fontId="2" fillId="0" borderId="3" xfId="0" applyNumberFormat="1" applyFont="1" applyBorder="1"/>
    <xf numFmtId="0" fontId="0" fillId="6" borderId="5" xfId="0" applyFill="1" applyBorder="1"/>
    <xf numFmtId="164" fontId="0" fillId="0" borderId="1" xfId="1" applyNumberFormat="1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18" borderId="0" xfId="2"/>
    <xf numFmtId="0" fontId="2" fillId="18" borderId="0" xfId="2" applyFont="1"/>
    <xf numFmtId="43" fontId="0" fillId="0" borderId="0" xfId="0" applyNumberFormat="1"/>
    <xf numFmtId="43" fontId="10" fillId="18" borderId="0" xfId="2" applyNumberFormat="1"/>
    <xf numFmtId="164" fontId="0" fillId="0" borderId="0" xfId="1" quotePrefix="1" applyNumberFormat="1" applyFont="1"/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H29"/>
  <sheetViews>
    <sheetView zoomScale="70" zoomScaleNormal="70" workbookViewId="0">
      <selection activeCell="O15" sqref="O15:AE15"/>
    </sheetView>
  </sheetViews>
  <sheetFormatPr defaultRowHeight="12.75" x14ac:dyDescent="0.2"/>
  <cols>
    <col min="1" max="1" width="17.85546875" bestFit="1" customWidth="1"/>
    <col min="2" max="3" width="17.85546875" customWidth="1"/>
    <col min="4" max="4" width="12.5703125" customWidth="1"/>
    <col min="5" max="5" width="11.7109375" customWidth="1"/>
    <col min="6" max="31" width="10.7109375" customWidth="1"/>
    <col min="32" max="32" width="17.85546875" customWidth="1"/>
    <col min="33" max="34" width="10.7109375" customWidth="1"/>
  </cols>
  <sheetData>
    <row r="1" spans="1:33" x14ac:dyDescent="0.2">
      <c r="A1" s="133" t="s">
        <v>173</v>
      </c>
      <c r="B1" s="134"/>
      <c r="C1" s="135"/>
      <c r="G1" s="142" t="s">
        <v>35</v>
      </c>
      <c r="H1" s="143"/>
      <c r="I1" s="61" t="s">
        <v>31</v>
      </c>
      <c r="J1" s="61" t="s">
        <v>32</v>
      </c>
      <c r="K1" s="4" t="s">
        <v>39</v>
      </c>
      <c r="L1" s="144" t="s">
        <v>41</v>
      </c>
      <c r="M1" s="145"/>
    </row>
    <row r="2" spans="1:33" x14ac:dyDescent="0.2">
      <c r="A2" s="136"/>
      <c r="B2" s="137"/>
      <c r="C2" s="138"/>
      <c r="G2" s="59" t="s">
        <v>37</v>
      </c>
      <c r="H2" s="60"/>
      <c r="I2" s="62">
        <f>$B$7*($AG$25-2*$AG$26)</f>
        <v>78.912672021217219</v>
      </c>
      <c r="J2" s="62">
        <f>$B$7*($AG$25+2*$AG$26)</f>
        <v>86.194908421964058</v>
      </c>
      <c r="K2" s="64">
        <f>AVERAGE(I2:J2)</f>
        <v>82.553790221590646</v>
      </c>
      <c r="L2" s="146">
        <f>$K$2/AB14-1</f>
        <v>0.26229037036071312</v>
      </c>
      <c r="M2" s="147"/>
    </row>
    <row r="3" spans="1:33" x14ac:dyDescent="0.2">
      <c r="A3" s="139"/>
      <c r="B3" s="140"/>
      <c r="C3" s="141"/>
      <c r="G3" s="45" t="s">
        <v>38</v>
      </c>
      <c r="H3" s="19"/>
      <c r="I3" s="63">
        <f>$C$7*($AG$25-2*$AG$26)</f>
        <v>80.008681354845223</v>
      </c>
      <c r="J3" s="63">
        <f>$C$7*($AG$25+2*$AG$26)</f>
        <v>87.392059927824675</v>
      </c>
      <c r="K3" s="65">
        <f>AVERAGE(I3:J3)</f>
        <v>83.700370641334956</v>
      </c>
      <c r="L3" s="113">
        <f>$K$3/AB15-1</f>
        <v>0.27982218106016732</v>
      </c>
      <c r="M3" s="114"/>
    </row>
    <row r="4" spans="1:33" x14ac:dyDescent="0.2">
      <c r="A4" s="50"/>
      <c r="B4" s="50"/>
      <c r="C4" s="50"/>
      <c r="J4" s="4" t="s">
        <v>40</v>
      </c>
      <c r="K4" s="65">
        <f>AVERAGE(K2:K3)</f>
        <v>83.127080431462801</v>
      </c>
      <c r="L4" s="113">
        <f>$K$4/AB15-1</f>
        <v>0.27105627571044022</v>
      </c>
      <c r="M4" s="114"/>
    </row>
    <row r="5" spans="1:33" x14ac:dyDescent="0.2">
      <c r="A5" s="58" t="s">
        <v>34</v>
      </c>
      <c r="B5" s="48" t="s">
        <v>31</v>
      </c>
      <c r="C5" s="49" t="s">
        <v>32</v>
      </c>
    </row>
    <row r="6" spans="1:33" ht="15.75" x14ac:dyDescent="0.25">
      <c r="A6" s="52" t="s">
        <v>33</v>
      </c>
      <c r="B6" s="56">
        <v>720</v>
      </c>
      <c r="C6" s="57">
        <v>730</v>
      </c>
    </row>
    <row r="7" spans="1:33" ht="14.25" x14ac:dyDescent="0.2">
      <c r="A7" s="53" t="s">
        <v>36</v>
      </c>
      <c r="B7" s="54">
        <f>B6*$AG$24</f>
        <v>327.65351108269664</v>
      </c>
      <c r="C7" s="55">
        <f>C6*$AG$24</f>
        <v>332.20425429217852</v>
      </c>
    </row>
    <row r="10" spans="1:33" x14ac:dyDescent="0.2">
      <c r="F10" s="155" t="s">
        <v>15</v>
      </c>
      <c r="G10" s="155"/>
      <c r="H10" s="35">
        <f>AVERAGE(F13:AF13)</f>
        <v>1.463447565376806</v>
      </c>
      <c r="AC10" s="155" t="s">
        <v>16</v>
      </c>
      <c r="AD10" s="155"/>
      <c r="AE10" s="155"/>
      <c r="AF10" s="81">
        <f>AVERAGE(AF13,AA13:AD13)</f>
        <v>1.3342647241473791</v>
      </c>
    </row>
    <row r="11" spans="1:33" x14ac:dyDescent="0.2">
      <c r="A11" s="51" t="s">
        <v>6</v>
      </c>
      <c r="B11" s="115">
        <v>2012</v>
      </c>
      <c r="C11" s="116"/>
      <c r="D11" s="116"/>
      <c r="E11" s="117"/>
      <c r="F11" s="127">
        <v>2015</v>
      </c>
      <c r="G11" s="128"/>
      <c r="H11" s="128"/>
      <c r="I11" s="129"/>
      <c r="J11" s="127">
        <v>2016</v>
      </c>
      <c r="K11" s="128"/>
      <c r="L11" s="128"/>
      <c r="M11" s="129"/>
      <c r="N11" s="130">
        <v>2017</v>
      </c>
      <c r="O11" s="131"/>
      <c r="P11" s="131"/>
      <c r="Q11" s="132"/>
      <c r="R11" s="120">
        <v>2018</v>
      </c>
      <c r="S11" s="121"/>
      <c r="T11" s="121"/>
      <c r="U11" s="122"/>
      <c r="V11" s="157">
        <v>2019</v>
      </c>
      <c r="W11" s="158"/>
      <c r="X11" s="158"/>
      <c r="Y11" s="159"/>
      <c r="Z11" s="160">
        <v>2020</v>
      </c>
      <c r="AA11" s="161"/>
      <c r="AB11" s="161"/>
      <c r="AC11" s="162"/>
      <c r="AD11" s="127">
        <v>2021</v>
      </c>
      <c r="AE11" s="128"/>
      <c r="AF11" s="128"/>
      <c r="AG11" s="129"/>
    </row>
    <row r="12" spans="1:33" x14ac:dyDescent="0.2">
      <c r="A12" s="14" t="s">
        <v>19</v>
      </c>
      <c r="B12" s="105" t="s">
        <v>20</v>
      </c>
      <c r="C12" s="105" t="s">
        <v>3</v>
      </c>
      <c r="D12" s="105" t="s">
        <v>4</v>
      </c>
      <c r="E12" s="105" t="s">
        <v>5</v>
      </c>
      <c r="F12" s="21" t="s">
        <v>20</v>
      </c>
      <c r="G12" s="22" t="s">
        <v>3</v>
      </c>
      <c r="H12" s="22" t="s">
        <v>4</v>
      </c>
      <c r="I12" s="22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3" t="s">
        <v>20</v>
      </c>
      <c r="O12" s="24" t="s">
        <v>3</v>
      </c>
      <c r="P12" s="24" t="s">
        <v>4</v>
      </c>
      <c r="Q12" s="24" t="s">
        <v>5</v>
      </c>
      <c r="R12" s="25" t="s">
        <v>20</v>
      </c>
      <c r="S12" s="26" t="s">
        <v>3</v>
      </c>
      <c r="T12" s="26" t="s">
        <v>4</v>
      </c>
      <c r="U12" s="26" t="s">
        <v>5</v>
      </c>
      <c r="V12" s="27" t="s">
        <v>20</v>
      </c>
      <c r="W12" s="28" t="s">
        <v>3</v>
      </c>
      <c r="X12" s="28" t="s">
        <v>4</v>
      </c>
      <c r="Y12" s="28" t="s">
        <v>5</v>
      </c>
      <c r="Z12" s="29" t="s">
        <v>20</v>
      </c>
      <c r="AA12" s="20" t="s">
        <v>3</v>
      </c>
      <c r="AB12" s="20" t="s">
        <v>4</v>
      </c>
      <c r="AC12" s="20" t="s">
        <v>5</v>
      </c>
      <c r="AD12" s="37" t="s">
        <v>20</v>
      </c>
      <c r="AE12" s="38" t="s">
        <v>3</v>
      </c>
      <c r="AF12" s="39" t="s">
        <v>21</v>
      </c>
      <c r="AG12" s="30" t="s">
        <v>22</v>
      </c>
    </row>
    <row r="13" spans="1:33" x14ac:dyDescent="0.2">
      <c r="A13" s="34" t="s">
        <v>2</v>
      </c>
      <c r="B13" s="106"/>
      <c r="C13" s="106"/>
      <c r="D13" s="106"/>
      <c r="E13" s="106"/>
      <c r="F13" s="85"/>
      <c r="G13" s="85"/>
      <c r="H13" s="85"/>
      <c r="I13" s="85"/>
      <c r="J13" s="85">
        <f t="shared" ref="J13:AE13" si="0">J15/F15</f>
        <v>2.1690140845070425</v>
      </c>
      <c r="K13" s="85">
        <f t="shared" si="0"/>
        <v>2.4078947368421053</v>
      </c>
      <c r="L13" s="85">
        <f t="shared" si="0"/>
        <v>1.3481481481481481</v>
      </c>
      <c r="M13" s="85">
        <f t="shared" si="0"/>
        <v>1.3958333333333335</v>
      </c>
      <c r="N13" s="85">
        <f t="shared" si="0"/>
        <v>1.3116883116883116</v>
      </c>
      <c r="O13" s="85">
        <f t="shared" si="0"/>
        <v>1.1530054644808743</v>
      </c>
      <c r="P13" s="85">
        <f t="shared" si="0"/>
        <v>1.197802197802198</v>
      </c>
      <c r="Q13" s="85">
        <f t="shared" si="0"/>
        <v>1.2039800995024874</v>
      </c>
      <c r="R13" s="85">
        <f t="shared" si="0"/>
        <v>1.2722772277227723</v>
      </c>
      <c r="S13" s="85">
        <f t="shared" si="0"/>
        <v>1.3838862559241705</v>
      </c>
      <c r="T13" s="85">
        <f t="shared" si="0"/>
        <v>1.440366972477064</v>
      </c>
      <c r="U13" s="85">
        <f t="shared" si="0"/>
        <v>1.4917355371900827</v>
      </c>
      <c r="V13" s="85">
        <f t="shared" si="0"/>
        <v>1.4202334630350195</v>
      </c>
      <c r="W13" s="85">
        <f t="shared" si="0"/>
        <v>1.4315068493150684</v>
      </c>
      <c r="X13" s="85">
        <f t="shared" si="0"/>
        <v>1.4522292993630574</v>
      </c>
      <c r="Y13" s="85">
        <f t="shared" si="0"/>
        <v>1.3822714681440442</v>
      </c>
      <c r="Z13" s="85">
        <f t="shared" si="0"/>
        <v>1.3890410958904111</v>
      </c>
      <c r="AA13" s="85">
        <f t="shared" si="0"/>
        <v>0.9425837320574163</v>
      </c>
      <c r="AB13" s="85">
        <f t="shared" si="0"/>
        <v>1.4342105263157896</v>
      </c>
      <c r="AC13" s="85">
        <f t="shared" si="0"/>
        <v>1.5390781563126252</v>
      </c>
      <c r="AD13" s="85">
        <f t="shared" si="0"/>
        <v>1.4970414201183433</v>
      </c>
      <c r="AE13" s="85">
        <f t="shared" si="0"/>
        <v>2.1370558375634521</v>
      </c>
      <c r="AF13" s="85">
        <f>AF14/AB14</f>
        <v>1.2584097859327215</v>
      </c>
      <c r="AG13" s="31"/>
    </row>
    <row r="14" spans="1:33" x14ac:dyDescent="0.2">
      <c r="A14" s="15" t="s">
        <v>0</v>
      </c>
      <c r="B14" s="6"/>
      <c r="C14" s="6"/>
      <c r="D14" s="6"/>
      <c r="E14" s="6"/>
      <c r="F14" s="9">
        <v>7.1</v>
      </c>
      <c r="G14" s="6">
        <v>7.6</v>
      </c>
      <c r="H14" s="6">
        <v>13.5</v>
      </c>
      <c r="I14" s="6">
        <v>14.4</v>
      </c>
      <c r="J14" s="9">
        <v>15.4</v>
      </c>
      <c r="K14" s="6">
        <v>18.3</v>
      </c>
      <c r="L14" s="6">
        <v>18.2</v>
      </c>
      <c r="M14" s="6">
        <v>20.100000000000001</v>
      </c>
      <c r="N14" s="9">
        <v>20.2</v>
      </c>
      <c r="O14" s="6">
        <v>21.1</v>
      </c>
      <c r="P14" s="6">
        <v>21.8</v>
      </c>
      <c r="Q14" s="6">
        <v>24.2</v>
      </c>
      <c r="R14" s="9">
        <v>25.7</v>
      </c>
      <c r="S14" s="6">
        <v>29.2</v>
      </c>
      <c r="T14" s="6">
        <v>31.4</v>
      </c>
      <c r="U14" s="6">
        <v>36.1</v>
      </c>
      <c r="V14" s="9">
        <v>36.5</v>
      </c>
      <c r="W14" s="6">
        <v>40.6</v>
      </c>
      <c r="X14" s="6">
        <v>44.8</v>
      </c>
      <c r="Y14" s="6">
        <v>46.3</v>
      </c>
      <c r="Z14" s="9">
        <v>50.7</v>
      </c>
      <c r="AA14" s="6">
        <v>39.4</v>
      </c>
      <c r="AB14" s="6">
        <v>65.400000000000006</v>
      </c>
      <c r="AC14" s="6">
        <v>76.8</v>
      </c>
      <c r="AD14" s="6">
        <v>75.900000000000006</v>
      </c>
      <c r="AE14" s="6">
        <v>84.2</v>
      </c>
      <c r="AF14" s="6">
        <v>82.3</v>
      </c>
      <c r="AG14" s="6">
        <v>88.4</v>
      </c>
    </row>
    <row r="15" spans="1:33" x14ac:dyDescent="0.2">
      <c r="A15" s="15" t="s">
        <v>1</v>
      </c>
      <c r="B15" s="6"/>
      <c r="C15" s="6"/>
      <c r="D15" s="6"/>
      <c r="E15" s="6"/>
      <c r="F15" s="9">
        <v>7.1</v>
      </c>
      <c r="G15" s="6">
        <v>7.6</v>
      </c>
      <c r="H15" s="6">
        <v>13.5</v>
      </c>
      <c r="I15" s="6">
        <v>14.4</v>
      </c>
      <c r="J15" s="9">
        <v>15.4</v>
      </c>
      <c r="K15" s="6">
        <v>18.3</v>
      </c>
      <c r="L15" s="6">
        <v>18.2</v>
      </c>
      <c r="M15" s="6">
        <v>20.100000000000001</v>
      </c>
      <c r="N15" s="9">
        <v>20.2</v>
      </c>
      <c r="O15" s="6">
        <v>21.1</v>
      </c>
      <c r="P15" s="6">
        <v>21.8</v>
      </c>
      <c r="Q15" s="6">
        <v>24.2</v>
      </c>
      <c r="R15" s="9">
        <v>25.7</v>
      </c>
      <c r="S15" s="6">
        <v>29.2</v>
      </c>
      <c r="T15" s="6">
        <v>31.4</v>
      </c>
      <c r="U15" s="6">
        <v>36.1</v>
      </c>
      <c r="V15" s="9">
        <v>36.5</v>
      </c>
      <c r="W15" s="6">
        <v>41.8</v>
      </c>
      <c r="X15" s="6">
        <v>45.6</v>
      </c>
      <c r="Y15" s="6">
        <v>49.9</v>
      </c>
      <c r="Z15" s="9">
        <v>50.7</v>
      </c>
      <c r="AA15" s="6">
        <v>39.4</v>
      </c>
      <c r="AB15" s="6">
        <v>65.400000000000006</v>
      </c>
      <c r="AC15" s="6">
        <v>76.8</v>
      </c>
      <c r="AD15" s="9">
        <v>75.900000000000006</v>
      </c>
      <c r="AE15" s="6">
        <v>84.2</v>
      </c>
      <c r="AF15" s="9"/>
      <c r="AG15" s="10"/>
    </row>
    <row r="16" spans="1:33" x14ac:dyDescent="0.2">
      <c r="A16" s="15" t="s">
        <v>157</v>
      </c>
      <c r="B16" s="9"/>
      <c r="C16" s="9"/>
      <c r="D16" s="9"/>
      <c r="E16" s="9"/>
      <c r="F16" s="9">
        <v>39</v>
      </c>
      <c r="G16" s="6">
        <v>42.3</v>
      </c>
      <c r="H16" s="6">
        <v>50.4</v>
      </c>
      <c r="I16" s="10">
        <v>54.4</v>
      </c>
      <c r="J16" s="9">
        <v>57.9</v>
      </c>
      <c r="K16" s="6">
        <v>65.099999999999994</v>
      </c>
      <c r="L16" s="6">
        <v>67.2</v>
      </c>
      <c r="M16" s="10">
        <v>73.099999999999994</v>
      </c>
      <c r="N16" s="9">
        <v>73.2</v>
      </c>
      <c r="O16" s="6">
        <v>80.599999999999994</v>
      </c>
      <c r="P16" s="6">
        <v>83.9</v>
      </c>
      <c r="Q16" s="10">
        <v>96.1</v>
      </c>
      <c r="R16" s="9">
        <v>102.7</v>
      </c>
      <c r="S16" s="6">
        <v>109.6</v>
      </c>
      <c r="T16" s="6">
        <v>111.8</v>
      </c>
      <c r="U16" s="10">
        <v>120.8</v>
      </c>
      <c r="V16" s="9">
        <v>128.4</v>
      </c>
      <c r="W16" s="6">
        <v>134.19999999999999</v>
      </c>
      <c r="X16" s="6">
        <v>139.5</v>
      </c>
      <c r="Y16" s="10">
        <v>145.30000000000001</v>
      </c>
      <c r="Z16" s="6">
        <v>137.30000000000001</v>
      </c>
      <c r="AA16" s="6">
        <v>105.1</v>
      </c>
      <c r="AB16" s="10">
        <v>151.1</v>
      </c>
      <c r="AC16" s="9">
        <v>166.9</v>
      </c>
      <c r="AD16">
        <v>169.2</v>
      </c>
      <c r="AE16" s="82">
        <v>184.3</v>
      </c>
      <c r="AF16">
        <v>181</v>
      </c>
      <c r="AG16" s="10"/>
    </row>
    <row r="17" spans="1:34" x14ac:dyDescent="0.2">
      <c r="A17" s="86" t="s">
        <v>18</v>
      </c>
      <c r="B17" s="87"/>
      <c r="C17" s="87"/>
      <c r="D17" s="87"/>
      <c r="E17" s="87"/>
      <c r="F17" s="87">
        <f t="shared" ref="F17:H17" si="1">F15/F16</f>
        <v>0.18205128205128204</v>
      </c>
      <c r="G17" s="87">
        <f t="shared" si="1"/>
        <v>0.17966903073286053</v>
      </c>
      <c r="H17" s="87">
        <f t="shared" si="1"/>
        <v>0.26785714285714285</v>
      </c>
      <c r="I17" s="87">
        <f t="shared" ref="I17:P17" si="2">I15/I16</f>
        <v>0.26470588235294118</v>
      </c>
      <c r="J17" s="87">
        <f t="shared" si="2"/>
        <v>0.26597582037996548</v>
      </c>
      <c r="K17" s="87">
        <f>K15/K16</f>
        <v>0.2811059907834102</v>
      </c>
      <c r="L17" s="87">
        <f>L15/L16</f>
        <v>0.27083333333333331</v>
      </c>
      <c r="M17" s="87">
        <f>M15/M16</f>
        <v>0.27496580027359785</v>
      </c>
      <c r="N17" s="87">
        <f>N15/N16</f>
        <v>0.27595628415300544</v>
      </c>
      <c r="O17" s="87">
        <f t="shared" si="2"/>
        <v>0.26178660049627794</v>
      </c>
      <c r="P17" s="87">
        <f t="shared" si="2"/>
        <v>0.25983313468414776</v>
      </c>
      <c r="Q17" s="87">
        <f t="shared" ref="Q17:AE17" si="3">Q15/Q16</f>
        <v>0.2518210197710718</v>
      </c>
      <c r="R17" s="87">
        <f t="shared" si="3"/>
        <v>0.25024342745861733</v>
      </c>
      <c r="S17" s="87">
        <f t="shared" si="3"/>
        <v>0.26642335766423358</v>
      </c>
      <c r="T17" s="87">
        <f t="shared" si="3"/>
        <v>0.28085867620751342</v>
      </c>
      <c r="U17" s="87">
        <f t="shared" si="3"/>
        <v>0.29884105960264901</v>
      </c>
      <c r="V17" s="87">
        <f t="shared" si="3"/>
        <v>0.28426791277258567</v>
      </c>
      <c r="W17" s="87">
        <f t="shared" si="3"/>
        <v>0.31147540983606559</v>
      </c>
      <c r="X17" s="87">
        <f t="shared" si="3"/>
        <v>0.32688172043010755</v>
      </c>
      <c r="Y17" s="87">
        <f t="shared" si="3"/>
        <v>0.34342739160357877</v>
      </c>
      <c r="Z17" s="87">
        <f t="shared" si="3"/>
        <v>0.36926438455935906</v>
      </c>
      <c r="AA17" s="87">
        <f t="shared" si="3"/>
        <v>0.37488106565176021</v>
      </c>
      <c r="AB17" s="87">
        <f t="shared" si="3"/>
        <v>0.43282594308405037</v>
      </c>
      <c r="AC17" s="87">
        <f t="shared" si="3"/>
        <v>0.46015578190533252</v>
      </c>
      <c r="AD17" s="87">
        <f t="shared" si="3"/>
        <v>0.44858156028368801</v>
      </c>
      <c r="AE17" s="87">
        <f t="shared" si="3"/>
        <v>0.4568638090070537</v>
      </c>
      <c r="AF17" s="88">
        <f>AF14/AF16</f>
        <v>0.45469613259668507</v>
      </c>
      <c r="AG17" s="89"/>
    </row>
    <row r="18" spans="1:34" x14ac:dyDescent="0.2">
      <c r="A18" s="86" t="s">
        <v>24</v>
      </c>
      <c r="B18" s="87"/>
      <c r="C18" s="87"/>
      <c r="D18" s="87"/>
      <c r="E18" s="90"/>
      <c r="F18" s="87">
        <f>F15/SUM(F15:I15)</f>
        <v>0.16666666666666666</v>
      </c>
      <c r="G18" s="87">
        <f>G15/SUM(F15:I15)</f>
        <v>0.17840375586854459</v>
      </c>
      <c r="H18" s="87">
        <f>H15/SUM(F15:I15)</f>
        <v>0.31690140845070419</v>
      </c>
      <c r="I18" s="90">
        <f>I15/SUM(F15:I15)</f>
        <v>0.3380281690140845</v>
      </c>
      <c r="J18" s="87">
        <f>J15/SUM(J15:M15)</f>
        <v>0.21388888888888891</v>
      </c>
      <c r="K18" s="87">
        <f>K15/SUM(J15:M15)</f>
        <v>0.25416666666666665</v>
      </c>
      <c r="L18" s="87">
        <f>L15/SUM(J15:M15)</f>
        <v>0.25277777777777777</v>
      </c>
      <c r="M18" s="90">
        <f>M15/SUM(J15:M15)</f>
        <v>0.27916666666666667</v>
      </c>
      <c r="N18" s="87">
        <f>N15/SUM(N15:Q15)</f>
        <v>0.2313860252004582</v>
      </c>
      <c r="O18" s="87">
        <f>O15/SUM(N15:Q15)</f>
        <v>0.24169530355097368</v>
      </c>
      <c r="P18" s="87">
        <f>P15/SUM(N15:Q15)</f>
        <v>0.24971363115693015</v>
      </c>
      <c r="Q18" s="90">
        <f>Q15/SUM(N15:Q15)</f>
        <v>0.27720504009163804</v>
      </c>
      <c r="R18" s="87">
        <f>R15/SUM(R15:U15)</f>
        <v>0.20996732026143788</v>
      </c>
      <c r="S18" s="87">
        <f>S15/SUM(R15:U15)</f>
        <v>0.23856209150326796</v>
      </c>
      <c r="T18" s="87">
        <f>T15/SUM(R15:U15)</f>
        <v>0.25653594771241828</v>
      </c>
      <c r="U18" s="90">
        <f>U15/SUM(R15:U15)</f>
        <v>0.29493464052287582</v>
      </c>
      <c r="V18" s="87">
        <f>V15/SUM(V15:Y15)</f>
        <v>0.21001150747986189</v>
      </c>
      <c r="W18" s="87">
        <f>W15/SUM(V15:Y15)</f>
        <v>0.24050632911392403</v>
      </c>
      <c r="X18" s="87">
        <f>X15/SUM(V15:Y15)</f>
        <v>0.26237054085155348</v>
      </c>
      <c r="Y18" s="90">
        <f>Y15/SUM(V15:Y15)</f>
        <v>0.28711162255466049</v>
      </c>
      <c r="Z18" s="87">
        <f>Z15/SUM(Z15:AC15)</f>
        <v>0.21825226000860956</v>
      </c>
      <c r="AA18" s="87">
        <f>AA15/SUM(Z15:AC15)</f>
        <v>0.16960826517434352</v>
      </c>
      <c r="AB18" s="87">
        <f>AB15/SUM(Z15:AC15)</f>
        <v>0.2815325010761946</v>
      </c>
      <c r="AC18" s="90">
        <f>AC15/SUM(Z15:AC15)</f>
        <v>0.33060697374085229</v>
      </c>
      <c r="AD18" s="87">
        <f>AD15/SUM(AD15:AE15,AF14:AG14)</f>
        <v>0.22944377267230953</v>
      </c>
      <c r="AE18" s="87">
        <f>AE15/SUM(AD15:AE15,AF14:AG14)</f>
        <v>0.25453446191051993</v>
      </c>
      <c r="AF18" s="87">
        <f>AF14/SUM(AD15:AE15,AF14:AG14)</f>
        <v>0.24879081015719462</v>
      </c>
      <c r="AG18" s="90">
        <f>AG14/SUM(AD15:AE15,AF14:AG14)</f>
        <v>0.26723095525997576</v>
      </c>
      <c r="AH18" s="3"/>
    </row>
    <row r="19" spans="1:34" x14ac:dyDescent="0.2">
      <c r="A19" s="16" t="s">
        <v>17</v>
      </c>
      <c r="B19" s="12"/>
      <c r="C19" s="12"/>
      <c r="D19" s="12"/>
      <c r="E19" s="12"/>
      <c r="F19" s="11"/>
      <c r="G19" s="12"/>
      <c r="H19" s="12"/>
      <c r="I19" s="6"/>
      <c r="J19" s="9"/>
      <c r="K19" s="12"/>
      <c r="L19" s="12"/>
      <c r="M19" s="6"/>
      <c r="N19" s="83"/>
      <c r="O19" s="83">
        <v>23.7</v>
      </c>
      <c r="P19" s="83">
        <v>24.3</v>
      </c>
      <c r="Q19" s="83">
        <v>26.8</v>
      </c>
      <c r="R19" s="83">
        <v>25.8</v>
      </c>
      <c r="S19" s="63">
        <v>28.5</v>
      </c>
      <c r="T19" s="63">
        <v>28.9</v>
      </c>
      <c r="U19" s="63">
        <v>33.799999999999997</v>
      </c>
      <c r="V19" s="83">
        <v>36.299999999999997</v>
      </c>
      <c r="W19" s="63">
        <v>39.6</v>
      </c>
      <c r="X19" s="63">
        <v>39.200000000000003</v>
      </c>
      <c r="Y19" s="63">
        <v>45.6</v>
      </c>
      <c r="Z19" s="83">
        <v>40.6</v>
      </c>
      <c r="AA19" s="63">
        <v>27.6</v>
      </c>
      <c r="AB19" s="63">
        <v>45.8</v>
      </c>
      <c r="AC19" s="63">
        <v>71.099999999999994</v>
      </c>
      <c r="AD19" s="83">
        <v>71.7</v>
      </c>
      <c r="AE19" s="63">
        <v>76.2</v>
      </c>
      <c r="AF19" s="84"/>
      <c r="AG19" s="13"/>
    </row>
    <row r="20" spans="1:34" x14ac:dyDescent="0.2">
      <c r="F20" s="7"/>
      <c r="G20" s="7"/>
      <c r="H20" s="7"/>
      <c r="I20" s="7"/>
      <c r="J20" s="7"/>
      <c r="K20" s="7"/>
      <c r="L20" s="7"/>
      <c r="M20" s="123" t="s">
        <v>7</v>
      </c>
      <c r="N20" s="124"/>
      <c r="O20" s="7">
        <f t="shared" ref="O20:AD20" si="4">IF(O15&gt;O19,1,0)</f>
        <v>0</v>
      </c>
      <c r="P20" s="7">
        <f t="shared" si="4"/>
        <v>0</v>
      </c>
      <c r="Q20" s="7">
        <f t="shared" si="4"/>
        <v>0</v>
      </c>
      <c r="R20" s="7">
        <f t="shared" si="4"/>
        <v>0</v>
      </c>
      <c r="S20" s="7">
        <f t="shared" si="4"/>
        <v>1</v>
      </c>
      <c r="T20" s="7">
        <f t="shared" si="4"/>
        <v>1</v>
      </c>
      <c r="U20" s="7">
        <f t="shared" si="4"/>
        <v>1</v>
      </c>
      <c r="V20" s="7">
        <f t="shared" si="4"/>
        <v>1</v>
      </c>
      <c r="W20" s="7">
        <f t="shared" si="4"/>
        <v>1</v>
      </c>
      <c r="X20" s="7">
        <f t="shared" si="4"/>
        <v>1</v>
      </c>
      <c r="Y20" s="7">
        <f t="shared" si="4"/>
        <v>1</v>
      </c>
      <c r="Z20" s="7">
        <f t="shared" si="4"/>
        <v>1</v>
      </c>
      <c r="AA20" s="7">
        <f t="shared" si="4"/>
        <v>1</v>
      </c>
      <c r="AB20" s="7">
        <f t="shared" si="4"/>
        <v>1</v>
      </c>
      <c r="AC20" s="7">
        <f t="shared" si="4"/>
        <v>1</v>
      </c>
      <c r="AD20" s="7">
        <f t="shared" si="4"/>
        <v>1</v>
      </c>
      <c r="AE20" s="8">
        <f>IF(AE15&gt;AE19,1,0)</f>
        <v>1</v>
      </c>
      <c r="AF20" s="45" t="s">
        <v>8</v>
      </c>
      <c r="AG20" s="42">
        <f>AVERAGE(O20:AE20)</f>
        <v>0.76470588235294112</v>
      </c>
    </row>
    <row r="21" spans="1:34" x14ac:dyDescent="0.2">
      <c r="H21" s="6"/>
      <c r="I21" s="6"/>
      <c r="J21" s="6"/>
      <c r="K21" s="6"/>
      <c r="L21" s="6"/>
      <c r="M21" s="118" t="s">
        <v>9</v>
      </c>
      <c r="N21" s="119"/>
      <c r="O21" s="6"/>
      <c r="P21" s="6"/>
      <c r="Q21" s="6"/>
      <c r="R21" s="6">
        <f t="shared" ref="R21:AE21" si="5">AVERAGE(O20:R20)</f>
        <v>0</v>
      </c>
      <c r="S21" s="6">
        <f t="shared" si="5"/>
        <v>0.25</v>
      </c>
      <c r="T21" s="6">
        <f t="shared" si="5"/>
        <v>0.5</v>
      </c>
      <c r="U21" s="6">
        <f t="shared" si="5"/>
        <v>0.75</v>
      </c>
      <c r="V21" s="6">
        <f t="shared" si="5"/>
        <v>1</v>
      </c>
      <c r="W21" s="6">
        <f t="shared" si="5"/>
        <v>1</v>
      </c>
      <c r="X21" s="6">
        <f t="shared" si="5"/>
        <v>1</v>
      </c>
      <c r="Y21" s="6">
        <f t="shared" si="5"/>
        <v>1</v>
      </c>
      <c r="Z21" s="6">
        <f t="shared" si="5"/>
        <v>1</v>
      </c>
      <c r="AA21" s="6">
        <f t="shared" si="5"/>
        <v>1</v>
      </c>
      <c r="AB21" s="6">
        <f t="shared" si="5"/>
        <v>1</v>
      </c>
      <c r="AC21" s="6">
        <f t="shared" si="5"/>
        <v>1</v>
      </c>
      <c r="AD21" s="6">
        <f>AVERAGE(AA20:AD20)</f>
        <v>1</v>
      </c>
      <c r="AE21" s="10">
        <f t="shared" si="5"/>
        <v>1</v>
      </c>
      <c r="AF21" s="41" t="s">
        <v>10</v>
      </c>
      <c r="AG21" s="42">
        <f>AVERAGE(R21:AE21)</f>
        <v>0.8214285714285714</v>
      </c>
    </row>
    <row r="22" spans="1:34" x14ac:dyDescent="0.2">
      <c r="F22" s="18"/>
      <c r="G22" s="18"/>
      <c r="H22" s="18"/>
      <c r="I22" s="18"/>
      <c r="J22" s="18"/>
      <c r="K22" s="18"/>
      <c r="L22" s="18"/>
      <c r="M22" s="125" t="s">
        <v>11</v>
      </c>
      <c r="N22" s="126"/>
      <c r="O22" s="18">
        <f t="shared" ref="O22:AE22" si="6">O15/O19-1</f>
        <v>-0.10970464135021085</v>
      </c>
      <c r="P22" s="18">
        <f t="shared" si="6"/>
        <v>-0.10288065843621397</v>
      </c>
      <c r="Q22" s="18">
        <f t="shared" si="6"/>
        <v>-9.7014925373134386E-2</v>
      </c>
      <c r="R22" s="18">
        <f t="shared" si="6"/>
        <v>-3.8759689922480689E-3</v>
      </c>
      <c r="S22" s="18">
        <f t="shared" si="6"/>
        <v>2.4561403508772006E-2</v>
      </c>
      <c r="T22" s="18">
        <f t="shared" si="6"/>
        <v>8.6505190311418678E-2</v>
      </c>
      <c r="U22" s="18">
        <f t="shared" si="6"/>
        <v>6.8047337278106745E-2</v>
      </c>
      <c r="V22" s="18">
        <f t="shared" si="6"/>
        <v>5.5096418732782926E-3</v>
      </c>
      <c r="W22" s="18">
        <f t="shared" si="6"/>
        <v>5.5555555555555358E-2</v>
      </c>
      <c r="X22" s="18">
        <f t="shared" si="6"/>
        <v>0.16326530612244894</v>
      </c>
      <c r="Y22" s="18">
        <f t="shared" si="6"/>
        <v>9.4298245614035103E-2</v>
      </c>
      <c r="Z22" s="18">
        <f t="shared" si="6"/>
        <v>0.24876847290640391</v>
      </c>
      <c r="AA22" s="18">
        <f t="shared" si="6"/>
        <v>0.42753623188405787</v>
      </c>
      <c r="AB22" s="18">
        <f t="shared" si="6"/>
        <v>0.42794759825327522</v>
      </c>
      <c r="AC22" s="18">
        <f t="shared" si="6"/>
        <v>8.0168776371308148E-2</v>
      </c>
      <c r="AD22" s="18">
        <f t="shared" si="6"/>
        <v>5.8577405857740628E-2</v>
      </c>
      <c r="AE22" s="40">
        <f t="shared" si="6"/>
        <v>0.10498687664041984</v>
      </c>
      <c r="AF22" s="41" t="s">
        <v>13</v>
      </c>
      <c r="AG22" s="43">
        <f>MEDIAN(O22:AE22)</f>
        <v>6.8047337278106745E-2</v>
      </c>
    </row>
    <row r="23" spans="1:34" x14ac:dyDescent="0.2">
      <c r="H23" s="32"/>
      <c r="I23" s="32"/>
      <c r="J23" s="32"/>
      <c r="K23" s="32"/>
      <c r="L23" s="32"/>
      <c r="M23" s="118" t="s">
        <v>12</v>
      </c>
      <c r="N23" s="119"/>
      <c r="O23" s="32"/>
      <c r="P23" s="32"/>
      <c r="Q23" s="32"/>
      <c r="R23" s="32">
        <f t="shared" ref="R23:AE23" si="7">AVERAGE(O22:R22)</f>
        <v>-7.8369048537951819E-2</v>
      </c>
      <c r="S23" s="32">
        <f t="shared" si="7"/>
        <v>-4.4802537323206104E-2</v>
      </c>
      <c r="T23" s="32">
        <f t="shared" si="7"/>
        <v>2.5439248637020573E-3</v>
      </c>
      <c r="U23" s="32">
        <f t="shared" si="7"/>
        <v>4.380949052651234E-2</v>
      </c>
      <c r="V23" s="32">
        <f t="shared" si="7"/>
        <v>4.6155893242893931E-2</v>
      </c>
      <c r="W23" s="32">
        <f t="shared" si="7"/>
        <v>5.3904431254589769E-2</v>
      </c>
      <c r="X23" s="32">
        <f t="shared" si="7"/>
        <v>7.3094460207347334E-2</v>
      </c>
      <c r="Y23" s="32">
        <f t="shared" si="7"/>
        <v>7.9657187291329423E-2</v>
      </c>
      <c r="Z23" s="32">
        <f t="shared" si="7"/>
        <v>0.14047189504961083</v>
      </c>
      <c r="AA23" s="32">
        <f t="shared" si="7"/>
        <v>0.23346706413173646</v>
      </c>
      <c r="AB23" s="32">
        <f t="shared" si="7"/>
        <v>0.29963763716444303</v>
      </c>
      <c r="AC23" s="32">
        <f t="shared" si="7"/>
        <v>0.29610526985376129</v>
      </c>
      <c r="AD23" s="32">
        <f t="shared" si="7"/>
        <v>0.24855750309159547</v>
      </c>
      <c r="AE23" s="33">
        <f t="shared" si="7"/>
        <v>0.16792016428068596</v>
      </c>
      <c r="AF23" s="19" t="s">
        <v>14</v>
      </c>
      <c r="AG23" s="33">
        <f>MEDIAN(R23:AE23)</f>
        <v>7.6375823749338378E-2</v>
      </c>
    </row>
    <row r="24" spans="1:34" x14ac:dyDescent="0.2">
      <c r="M24" s="123" t="s">
        <v>25</v>
      </c>
      <c r="N24" s="124"/>
      <c r="O24" s="101">
        <f>AVERAGE(S22:AE22)</f>
        <v>0.14197908016744776</v>
      </c>
      <c r="P24" s="125" t="s">
        <v>29</v>
      </c>
      <c r="Q24" s="152"/>
      <c r="R24" s="46">
        <f>MEDIAN(S22:AE22)</f>
        <v>8.6505190311418678E-2</v>
      </c>
      <c r="AB24" s="3"/>
      <c r="AC24" s="163" t="s">
        <v>23</v>
      </c>
      <c r="AD24" s="164"/>
      <c r="AE24" s="164"/>
      <c r="AF24" s="165"/>
      <c r="AG24" s="44">
        <f>AVERAGE(AC17:AF17)</f>
        <v>0.45507432094818978</v>
      </c>
    </row>
    <row r="25" spans="1:34" x14ac:dyDescent="0.2">
      <c r="M25" s="153" t="s">
        <v>26</v>
      </c>
      <c r="N25" s="156"/>
      <c r="O25" s="100">
        <f>AVERAGE(O22:R22)</f>
        <v>-7.8369048537951819E-2</v>
      </c>
      <c r="P25" s="153" t="s">
        <v>30</v>
      </c>
      <c r="Q25" s="154"/>
      <c r="R25" s="33">
        <f>MEDIAN(O22:R22)</f>
        <v>-9.9947791904674177E-2</v>
      </c>
      <c r="AC25" s="148" t="s">
        <v>27</v>
      </c>
      <c r="AD25" s="149"/>
      <c r="AE25" s="149"/>
      <c r="AF25" s="149"/>
      <c r="AG25" s="46">
        <f>AVERAGE(AF18,T18,P18,L18)</f>
        <v>0.25195454170108023</v>
      </c>
    </row>
    <row r="26" spans="1:34" x14ac:dyDescent="0.2">
      <c r="AC26" s="150" t="s">
        <v>28</v>
      </c>
      <c r="AD26" s="151"/>
      <c r="AE26" s="151"/>
      <c r="AF26" s="151"/>
      <c r="AG26" s="47">
        <f>_xlfn.STDEV.S(AF18,L18,T18,X18,P18)</f>
        <v>5.5563546203758578E-3</v>
      </c>
    </row>
    <row r="29" spans="1:34" ht="18" customHeight="1" x14ac:dyDescent="0.2"/>
  </sheetData>
  <mergeCells count="27">
    <mergeCell ref="AC25:AF25"/>
    <mergeCell ref="AC26:AF26"/>
    <mergeCell ref="P24:Q24"/>
    <mergeCell ref="P25:Q25"/>
    <mergeCell ref="F10:G10"/>
    <mergeCell ref="AC10:AE10"/>
    <mergeCell ref="M25:N25"/>
    <mergeCell ref="V11:Y11"/>
    <mergeCell ref="Z11:AC11"/>
    <mergeCell ref="AD11:AG11"/>
    <mergeCell ref="M20:N20"/>
    <mergeCell ref="AC24:AF24"/>
    <mergeCell ref="A1:C3"/>
    <mergeCell ref="G1:H1"/>
    <mergeCell ref="L1:M1"/>
    <mergeCell ref="L2:M2"/>
    <mergeCell ref="L3:M3"/>
    <mergeCell ref="L4:M4"/>
    <mergeCell ref="B11:E11"/>
    <mergeCell ref="M21:N21"/>
    <mergeCell ref="R11:U11"/>
    <mergeCell ref="M24:N24"/>
    <mergeCell ref="M23:N23"/>
    <mergeCell ref="M22:N22"/>
    <mergeCell ref="F11:I11"/>
    <mergeCell ref="J11:M11"/>
    <mergeCell ref="N11:Q11"/>
  </mergeCells>
  <conditionalFormatting sqref="O20:AE20 F20:L20 AG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:L21 O21:AE21 AG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E22 F22:L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H23:L23 O23:AE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G22:AG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G20:AG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G20:AG21 AG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O22:AE22 F22:L22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H23:L23 O23:AE23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AG20:AG21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AG20:AG21 AG24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zoomScale="85" zoomScaleNormal="85" workbookViewId="0">
      <selection activeCell="D22" sqref="D22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79</v>
      </c>
      <c r="B1" t="s">
        <v>80</v>
      </c>
    </row>
    <row r="4" spans="1:21" x14ac:dyDescent="0.2">
      <c r="A4" s="168" t="s">
        <v>75</v>
      </c>
      <c r="B4" s="168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173</v>
      </c>
      <c r="B6" t="s">
        <v>174</v>
      </c>
      <c r="C6" s="107" t="s">
        <v>169</v>
      </c>
      <c r="D6">
        <v>20170803</v>
      </c>
      <c r="E6">
        <v>25.182908999999999</v>
      </c>
      <c r="F6">
        <v>24.543928000000001</v>
      </c>
      <c r="G6" s="109">
        <v>21.569503000000001</v>
      </c>
      <c r="H6">
        <v>22.486964</v>
      </c>
      <c r="I6" s="108">
        <v>26.056581999999999</v>
      </c>
      <c r="J6" s="108">
        <v>23.445826</v>
      </c>
      <c r="R6">
        <v>23.7</v>
      </c>
      <c r="S6" s="6">
        <v>21.1</v>
      </c>
    </row>
    <row r="7" spans="1:21" x14ac:dyDescent="0.2">
      <c r="A7" t="s">
        <v>173</v>
      </c>
      <c r="B7" t="s">
        <v>174</v>
      </c>
      <c r="C7" s="107" t="s">
        <v>170</v>
      </c>
      <c r="D7">
        <v>20171102</v>
      </c>
      <c r="E7">
        <v>21.276184000000001</v>
      </c>
      <c r="F7">
        <v>20.703664</v>
      </c>
      <c r="G7" s="109">
        <v>18.476144999999999</v>
      </c>
      <c r="H7">
        <v>21.439177000000001</v>
      </c>
      <c r="I7" s="108">
        <v>24.535603999999999</v>
      </c>
      <c r="J7" s="108">
        <v>20.473792499999998</v>
      </c>
      <c r="K7" s="110">
        <v>16.904079249621244</v>
      </c>
      <c r="L7" s="110">
        <v>16.877449661358195</v>
      </c>
      <c r="M7" s="111">
        <v>17.138582616391297</v>
      </c>
      <c r="N7" s="110">
        <v>19.075721089605516</v>
      </c>
      <c r="O7" s="110">
        <v>18.840090570282779</v>
      </c>
      <c r="P7" s="110">
        <v>17.471751276325261</v>
      </c>
      <c r="Q7" s="110">
        <v>17.717945743930716</v>
      </c>
      <c r="R7">
        <v>24.3</v>
      </c>
      <c r="S7" s="6">
        <v>21.8</v>
      </c>
      <c r="T7" s="92"/>
      <c r="U7" s="91"/>
    </row>
    <row r="8" spans="1:21" x14ac:dyDescent="0.2">
      <c r="A8" t="s">
        <v>173</v>
      </c>
      <c r="B8" t="s">
        <v>174</v>
      </c>
      <c r="C8" s="107" t="s">
        <v>167</v>
      </c>
      <c r="D8">
        <v>20180222</v>
      </c>
      <c r="E8">
        <v>22.632807</v>
      </c>
      <c r="F8">
        <v>22.629839</v>
      </c>
      <c r="G8" s="109">
        <v>22.252935000000001</v>
      </c>
      <c r="H8">
        <v>22.495574000000001</v>
      </c>
      <c r="I8" s="108">
        <v>25.633998999999999</v>
      </c>
      <c r="J8" s="108">
        <v>22.502788750000001</v>
      </c>
      <c r="K8" s="110">
        <v>21.981588608558752</v>
      </c>
      <c r="L8" s="110">
        <v>22.586484841330495</v>
      </c>
      <c r="M8" s="111">
        <v>24.888019055923191</v>
      </c>
      <c r="N8" s="110">
        <v>21.682200820302011</v>
      </c>
      <c r="O8" s="110">
        <v>21.589073386414288</v>
      </c>
      <c r="P8" s="110">
        <v>22.711846216571743</v>
      </c>
      <c r="Q8" s="110">
        <v>22.57320215485008</v>
      </c>
      <c r="R8">
        <v>26.8</v>
      </c>
      <c r="S8" s="6">
        <v>24.2</v>
      </c>
      <c r="T8" s="92"/>
      <c r="U8" s="91"/>
    </row>
    <row r="9" spans="1:21" x14ac:dyDescent="0.2">
      <c r="A9" t="s">
        <v>173</v>
      </c>
      <c r="B9" t="s">
        <v>174</v>
      </c>
      <c r="C9" s="107" t="s">
        <v>42</v>
      </c>
      <c r="D9">
        <v>20180503</v>
      </c>
      <c r="E9">
        <v>25.274003</v>
      </c>
      <c r="F9">
        <v>25.036313</v>
      </c>
      <c r="G9" s="109">
        <v>23.473987999999999</v>
      </c>
      <c r="H9">
        <v>25.0397</v>
      </c>
      <c r="I9" s="108">
        <v>29.415927</v>
      </c>
      <c r="J9" s="108">
        <v>24.706000999999997</v>
      </c>
      <c r="K9" s="110">
        <v>26.280363129593248</v>
      </c>
      <c r="L9" s="110">
        <v>26.036623156797535</v>
      </c>
      <c r="M9" s="111">
        <v>24.825347020157114</v>
      </c>
      <c r="N9" s="110">
        <v>26.195566283394232</v>
      </c>
      <c r="O9" s="110">
        <v>27.006103340255258</v>
      </c>
      <c r="P9" s="110">
        <v>25.838176503078977</v>
      </c>
      <c r="Q9" s="110">
        <v>26.030363238879392</v>
      </c>
      <c r="R9">
        <v>25.8</v>
      </c>
      <c r="S9" s="9">
        <v>25.7</v>
      </c>
      <c r="T9" s="9"/>
      <c r="U9" s="62"/>
    </row>
    <row r="10" spans="1:21" x14ac:dyDescent="0.2">
      <c r="A10" t="s">
        <v>173</v>
      </c>
      <c r="B10" t="s">
        <v>174</v>
      </c>
      <c r="C10" s="107" t="s">
        <v>43</v>
      </c>
      <c r="D10">
        <v>20180802</v>
      </c>
      <c r="E10">
        <v>30.918789</v>
      </c>
      <c r="F10">
        <v>30.713476</v>
      </c>
      <c r="G10" s="109">
        <v>29.396100000000001</v>
      </c>
      <c r="H10">
        <v>29.278604999999999</v>
      </c>
      <c r="I10" s="108">
        <v>33.849367000000001</v>
      </c>
      <c r="J10" s="108">
        <v>30.076742500000002</v>
      </c>
      <c r="K10" s="110">
        <v>31.398336008506448</v>
      </c>
      <c r="L10" s="110">
        <v>31.485949029955012</v>
      </c>
      <c r="M10" s="111">
        <v>32.141121593825474</v>
      </c>
      <c r="N10" s="110">
        <v>30.010929680866784</v>
      </c>
      <c r="O10" s="110">
        <v>29.534267385896083</v>
      </c>
      <c r="P10" s="110">
        <v>31.245431950116096</v>
      </c>
      <c r="Q10" s="110">
        <v>30.969339274860982</v>
      </c>
      <c r="R10">
        <v>28.5</v>
      </c>
      <c r="S10" s="6">
        <v>29.2</v>
      </c>
      <c r="T10" s="9"/>
      <c r="U10" s="62"/>
    </row>
    <row r="11" spans="1:21" x14ac:dyDescent="0.2">
      <c r="A11" t="s">
        <v>173</v>
      </c>
      <c r="B11" t="s">
        <v>174</v>
      </c>
      <c r="C11" s="107" t="s">
        <v>44</v>
      </c>
      <c r="D11">
        <v>20181101</v>
      </c>
      <c r="E11">
        <v>32.967868000000003</v>
      </c>
      <c r="F11">
        <v>32.505819000000002</v>
      </c>
      <c r="G11" s="109">
        <v>32.984332999999999</v>
      </c>
      <c r="H11">
        <v>33.092793999999998</v>
      </c>
      <c r="I11" s="108">
        <v>35.433728000000002</v>
      </c>
      <c r="J11" s="108">
        <v>32.638294249999994</v>
      </c>
      <c r="K11" s="110">
        <v>30.728969414423048</v>
      </c>
      <c r="L11" s="110">
        <v>30.42287618737781</v>
      </c>
      <c r="M11" s="111">
        <v>31.884698605325191</v>
      </c>
      <c r="N11" s="110">
        <v>33.058850793608499</v>
      </c>
      <c r="O11" s="110">
        <v>32.33786875695489</v>
      </c>
      <c r="P11" s="110">
        <v>31.500233294513187</v>
      </c>
      <c r="Q11" s="110">
        <v>31.655582842033766</v>
      </c>
      <c r="R11">
        <v>28.9</v>
      </c>
      <c r="S11" s="6">
        <v>31.4</v>
      </c>
      <c r="T11" s="9"/>
      <c r="U11" s="62"/>
    </row>
    <row r="12" spans="1:21" x14ac:dyDescent="0.2">
      <c r="A12" t="s">
        <v>173</v>
      </c>
      <c r="B12" t="s">
        <v>174</v>
      </c>
      <c r="C12" s="107" t="s">
        <v>45</v>
      </c>
      <c r="D12">
        <v>20190221</v>
      </c>
      <c r="E12">
        <v>36.769581000000002</v>
      </c>
      <c r="F12">
        <v>36.436159000000004</v>
      </c>
      <c r="G12" s="109">
        <v>36.283174000000002</v>
      </c>
      <c r="H12">
        <v>37.295372</v>
      </c>
      <c r="I12" s="108">
        <v>42.769444999999997</v>
      </c>
      <c r="J12" s="108">
        <v>36.696071500000002</v>
      </c>
      <c r="K12" s="110">
        <v>34.176146031075433</v>
      </c>
      <c r="L12" s="110">
        <v>34.43564519668373</v>
      </c>
      <c r="M12" s="111">
        <v>34.185199262387123</v>
      </c>
      <c r="N12" s="110">
        <v>34.026845313652991</v>
      </c>
      <c r="O12" s="110">
        <v>34.504564105731411</v>
      </c>
      <c r="P12" s="110">
        <v>34.204235019818789</v>
      </c>
      <c r="Q12" s="110">
        <v>34.255439154891583</v>
      </c>
      <c r="R12">
        <v>33.799999999999997</v>
      </c>
      <c r="S12" s="6">
        <v>36.1</v>
      </c>
      <c r="T12" s="9"/>
      <c r="U12" s="62"/>
    </row>
    <row r="13" spans="1:21" x14ac:dyDescent="0.2">
      <c r="A13" t="s">
        <v>173</v>
      </c>
      <c r="B13" t="s">
        <v>174</v>
      </c>
      <c r="C13" s="107" t="s">
        <v>46</v>
      </c>
      <c r="D13">
        <v>20190502</v>
      </c>
      <c r="E13">
        <v>43.320293999999997</v>
      </c>
      <c r="F13">
        <v>43.254153000000002</v>
      </c>
      <c r="G13" s="109">
        <v>40.486241999999997</v>
      </c>
      <c r="H13">
        <v>41.184823000000002</v>
      </c>
      <c r="I13" s="108">
        <v>47.155631999999997</v>
      </c>
      <c r="J13" s="108">
        <v>42.061377999999998</v>
      </c>
      <c r="K13" s="110">
        <v>45.212905813204657</v>
      </c>
      <c r="L13" s="110">
        <v>45.556980238449384</v>
      </c>
      <c r="M13" s="111">
        <v>42.821502412991755</v>
      </c>
      <c r="N13" s="110">
        <v>42.3781472791852</v>
      </c>
      <c r="O13" s="110">
        <v>42.311620682288485</v>
      </c>
      <c r="P13" s="110">
        <v>43.986927650497947</v>
      </c>
      <c r="Q13" s="110">
        <v>43.711347346102905</v>
      </c>
      <c r="R13">
        <v>36.299999999999997</v>
      </c>
      <c r="S13" s="9">
        <v>36.5</v>
      </c>
      <c r="T13" s="9"/>
      <c r="U13" s="62"/>
    </row>
    <row r="14" spans="1:21" x14ac:dyDescent="0.2">
      <c r="A14" t="s">
        <v>173</v>
      </c>
      <c r="B14" t="s">
        <v>174</v>
      </c>
      <c r="C14" s="107" t="s">
        <v>47</v>
      </c>
      <c r="D14">
        <v>20190801</v>
      </c>
      <c r="E14">
        <v>43.872974999999997</v>
      </c>
      <c r="F14">
        <v>43.646948999999999</v>
      </c>
      <c r="G14" s="109">
        <v>41.786251999999998</v>
      </c>
      <c r="H14">
        <v>42.291133000000002</v>
      </c>
      <c r="I14" s="108">
        <v>48.520798999999997</v>
      </c>
      <c r="J14" s="108">
        <v>42.899327249999999</v>
      </c>
      <c r="K14" s="110">
        <v>38.970928452147632</v>
      </c>
      <c r="L14" s="110">
        <v>38.829441360694311</v>
      </c>
      <c r="M14" s="111">
        <v>39.715589729469094</v>
      </c>
      <c r="N14" s="110">
        <v>39.513652828858831</v>
      </c>
      <c r="O14" s="110">
        <v>39.594005346381536</v>
      </c>
      <c r="P14" s="110">
        <v>39.24660082653498</v>
      </c>
      <c r="Q14" s="110">
        <v>39.311703090681057</v>
      </c>
      <c r="R14">
        <v>39.6</v>
      </c>
      <c r="S14" s="6">
        <v>41.8</v>
      </c>
      <c r="T14" s="9"/>
      <c r="U14" s="62"/>
    </row>
    <row r="15" spans="1:21" x14ac:dyDescent="0.2">
      <c r="A15" t="s">
        <v>173</v>
      </c>
      <c r="B15" t="s">
        <v>174</v>
      </c>
      <c r="C15" s="107" t="s">
        <v>48</v>
      </c>
      <c r="D15">
        <v>20191031</v>
      </c>
      <c r="E15">
        <v>47.239206000000003</v>
      </c>
      <c r="F15">
        <v>48.515659999999997</v>
      </c>
      <c r="G15" s="109">
        <v>45.458795000000002</v>
      </c>
      <c r="H15">
        <v>48.111201000000001</v>
      </c>
      <c r="I15" s="108">
        <v>55.060895000000002</v>
      </c>
      <c r="J15" s="108">
        <v>47.331215499999999</v>
      </c>
      <c r="K15" s="110">
        <v>45.007178355240335</v>
      </c>
      <c r="L15" s="110">
        <v>46.462688331319555</v>
      </c>
      <c r="M15" s="111">
        <v>45.473751295043165</v>
      </c>
      <c r="N15" s="110">
        <v>47.552478714627952</v>
      </c>
      <c r="O15" s="110">
        <v>47.434202618963475</v>
      </c>
      <c r="P15" s="110">
        <v>46.118317808818311</v>
      </c>
      <c r="Q15" s="110">
        <v>46.341436187335461</v>
      </c>
      <c r="R15">
        <v>39.200000000000003</v>
      </c>
      <c r="S15" s="6">
        <v>45.6</v>
      </c>
      <c r="T15" s="9"/>
      <c r="U15" s="62"/>
    </row>
    <row r="16" spans="1:21" x14ac:dyDescent="0.2">
      <c r="A16" t="s">
        <v>173</v>
      </c>
      <c r="B16" t="s">
        <v>174</v>
      </c>
      <c r="C16" s="107" t="s">
        <v>49</v>
      </c>
      <c r="D16">
        <v>20200220</v>
      </c>
      <c r="E16">
        <v>51.087932000000002</v>
      </c>
      <c r="F16">
        <v>51.120221999999998</v>
      </c>
      <c r="G16" s="109">
        <v>50.771912999999998</v>
      </c>
      <c r="H16">
        <v>52.229509</v>
      </c>
      <c r="I16" s="108">
        <v>56.825940000000003</v>
      </c>
      <c r="J16" s="108">
        <v>51.302394000000007</v>
      </c>
      <c r="K16" s="110">
        <v>48.709549802340035</v>
      </c>
      <c r="L16" s="110">
        <v>47.457971279376594</v>
      </c>
      <c r="M16" s="111">
        <v>50.304170216566447</v>
      </c>
      <c r="N16" s="110">
        <v>48.89541388418052</v>
      </c>
      <c r="O16" s="110">
        <v>46.483812833046024</v>
      </c>
      <c r="P16" s="110">
        <v>48.818941186076245</v>
      </c>
      <c r="Q16" s="110">
        <v>48.444976533597639</v>
      </c>
      <c r="R16">
        <v>45.6</v>
      </c>
      <c r="S16" s="6">
        <v>49.9</v>
      </c>
      <c r="T16" s="9"/>
      <c r="U16" s="62"/>
    </row>
    <row r="17" spans="1:21" x14ac:dyDescent="0.2">
      <c r="A17" t="s">
        <v>173</v>
      </c>
      <c r="B17" t="s">
        <v>174</v>
      </c>
      <c r="C17" s="107" t="s">
        <v>50</v>
      </c>
      <c r="D17">
        <v>20200430</v>
      </c>
      <c r="E17">
        <v>51.449578000000002</v>
      </c>
      <c r="F17">
        <v>51.603569999999998</v>
      </c>
      <c r="G17" s="109">
        <v>52.133780999999999</v>
      </c>
      <c r="H17">
        <v>52.763154</v>
      </c>
      <c r="I17" s="108">
        <v>61.881526999999998</v>
      </c>
      <c r="J17" s="108">
        <v>51.987520750000002</v>
      </c>
      <c r="K17" s="110">
        <v>48.178654237168971</v>
      </c>
      <c r="L17" s="110">
        <v>48.292333096675527</v>
      </c>
      <c r="M17" s="111">
        <v>49.12322454818672</v>
      </c>
      <c r="N17" s="110">
        <v>48.328796032909288</v>
      </c>
      <c r="O17" s="110">
        <v>52.096142213925539</v>
      </c>
      <c r="P17" s="110">
        <v>48.478887606687515</v>
      </c>
      <c r="Q17" s="110">
        <v>49.083006289258925</v>
      </c>
      <c r="R17">
        <v>40.6</v>
      </c>
      <c r="S17" s="9">
        <v>50.7</v>
      </c>
      <c r="T17" s="9"/>
      <c r="U17" s="62"/>
    </row>
    <row r="18" spans="1:21" x14ac:dyDescent="0.2">
      <c r="A18" t="s">
        <v>173</v>
      </c>
      <c r="B18" t="s">
        <v>174</v>
      </c>
      <c r="C18" s="107" t="s">
        <v>51</v>
      </c>
      <c r="D18">
        <v>20200723</v>
      </c>
      <c r="E18">
        <v>43.870227999999997</v>
      </c>
      <c r="F18">
        <v>42.776068000000002</v>
      </c>
      <c r="G18" s="109">
        <v>37.497847</v>
      </c>
      <c r="H18">
        <v>44.669443999999999</v>
      </c>
      <c r="I18" s="108">
        <v>53.340704000000002</v>
      </c>
      <c r="J18" s="108">
        <v>42.203396750000003</v>
      </c>
      <c r="K18" s="110">
        <v>43.202936320993722</v>
      </c>
      <c r="L18" s="110">
        <v>41.999711209050069</v>
      </c>
      <c r="M18" s="111">
        <v>36.442847180966979</v>
      </c>
      <c r="N18" s="110">
        <v>42.894833753645578</v>
      </c>
      <c r="O18" s="110">
        <v>43.673994172251113</v>
      </c>
      <c r="P18" s="110">
        <v>41.131399849111865</v>
      </c>
      <c r="Q18" s="110">
        <v>41.557620414336554</v>
      </c>
      <c r="R18">
        <v>27.6</v>
      </c>
      <c r="S18" s="6">
        <v>39.4</v>
      </c>
      <c r="T18" s="9"/>
      <c r="U18" s="62"/>
    </row>
    <row r="19" spans="1:21" x14ac:dyDescent="0.2">
      <c r="A19" t="s">
        <v>173</v>
      </c>
      <c r="B19" t="s">
        <v>174</v>
      </c>
      <c r="C19" s="107" t="s">
        <v>52</v>
      </c>
      <c r="D19">
        <v>20201022</v>
      </c>
      <c r="E19">
        <v>56.465144000000002</v>
      </c>
      <c r="F19">
        <v>56.870356999999998</v>
      </c>
      <c r="G19" s="109">
        <v>57.524785000000001</v>
      </c>
      <c r="H19">
        <v>54.974811000000003</v>
      </c>
      <c r="I19" s="108">
        <v>68.947626999999997</v>
      </c>
      <c r="J19" s="108">
        <v>56.458774250000005</v>
      </c>
      <c r="K19" s="110">
        <v>50.712823711424534</v>
      </c>
      <c r="L19" s="110">
        <v>52.383237658893748</v>
      </c>
      <c r="M19" s="111">
        <v>60.444378414179361</v>
      </c>
      <c r="N19" s="110">
        <v>48.49092207664372</v>
      </c>
      <c r="O19" s="110">
        <v>50.92931378309143</v>
      </c>
      <c r="P19" s="110">
        <v>52.709789626690416</v>
      </c>
      <c r="Q19" s="110">
        <v>52.611744211820529</v>
      </c>
      <c r="R19">
        <v>45.8</v>
      </c>
      <c r="S19" s="6">
        <v>65.400000000000006</v>
      </c>
      <c r="T19" s="9"/>
      <c r="U19" s="62"/>
    </row>
    <row r="20" spans="1:21" x14ac:dyDescent="0.2">
      <c r="A20" t="s">
        <v>173</v>
      </c>
      <c r="B20" t="s">
        <v>174</v>
      </c>
      <c r="C20" s="107" t="s">
        <v>53</v>
      </c>
      <c r="D20">
        <v>20210218</v>
      </c>
      <c r="E20">
        <v>71.248835</v>
      </c>
      <c r="F20">
        <v>70.380488</v>
      </c>
      <c r="G20" s="109">
        <v>74.065259999999995</v>
      </c>
      <c r="H20">
        <v>74.447390999999996</v>
      </c>
      <c r="I20" s="108">
        <v>82.474843000000007</v>
      </c>
      <c r="J20" s="108">
        <v>72.535493500000001</v>
      </c>
      <c r="K20" s="110">
        <v>81.135011193808339</v>
      </c>
      <c r="L20" s="110">
        <v>79.575118165690427</v>
      </c>
      <c r="M20" s="111">
        <v>82.788596567549092</v>
      </c>
      <c r="N20" s="110">
        <v>87.07564708680853</v>
      </c>
      <c r="O20" s="110">
        <v>76.915372372424073</v>
      </c>
      <c r="P20" s="110">
        <v>82.609519848901073</v>
      </c>
      <c r="Q20" s="110">
        <v>81.683210872530253</v>
      </c>
      <c r="R20">
        <v>71.099999999999994</v>
      </c>
      <c r="S20" s="6">
        <v>76.8</v>
      </c>
    </row>
    <row r="21" spans="1:21" x14ac:dyDescent="0.2">
      <c r="A21" t="s">
        <v>173</v>
      </c>
      <c r="B21" t="s">
        <v>174</v>
      </c>
      <c r="C21" s="107" t="s">
        <v>54</v>
      </c>
      <c r="D21">
        <v>20210429</v>
      </c>
      <c r="E21">
        <v>79.769149999999996</v>
      </c>
      <c r="F21">
        <v>77.97542</v>
      </c>
      <c r="G21" s="109">
        <v>78.438134000000005</v>
      </c>
      <c r="H21">
        <v>79.947086999999996</v>
      </c>
      <c r="I21" s="108">
        <v>86.270629999999997</v>
      </c>
      <c r="J21" s="108">
        <v>79.032447750000003</v>
      </c>
      <c r="K21" s="110">
        <v>85.984152863692429</v>
      </c>
      <c r="L21" s="110">
        <v>85.087677368761632</v>
      </c>
      <c r="M21" s="111">
        <v>81.334335303757797</v>
      </c>
      <c r="N21" s="110">
        <v>82.473491671454269</v>
      </c>
      <c r="O21" s="110">
        <v>80.334610445999871</v>
      </c>
      <c r="P21" s="110">
        <v>83.678923163320036</v>
      </c>
      <c r="Q21" s="110">
        <v>83.148865136164332</v>
      </c>
      <c r="R21">
        <v>71.7</v>
      </c>
      <c r="S21" s="9">
        <v>75.900000000000006</v>
      </c>
    </row>
    <row r="22" spans="1:21" x14ac:dyDescent="0.2">
      <c r="A22" t="s">
        <v>173</v>
      </c>
      <c r="B22" t="s">
        <v>174</v>
      </c>
      <c r="C22" s="107" t="s">
        <v>55</v>
      </c>
      <c r="D22">
        <v>20210805</v>
      </c>
      <c r="E22">
        <v>86.411541</v>
      </c>
      <c r="F22">
        <v>94.146631999999997</v>
      </c>
      <c r="G22" s="109">
        <v>95.395509000000004</v>
      </c>
      <c r="H22">
        <v>85.150936000000002</v>
      </c>
      <c r="I22" s="108">
        <v>93.983127999999994</v>
      </c>
      <c r="J22" s="108">
        <f>AVERAGE(E22:H22)</f>
        <v>90.276154500000004</v>
      </c>
      <c r="K22" s="110">
        <v>83.191713982159783</v>
      </c>
      <c r="L22" s="110">
        <v>83.525998559546082</v>
      </c>
      <c r="M22" s="111">
        <v>82.1037473405474</v>
      </c>
      <c r="N22" s="110">
        <v>81.89459995959578</v>
      </c>
      <c r="O22" s="110">
        <v>81.180122495917786</v>
      </c>
      <c r="P22" s="110">
        <v>83.863951650921749</v>
      </c>
      <c r="Q22" s="110">
        <v>82.626688998114759</v>
      </c>
      <c r="R22">
        <v>76.2</v>
      </c>
      <c r="S22" s="6">
        <v>84.2</v>
      </c>
    </row>
    <row r="23" spans="1:21" x14ac:dyDescent="0.2">
      <c r="A23" t="s">
        <v>173</v>
      </c>
      <c r="B23" t="s">
        <v>174</v>
      </c>
      <c r="C23" s="107" t="s">
        <v>71</v>
      </c>
      <c r="D23">
        <v>20211028</v>
      </c>
      <c r="E23">
        <v>92.971377000000004</v>
      </c>
      <c r="F23">
        <v>91.189162999999994</v>
      </c>
      <c r="G23">
        <v>87.065163999999996</v>
      </c>
      <c r="H23">
        <v>89.301370000000006</v>
      </c>
      <c r="I23">
        <v>95.524360000000001</v>
      </c>
      <c r="J23" s="108">
        <f>AVERAGE(E23:H23)</f>
        <v>90.131768500000007</v>
      </c>
      <c r="K23" s="110">
        <f>(E23/E22)*$S22</f>
        <v>90.591949325380057</v>
      </c>
      <c r="L23" s="110">
        <f>(F23/F22)*$S22</f>
        <v>81.554988866728664</v>
      </c>
      <c r="M23" s="110">
        <f t="shared" ref="M23:Q23" si="0">(G23/G22)*$S22</f>
        <v>76.84729486374458</v>
      </c>
      <c r="N23" s="110">
        <f t="shared" si="0"/>
        <v>88.30408339844908</v>
      </c>
      <c r="O23" s="110">
        <f t="shared" si="0"/>
        <v>85.580798204545843</v>
      </c>
      <c r="P23" s="110">
        <f t="shared" si="0"/>
        <v>84.06533208833126</v>
      </c>
      <c r="Q23" s="110">
        <f t="shared" si="0"/>
        <v>91.689926413017147</v>
      </c>
      <c r="R23">
        <f>'1. Data &amp; Confidence Interval'!AF14</f>
        <v>82.3</v>
      </c>
    </row>
    <row r="24" spans="1:21" x14ac:dyDescent="0.2">
      <c r="A24" s="166" t="s">
        <v>171</v>
      </c>
      <c r="B24" s="167"/>
      <c r="C24" s="167"/>
      <c r="D24" s="167"/>
      <c r="E24" s="103">
        <f t="shared" ref="E24:R24" si="1">CORREL(E6:E22,$S6:$S22)</f>
        <v>0.98311736630467161</v>
      </c>
      <c r="F24" s="103">
        <f t="shared" si="1"/>
        <v>0.97817512631686554</v>
      </c>
      <c r="G24" s="104">
        <f t="shared" si="1"/>
        <v>0.98504682088097462</v>
      </c>
      <c r="H24" s="103">
        <f t="shared" si="1"/>
        <v>0.98455068133619972</v>
      </c>
      <c r="I24" s="103">
        <f t="shared" si="1"/>
        <v>0.98924850613254423</v>
      </c>
      <c r="J24" s="104">
        <f>CORREL(J6:J22,$S6:$S22)</f>
        <v>0.9849753223172053</v>
      </c>
      <c r="K24" s="103">
        <f t="shared" si="1"/>
        <v>0.96371953488655149</v>
      </c>
      <c r="L24" s="103">
        <f t="shared" si="1"/>
        <v>0.96862209132030463</v>
      </c>
      <c r="M24" s="103">
        <f t="shared" si="1"/>
        <v>0.98630102507606032</v>
      </c>
      <c r="N24" s="103">
        <f t="shared" si="1"/>
        <v>0.96003933477789272</v>
      </c>
      <c r="O24" s="103">
        <f t="shared" si="1"/>
        <v>0.97216852660182884</v>
      </c>
      <c r="P24" s="103">
        <f t="shared" si="1"/>
        <v>0.97331967522866247</v>
      </c>
      <c r="Q24" s="103">
        <f t="shared" si="1"/>
        <v>0.97365730777986947</v>
      </c>
      <c r="R24" s="103">
        <f t="shared" si="1"/>
        <v>0.96405170925962602</v>
      </c>
      <c r="S24" s="5"/>
    </row>
    <row r="26" spans="1:21" x14ac:dyDescent="0.2">
      <c r="A26" s="169" t="s">
        <v>76</v>
      </c>
      <c r="B26" s="170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9" si="2">A6</f>
        <v>PEN_PERI</v>
      </c>
      <c r="B28" s="9" t="str">
        <f t="shared" si="2"/>
        <v>Peripheral</v>
      </c>
      <c r="C28" s="9" t="str">
        <f t="shared" si="2"/>
        <v>2017Q2</v>
      </c>
      <c r="D28" s="9">
        <f t="shared" si="2"/>
        <v>20170803</v>
      </c>
      <c r="E28" s="18">
        <f t="shared" ref="E28:E38" si="3">$S6/E6-1</f>
        <v>-0.1621301574015932</v>
      </c>
      <c r="F28" s="18">
        <f t="shared" ref="E28:R39" si="4">$S6/F6-1</f>
        <v>-0.14031690444985001</v>
      </c>
      <c r="G28" s="18">
        <f t="shared" si="4"/>
        <v>-2.176698276265332E-2</v>
      </c>
      <c r="H28" s="18">
        <f t="shared" si="4"/>
        <v>-6.1678579642854392E-2</v>
      </c>
      <c r="I28" s="18">
        <f t="shared" si="4"/>
        <v>-0.19022379834776482</v>
      </c>
      <c r="J28" s="18">
        <f t="shared" si="4"/>
        <v>-0.10005303289378664</v>
      </c>
      <c r="K28" s="18"/>
      <c r="L28" s="18"/>
      <c r="M28" s="18"/>
      <c r="N28" s="18"/>
      <c r="O28" s="18"/>
      <c r="P28" s="18"/>
      <c r="Q28" s="18"/>
      <c r="R28" s="40">
        <f t="shared" si="4"/>
        <v>-0.10970464135021085</v>
      </c>
    </row>
    <row r="29" spans="1:21" x14ac:dyDescent="0.2">
      <c r="A29" s="9" t="str">
        <f t="shared" si="2"/>
        <v>PEN_PERI</v>
      </c>
      <c r="B29" s="9" t="str">
        <f t="shared" si="2"/>
        <v>Peripheral</v>
      </c>
      <c r="C29" s="9" t="str">
        <f t="shared" si="2"/>
        <v>2017Q3</v>
      </c>
      <c r="D29" s="9">
        <f t="shared" si="2"/>
        <v>20171102</v>
      </c>
      <c r="E29" s="18">
        <f t="shared" si="3"/>
        <v>2.4619828442919989E-2</v>
      </c>
      <c r="F29" s="18">
        <f t="shared" si="4"/>
        <v>5.2953718723410592E-2</v>
      </c>
      <c r="G29" s="18">
        <f t="shared" si="4"/>
        <v>0.17989981135133992</v>
      </c>
      <c r="H29" s="18">
        <f t="shared" si="4"/>
        <v>1.6830077012750966E-2</v>
      </c>
      <c r="I29" s="18">
        <f t="shared" si="4"/>
        <v>-0.11149527845330398</v>
      </c>
      <c r="J29" s="18">
        <f t="shared" si="4"/>
        <v>6.4775859186811724E-2</v>
      </c>
      <c r="K29" s="18">
        <f t="shared" si="4"/>
        <v>0.28962954314642464</v>
      </c>
      <c r="L29" s="18">
        <f t="shared" si="4"/>
        <v>0.29166434724508417</v>
      </c>
      <c r="M29" s="18">
        <f t="shared" si="4"/>
        <v>0.27198383249910862</v>
      </c>
      <c r="N29" s="18">
        <f t="shared" si="4"/>
        <v>0.14281394121866042</v>
      </c>
      <c r="O29" s="18">
        <f t="shared" si="4"/>
        <v>0.1571069639328595</v>
      </c>
      <c r="P29" s="18">
        <f t="shared" si="4"/>
        <v>0.24772838482079607</v>
      </c>
      <c r="Q29" s="18">
        <f t="shared" si="4"/>
        <v>0.23039094458608966</v>
      </c>
      <c r="R29" s="40">
        <f t="shared" si="4"/>
        <v>-0.10288065843621397</v>
      </c>
    </row>
    <row r="30" spans="1:21" x14ac:dyDescent="0.2">
      <c r="A30" s="9" t="str">
        <f t="shared" ref="A30:D30" si="5">A8</f>
        <v>PEN_PERI</v>
      </c>
      <c r="B30" s="9" t="str">
        <f t="shared" si="5"/>
        <v>Peripheral</v>
      </c>
      <c r="C30" s="9" t="str">
        <f t="shared" si="5"/>
        <v>2017Q4</v>
      </c>
      <c r="D30" s="9">
        <f t="shared" si="5"/>
        <v>20180222</v>
      </c>
      <c r="E30" s="18">
        <f t="shared" si="3"/>
        <v>6.924430540144666E-2</v>
      </c>
      <c r="F30" s="18">
        <f t="shared" si="4"/>
        <v>6.9384541357099261E-2</v>
      </c>
      <c r="G30" s="18">
        <f t="shared" si="4"/>
        <v>8.7496997587059866E-2</v>
      </c>
      <c r="H30" s="18">
        <f t="shared" si="4"/>
        <v>7.5767170911042125E-2</v>
      </c>
      <c r="I30" s="18">
        <f t="shared" si="4"/>
        <v>-5.5941291095470524E-2</v>
      </c>
      <c r="J30" s="18">
        <f t="shared" si="4"/>
        <v>7.5422262940632034E-2</v>
      </c>
      <c r="K30" s="18">
        <f t="shared" si="4"/>
        <v>0.1009213406249212</v>
      </c>
      <c r="L30" s="18">
        <f t="shared" si="4"/>
        <v>7.1437196624636767E-2</v>
      </c>
      <c r="M30" s="18">
        <f t="shared" si="4"/>
        <v>-2.7644588923578794E-2</v>
      </c>
      <c r="N30" s="18">
        <f t="shared" si="4"/>
        <v>0.11612286043123721</v>
      </c>
      <c r="O30" s="18">
        <f t="shared" si="4"/>
        <v>0.1209374097189706</v>
      </c>
      <c r="P30" s="18">
        <f t="shared" si="4"/>
        <v>6.552324145020072E-2</v>
      </c>
      <c r="Q30" s="18">
        <f t="shared" si="4"/>
        <v>7.2067659430427033E-2</v>
      </c>
      <c r="R30" s="40">
        <f t="shared" si="4"/>
        <v>-9.7014925373134386E-2</v>
      </c>
    </row>
    <row r="31" spans="1:21" x14ac:dyDescent="0.2">
      <c r="A31" s="9" t="str">
        <f>A9</f>
        <v>PEN_PERI</v>
      </c>
      <c r="B31" s="9" t="str">
        <f t="shared" ref="B31:D31" si="6">B9</f>
        <v>Peripheral</v>
      </c>
      <c r="C31" s="9" t="str">
        <f t="shared" si="6"/>
        <v>2018Q1</v>
      </c>
      <c r="D31" s="9">
        <f t="shared" si="6"/>
        <v>20180503</v>
      </c>
      <c r="E31" s="18">
        <f t="shared" si="3"/>
        <v>1.6855145581805786E-2</v>
      </c>
      <c r="F31" s="18">
        <f t="shared" ref="F31:J31" si="7">$S9/F9-1</f>
        <v>2.6508975183366701E-2</v>
      </c>
      <c r="G31" s="18">
        <f t="shared" si="7"/>
        <v>9.4828880376014446E-2</v>
      </c>
      <c r="H31" s="18">
        <f t="shared" si="7"/>
        <v>2.6370124242702575E-2</v>
      </c>
      <c r="I31" s="18">
        <f t="shared" si="7"/>
        <v>-0.12632364093098281</v>
      </c>
      <c r="J31" s="18">
        <f t="shared" si="7"/>
        <v>4.023309964247157E-2</v>
      </c>
      <c r="K31" s="18">
        <f t="shared" ref="K31:Q31" si="8">$S9/K9-1</f>
        <v>-2.208352779340883E-2</v>
      </c>
      <c r="L31" s="18">
        <f t="shared" si="8"/>
        <v>-1.2928833158214359E-2</v>
      </c>
      <c r="M31" s="18">
        <f t="shared" si="8"/>
        <v>3.5232255933127732E-2</v>
      </c>
      <c r="N31" s="18">
        <f t="shared" si="8"/>
        <v>-1.8917945045852314E-2</v>
      </c>
      <c r="O31" s="18">
        <f t="shared" si="8"/>
        <v>-4.836326528856838E-2</v>
      </c>
      <c r="P31" s="18">
        <f t="shared" si="8"/>
        <v>-5.3477652752511595E-3</v>
      </c>
      <c r="Q31" s="18">
        <f t="shared" si="8"/>
        <v>-1.2691457120581284E-2</v>
      </c>
      <c r="R31" s="40">
        <f>$S9/R9-1</f>
        <v>-3.8759689922480689E-3</v>
      </c>
    </row>
    <row r="32" spans="1:21" x14ac:dyDescent="0.2">
      <c r="A32" s="9" t="str">
        <f t="shared" ref="A32:D32" si="9">A10</f>
        <v>PEN_PERI</v>
      </c>
      <c r="B32" s="9" t="str">
        <f t="shared" si="9"/>
        <v>Peripheral</v>
      </c>
      <c r="C32" s="9" t="str">
        <f t="shared" si="9"/>
        <v>2018Q2</v>
      </c>
      <c r="D32" s="9">
        <f t="shared" si="9"/>
        <v>20180802</v>
      </c>
      <c r="E32" s="18">
        <f t="shared" si="3"/>
        <v>-5.5590437258069891E-2</v>
      </c>
      <c r="F32" s="18">
        <f t="shared" ref="F32:J32" si="10">$S10/F10-1</f>
        <v>-4.9277261876838674E-2</v>
      </c>
      <c r="G32" s="18">
        <f t="shared" si="10"/>
        <v>-6.6709529495410091E-3</v>
      </c>
      <c r="H32" s="18">
        <f t="shared" si="10"/>
        <v>-2.6847249040724552E-3</v>
      </c>
      <c r="I32" s="18">
        <f t="shared" si="10"/>
        <v>-0.13735462172749058</v>
      </c>
      <c r="J32" s="18">
        <f t="shared" si="10"/>
        <v>-2.9150181406779718E-2</v>
      </c>
      <c r="K32" s="18">
        <f t="shared" ref="K32:Q32" si="11">$S10/K10-1</f>
        <v>-7.0014411206723692E-2</v>
      </c>
      <c r="L32" s="18">
        <f t="shared" si="11"/>
        <v>-7.2602195594619445E-2</v>
      </c>
      <c r="M32" s="18">
        <f t="shared" si="11"/>
        <v>-9.1506501577421129E-2</v>
      </c>
      <c r="N32" s="18">
        <f t="shared" si="11"/>
        <v>-2.7021144945862385E-2</v>
      </c>
      <c r="O32" s="18">
        <f t="shared" si="11"/>
        <v>-1.131795082398801E-2</v>
      </c>
      <c r="P32" s="18">
        <f t="shared" si="11"/>
        <v>-6.5463391684956296E-2</v>
      </c>
      <c r="Q32" s="18">
        <f t="shared" si="11"/>
        <v>-5.7131967174295695E-2</v>
      </c>
      <c r="R32" s="40">
        <f t="shared" ref="R32:R39" si="12">$S10/R10-1</f>
        <v>2.4561403508772006E-2</v>
      </c>
    </row>
    <row r="33" spans="1:18" x14ac:dyDescent="0.2">
      <c r="A33" s="9" t="str">
        <f t="shared" ref="A33:D33" si="13">A11</f>
        <v>PEN_PERI</v>
      </c>
      <c r="B33" s="9" t="str">
        <f t="shared" si="13"/>
        <v>Peripheral</v>
      </c>
      <c r="C33" s="9" t="str">
        <f t="shared" si="13"/>
        <v>2018Q3</v>
      </c>
      <c r="D33" s="9">
        <f t="shared" si="13"/>
        <v>20181101</v>
      </c>
      <c r="E33" s="18">
        <f t="shared" si="3"/>
        <v>-4.7557458067958858E-2</v>
      </c>
      <c r="F33" s="18">
        <f t="shared" ref="F33:J33" si="14">$S11/F11-1</f>
        <v>-3.4019109009374771E-2</v>
      </c>
      <c r="G33" s="18">
        <f t="shared" si="14"/>
        <v>-4.8032894889825428E-2</v>
      </c>
      <c r="H33" s="18">
        <f t="shared" si="14"/>
        <v>-5.1152948886697192E-2</v>
      </c>
      <c r="I33" s="18">
        <f t="shared" si="14"/>
        <v>-0.11383865677356908</v>
      </c>
      <c r="J33" s="18">
        <f t="shared" si="14"/>
        <v>-3.7939919302002023E-2</v>
      </c>
      <c r="K33" s="18">
        <f t="shared" ref="K33:Q33" si="15">$S11/K11-1</f>
        <v>2.1837067704001623E-2</v>
      </c>
      <c r="L33" s="18">
        <f t="shared" si="15"/>
        <v>3.2118061639010653E-2</v>
      </c>
      <c r="M33" s="18">
        <f t="shared" si="15"/>
        <v>-1.5201605363277304E-2</v>
      </c>
      <c r="N33" s="18">
        <f t="shared" si="15"/>
        <v>-5.0178719277477635E-2</v>
      </c>
      <c r="O33" s="18">
        <f t="shared" si="15"/>
        <v>-2.900218205484506E-2</v>
      </c>
      <c r="P33" s="18">
        <f t="shared" si="15"/>
        <v>-3.181985783281438E-3</v>
      </c>
      <c r="Q33" s="18">
        <f t="shared" si="15"/>
        <v>-8.0738630942025491E-3</v>
      </c>
      <c r="R33" s="40">
        <f t="shared" si="12"/>
        <v>8.6505190311418678E-2</v>
      </c>
    </row>
    <row r="34" spans="1:18" x14ac:dyDescent="0.2">
      <c r="A34" s="9" t="str">
        <f t="shared" ref="A34:D34" si="16">A12</f>
        <v>PEN_PERI</v>
      </c>
      <c r="B34" s="9" t="str">
        <f t="shared" si="16"/>
        <v>Peripheral</v>
      </c>
      <c r="C34" s="9" t="str">
        <f t="shared" si="16"/>
        <v>2018Q4</v>
      </c>
      <c r="D34" s="9">
        <f t="shared" si="16"/>
        <v>20190221</v>
      </c>
      <c r="E34" s="18">
        <f t="shared" si="3"/>
        <v>-1.8210188470736188E-2</v>
      </c>
      <c r="F34" s="18">
        <f t="shared" ref="F34:J34" si="17">$S12/F12-1</f>
        <v>-9.2259724742117522E-3</v>
      </c>
      <c r="G34" s="18">
        <f t="shared" si="17"/>
        <v>-5.0484557938619279E-3</v>
      </c>
      <c r="H34" s="18">
        <f t="shared" si="17"/>
        <v>-3.205148349237541E-2</v>
      </c>
      <c r="I34" s="18">
        <f t="shared" si="17"/>
        <v>-0.15593947969163491</v>
      </c>
      <c r="J34" s="18">
        <f t="shared" si="17"/>
        <v>-1.6243469004577293E-2</v>
      </c>
      <c r="K34" s="18">
        <f t="shared" ref="K34:Q34" si="18">$S12/K12-1</f>
        <v>5.6292303034264357E-2</v>
      </c>
      <c r="L34" s="18">
        <f t="shared" si="18"/>
        <v>4.8332325234799356E-2</v>
      </c>
      <c r="M34" s="18">
        <f t="shared" si="18"/>
        <v>5.6012566225397853E-2</v>
      </c>
      <c r="N34" s="18">
        <f t="shared" si="18"/>
        <v>6.0927031796132347E-2</v>
      </c>
      <c r="O34" s="18">
        <f t="shared" si="18"/>
        <v>4.6238401661291562E-2</v>
      </c>
      <c r="P34" s="18">
        <f t="shared" si="18"/>
        <v>5.5424861251326396E-2</v>
      </c>
      <c r="Q34" s="18">
        <f t="shared" si="18"/>
        <v>5.384723975564687E-2</v>
      </c>
      <c r="R34" s="40">
        <f t="shared" si="12"/>
        <v>6.8047337278106745E-2</v>
      </c>
    </row>
    <row r="35" spans="1:18" x14ac:dyDescent="0.2">
      <c r="A35" s="9" t="str">
        <f t="shared" ref="A35:D35" si="19">A13</f>
        <v>PEN_PERI</v>
      </c>
      <c r="B35" s="9" t="str">
        <f t="shared" si="19"/>
        <v>Peripheral</v>
      </c>
      <c r="C35" s="9" t="str">
        <f t="shared" si="19"/>
        <v>2019Q1</v>
      </c>
      <c r="D35" s="9">
        <f t="shared" si="19"/>
        <v>20190502</v>
      </c>
      <c r="E35" s="18">
        <f t="shared" si="3"/>
        <v>-0.157438774538326</v>
      </c>
      <c r="F35" s="18">
        <f t="shared" ref="F35:J35" si="20">$S13/F13-1</f>
        <v>-0.15615039323507274</v>
      </c>
      <c r="G35" s="18">
        <f t="shared" si="20"/>
        <v>-9.8459175341588767E-2</v>
      </c>
      <c r="H35" s="18">
        <f t="shared" si="20"/>
        <v>-0.11375119907641706</v>
      </c>
      <c r="I35" s="18">
        <f t="shared" si="20"/>
        <v>-0.22596732453930424</v>
      </c>
      <c r="J35" s="18">
        <f t="shared" si="20"/>
        <v>-0.13222053732999428</v>
      </c>
      <c r="K35" s="18">
        <f t="shared" ref="K35:Q35" si="21">$S13/K13-1</f>
        <v>-0.19270837953219999</v>
      </c>
      <c r="L35" s="18">
        <f t="shared" si="21"/>
        <v>-0.1988055439812807</v>
      </c>
      <c r="M35" s="18">
        <f t="shared" si="21"/>
        <v>-0.14762448902479086</v>
      </c>
      <c r="N35" s="18">
        <f t="shared" si="21"/>
        <v>-0.13870703786223237</v>
      </c>
      <c r="O35" s="18">
        <f t="shared" si="21"/>
        <v>-0.1373528262111976</v>
      </c>
      <c r="P35" s="18">
        <f t="shared" si="21"/>
        <v>-0.17020801520819995</v>
      </c>
      <c r="Q35" s="18">
        <f t="shared" si="21"/>
        <v>-0.16497655148911428</v>
      </c>
      <c r="R35" s="40">
        <f t="shared" si="12"/>
        <v>5.5096418732782926E-3</v>
      </c>
    </row>
    <row r="36" spans="1:18" x14ac:dyDescent="0.2">
      <c r="A36" s="9" t="str">
        <f t="shared" ref="A36:D36" si="22">A14</f>
        <v>PEN_PERI</v>
      </c>
      <c r="B36" s="9" t="str">
        <f t="shared" si="22"/>
        <v>Peripheral</v>
      </c>
      <c r="C36" s="9" t="str">
        <f t="shared" si="22"/>
        <v>2019Q2</v>
      </c>
      <c r="D36" s="9">
        <f t="shared" si="22"/>
        <v>20190801</v>
      </c>
      <c r="E36" s="18">
        <f t="shared" si="3"/>
        <v>-4.7249474192256113E-2</v>
      </c>
      <c r="F36" s="18">
        <f t="shared" ref="F36:J36" si="23">$S14/F14-1</f>
        <v>-4.2315649600158767E-2</v>
      </c>
      <c r="G36" s="18">
        <f>$S14/G14-1</f>
        <v>3.2900773201682831E-4</v>
      </c>
      <c r="H36" s="18">
        <f t="shared" si="23"/>
        <v>-1.161314358733323E-2</v>
      </c>
      <c r="I36" s="18">
        <f t="shared" si="23"/>
        <v>-0.13851377426822675</v>
      </c>
      <c r="J36" s="18">
        <f t="shared" si="23"/>
        <v>-2.5625745681128409E-2</v>
      </c>
      <c r="K36" s="18">
        <f t="shared" ref="K36:Q36" si="24">$S14/K14-1</f>
        <v>7.2594409736123744E-2</v>
      </c>
      <c r="L36" s="18">
        <f t="shared" si="24"/>
        <v>7.6502739550424748E-2</v>
      </c>
      <c r="M36" s="18">
        <f t="shared" si="24"/>
        <v>5.2483427407959748E-2</v>
      </c>
      <c r="N36" s="18">
        <f t="shared" si="24"/>
        <v>5.7862207299430812E-2</v>
      </c>
      <c r="O36" s="18">
        <f t="shared" si="24"/>
        <v>5.5715369898035938E-2</v>
      </c>
      <c r="P36" s="18">
        <f t="shared" si="24"/>
        <v>6.5060390446314509E-2</v>
      </c>
      <c r="Q36" s="18">
        <f t="shared" si="24"/>
        <v>6.3296593983199756E-2</v>
      </c>
      <c r="R36" s="40">
        <f t="shared" si="12"/>
        <v>5.5555555555555358E-2</v>
      </c>
    </row>
    <row r="37" spans="1:18" x14ac:dyDescent="0.2">
      <c r="A37" s="9" t="str">
        <f t="shared" ref="A37:D37" si="25">A15</f>
        <v>PEN_PERI</v>
      </c>
      <c r="B37" s="9" t="str">
        <f t="shared" si="25"/>
        <v>Peripheral</v>
      </c>
      <c r="C37" s="9" t="str">
        <f t="shared" si="25"/>
        <v>2019Q3</v>
      </c>
      <c r="D37" s="9">
        <f t="shared" si="25"/>
        <v>20191031</v>
      </c>
      <c r="E37" s="18">
        <f t="shared" si="3"/>
        <v>-3.4700117525260699E-2</v>
      </c>
      <c r="F37" s="18">
        <f t="shared" ref="F37:J37" si="26">$S15/F15-1</f>
        <v>-6.0097296419341584E-2</v>
      </c>
      <c r="G37" s="18">
        <f>$S15/G15-1</f>
        <v>3.1062195995297248E-3</v>
      </c>
      <c r="H37" s="18">
        <f t="shared" si="26"/>
        <v>-5.2195766220843209E-2</v>
      </c>
      <c r="I37" s="18">
        <f t="shared" si="26"/>
        <v>-0.17182603007088793</v>
      </c>
      <c r="J37" s="18">
        <f t="shared" si="26"/>
        <v>-3.657661189791328E-2</v>
      </c>
      <c r="K37" s="18">
        <f t="shared" ref="K37:Q37" si="27">$S15/K15-1</f>
        <v>1.317171318940602E-2</v>
      </c>
      <c r="L37" s="18">
        <f t="shared" si="27"/>
        <v>-1.8567335690260367E-2</v>
      </c>
      <c r="M37" s="18">
        <f t="shared" si="27"/>
        <v>2.7762984438584049E-3</v>
      </c>
      <c r="N37" s="18">
        <f t="shared" si="27"/>
        <v>-4.10594519445594E-2</v>
      </c>
      <c r="O37" s="18">
        <f t="shared" si="27"/>
        <v>-3.8668355694677303E-2</v>
      </c>
      <c r="P37" s="18">
        <f t="shared" si="27"/>
        <v>-1.1238870658009992E-2</v>
      </c>
      <c r="Q37" s="18">
        <f t="shared" si="27"/>
        <v>-1.5999421863798102E-2</v>
      </c>
      <c r="R37" s="40">
        <f t="shared" si="12"/>
        <v>0.16326530612244894</v>
      </c>
    </row>
    <row r="38" spans="1:18" x14ac:dyDescent="0.2">
      <c r="A38" s="9" t="str">
        <f t="shared" ref="A38:D38" si="28">A16</f>
        <v>PEN_PERI</v>
      </c>
      <c r="B38" s="9" t="str">
        <f t="shared" si="28"/>
        <v>Peripheral</v>
      </c>
      <c r="C38" s="9" t="str">
        <f t="shared" si="28"/>
        <v>2019Q4</v>
      </c>
      <c r="D38" s="9">
        <f t="shared" si="28"/>
        <v>20200220</v>
      </c>
      <c r="E38" s="18">
        <f t="shared" si="3"/>
        <v>-2.3252693023471882E-2</v>
      </c>
      <c r="F38" s="18">
        <f t="shared" ref="F38:J38" si="29">$S16/F16-1</f>
        <v>-2.3869653774195254E-2</v>
      </c>
      <c r="G38" s="18">
        <f t="shared" si="29"/>
        <v>-1.7173136651360776E-2</v>
      </c>
      <c r="H38" s="18">
        <f t="shared" si="29"/>
        <v>-4.4601395735885618E-2</v>
      </c>
      <c r="I38" s="18">
        <f t="shared" si="29"/>
        <v>-0.12187990203065724</v>
      </c>
      <c r="J38" s="18">
        <f t="shared" si="29"/>
        <v>-2.7335839337244372E-2</v>
      </c>
      <c r="K38" s="18">
        <f t="shared" ref="K38:Q38" si="30">$S16/K16-1</f>
        <v>2.4439770075698197E-2</v>
      </c>
      <c r="L38" s="18">
        <f t="shared" si="30"/>
        <v>5.1456660594436654E-2</v>
      </c>
      <c r="M38" s="18">
        <f t="shared" si="30"/>
        <v>-8.0345270546445802E-3</v>
      </c>
      <c r="N38" s="18">
        <f t="shared" si="30"/>
        <v>2.0545610232465927E-2</v>
      </c>
      <c r="O38" s="18">
        <f t="shared" si="30"/>
        <v>7.3491974060384324E-2</v>
      </c>
      <c r="P38" s="18">
        <f t="shared" si="30"/>
        <v>2.214424949945637E-2</v>
      </c>
      <c r="Q38" s="18">
        <f t="shared" si="30"/>
        <v>3.0034558183618332E-2</v>
      </c>
      <c r="R38" s="40">
        <f t="shared" si="12"/>
        <v>9.4298245614035103E-2</v>
      </c>
    </row>
    <row r="39" spans="1:18" x14ac:dyDescent="0.2">
      <c r="A39" s="9" t="str">
        <f t="shared" ref="A39:D39" si="31">A17</f>
        <v>PEN_PERI</v>
      </c>
      <c r="B39" s="9" t="str">
        <f t="shared" si="31"/>
        <v>Peripheral</v>
      </c>
      <c r="C39" s="9" t="str">
        <f t="shared" si="31"/>
        <v>2020Q1</v>
      </c>
      <c r="D39" s="9">
        <f t="shared" si="31"/>
        <v>20200430</v>
      </c>
      <c r="E39" s="18">
        <f t="shared" si="4"/>
        <v>-1.4569176835619535E-2</v>
      </c>
      <c r="F39" s="18">
        <f t="shared" ref="F39:J39" si="32">$S17/F17-1</f>
        <v>-1.7509835075363855E-2</v>
      </c>
      <c r="G39" s="18">
        <f t="shared" ref="G39:G44" si="33">$S17/G17-1</f>
        <v>-2.7501956936520577E-2</v>
      </c>
      <c r="H39" s="18">
        <f t="shared" si="32"/>
        <v>-3.910217345991096E-2</v>
      </c>
      <c r="I39" s="18">
        <f t="shared" si="32"/>
        <v>-0.18069248679012062</v>
      </c>
      <c r="J39" s="18">
        <f t="shared" si="32"/>
        <v>-2.4765957895770518E-2</v>
      </c>
      <c r="K39" s="18">
        <f t="shared" ref="K39:Q39" si="34">$S17/K17-1</f>
        <v>5.2333254275206853E-2</v>
      </c>
      <c r="L39" s="18">
        <f t="shared" si="34"/>
        <v>4.9856089961622052E-2</v>
      </c>
      <c r="M39" s="18">
        <f t="shared" si="34"/>
        <v>3.2098370298687673E-2</v>
      </c>
      <c r="N39" s="18">
        <f t="shared" si="34"/>
        <v>4.9063998314297974E-2</v>
      </c>
      <c r="O39" s="18">
        <f t="shared" si="34"/>
        <v>-2.679933973215276E-2</v>
      </c>
      <c r="P39" s="18">
        <f t="shared" si="34"/>
        <v>4.5816075883021945E-2</v>
      </c>
      <c r="Q39" s="18">
        <f t="shared" si="34"/>
        <v>3.2944064208531021E-2</v>
      </c>
      <c r="R39" s="40">
        <f t="shared" si="12"/>
        <v>0.24876847290640391</v>
      </c>
    </row>
    <row r="40" spans="1:18" x14ac:dyDescent="0.2">
      <c r="A40" s="9" t="str">
        <f t="shared" ref="A40:D40" si="35">A18</f>
        <v>PEN_PERI</v>
      </c>
      <c r="B40" s="9" t="str">
        <f t="shared" si="35"/>
        <v>Peripheral</v>
      </c>
      <c r="C40" s="9" t="str">
        <f t="shared" si="35"/>
        <v>2020Q2</v>
      </c>
      <c r="D40" s="9">
        <f t="shared" si="35"/>
        <v>20200723</v>
      </c>
      <c r="E40" s="18">
        <f>$S18/E18-1</f>
        <v>-0.10189662109802577</v>
      </c>
      <c r="F40" s="18">
        <f t="shared" ref="F40:J40" si="36">$S18/F18-1</f>
        <v>-7.8924224638879936E-2</v>
      </c>
      <c r="G40" s="18">
        <f t="shared" si="33"/>
        <v>5.072699240572387E-2</v>
      </c>
      <c r="H40" s="18">
        <f t="shared" si="36"/>
        <v>-0.11796529188946248</v>
      </c>
      <c r="I40" s="18">
        <f t="shared" si="36"/>
        <v>-0.26135208114238617</v>
      </c>
      <c r="J40" s="18">
        <f t="shared" si="36"/>
        <v>-6.6425855876162454E-2</v>
      </c>
      <c r="K40" s="18">
        <f t="shared" ref="K40:Q40" si="37">$S18/K18-1</f>
        <v>-8.8024950265840007E-2</v>
      </c>
      <c r="L40" s="18">
        <f t="shared" si="37"/>
        <v>-6.1898311541006223E-2</v>
      </c>
      <c r="M40" s="18">
        <f t="shared" si="37"/>
        <v>8.1144944695140442E-2</v>
      </c>
      <c r="N40" s="18">
        <f t="shared" si="37"/>
        <v>-8.1474467851237686E-2</v>
      </c>
      <c r="O40" s="18">
        <f t="shared" si="37"/>
        <v>-9.7861307472689507E-2</v>
      </c>
      <c r="P40" s="18">
        <f t="shared" si="37"/>
        <v>-4.2094357485118583E-2</v>
      </c>
      <c r="Q40" s="18">
        <f t="shared" si="37"/>
        <v>-5.191876707147125E-2</v>
      </c>
      <c r="R40" s="40">
        <f t="shared" ref="R40" si="38">$S18/R18-1</f>
        <v>0.42753623188405787</v>
      </c>
    </row>
    <row r="41" spans="1:18" x14ac:dyDescent="0.2">
      <c r="A41" s="9" t="str">
        <f t="shared" ref="A41:D41" si="39">A19</f>
        <v>PEN_PERI</v>
      </c>
      <c r="B41" s="9" t="str">
        <f t="shared" si="39"/>
        <v>Peripheral</v>
      </c>
      <c r="C41" s="9" t="str">
        <f t="shared" si="39"/>
        <v>2020Q3</v>
      </c>
      <c r="D41" s="9">
        <f t="shared" si="39"/>
        <v>20201022</v>
      </c>
      <c r="E41" s="18">
        <f>$S19/E19-1</f>
        <v>0.1582366636663497</v>
      </c>
      <c r="F41" s="18">
        <f t="shared" ref="F41:I41" si="40">$S19/F19-1</f>
        <v>0.14998398902261179</v>
      </c>
      <c r="G41" s="18">
        <f t="shared" si="33"/>
        <v>0.13690125047838086</v>
      </c>
      <c r="H41" s="18">
        <f t="shared" si="40"/>
        <v>0.18963574063037703</v>
      </c>
      <c r="I41" s="18">
        <f t="shared" si="40"/>
        <v>-5.1453939089158074E-2</v>
      </c>
      <c r="J41" s="18">
        <f>$S19/J19-1</f>
        <v>0.15836733738511866</v>
      </c>
      <c r="K41" s="18">
        <f t="shared" ref="K41:Q41" si="41">$S19/K19-1</f>
        <v>0.2896146420903547</v>
      </c>
      <c r="L41" s="18">
        <f t="shared" si="41"/>
        <v>0.24849098533901404</v>
      </c>
      <c r="M41" s="18">
        <f t="shared" si="41"/>
        <v>8.1986476093170113E-2</v>
      </c>
      <c r="N41" s="18">
        <f t="shared" si="41"/>
        <v>0.3487060505186963</v>
      </c>
      <c r="O41" s="18">
        <f t="shared" si="41"/>
        <v>0.28413275463595289</v>
      </c>
      <c r="P41" s="18">
        <f t="shared" si="41"/>
        <v>0.24075623263128532</v>
      </c>
      <c r="Q41" s="18">
        <f t="shared" si="41"/>
        <v>0.24306846275030503</v>
      </c>
      <c r="R41" s="40">
        <f>$S19/R19-1</f>
        <v>0.42794759825327522</v>
      </c>
    </row>
    <row r="42" spans="1:18" x14ac:dyDescent="0.2">
      <c r="A42" s="9" t="str">
        <f t="shared" ref="A42:D42" si="42">A20</f>
        <v>PEN_PERI</v>
      </c>
      <c r="B42" s="9" t="str">
        <f t="shared" si="42"/>
        <v>Peripheral</v>
      </c>
      <c r="C42" s="9" t="str">
        <f t="shared" si="42"/>
        <v>2020Q4</v>
      </c>
      <c r="D42" s="9">
        <f t="shared" si="42"/>
        <v>20210218</v>
      </c>
      <c r="E42" s="18">
        <f>$S20/E20-1</f>
        <v>7.7912361654755458E-2</v>
      </c>
      <c r="F42" s="18">
        <f t="shared" ref="F42:I42" si="43">$S20/F20-1</f>
        <v>9.1211530104764238E-2</v>
      </c>
      <c r="G42" s="18">
        <f t="shared" si="33"/>
        <v>3.6923383513404184E-2</v>
      </c>
      <c r="H42" s="18">
        <f t="shared" si="43"/>
        <v>3.1600959662911432E-2</v>
      </c>
      <c r="I42" s="18">
        <f t="shared" si="43"/>
        <v>-6.880695729241959E-2</v>
      </c>
      <c r="J42" s="18">
        <f>$S20/J20-1</f>
        <v>5.8791996776033528E-2</v>
      </c>
      <c r="K42" s="18">
        <f t="shared" ref="K42:Q42" si="44">$S20/K20-1</f>
        <v>-5.3429599996643096E-2</v>
      </c>
      <c r="L42" s="18">
        <f t="shared" si="44"/>
        <v>-3.4874194718908402E-2</v>
      </c>
      <c r="M42" s="18">
        <f t="shared" si="44"/>
        <v>-7.2336007805892222E-2</v>
      </c>
      <c r="N42" s="18">
        <f t="shared" si="44"/>
        <v>-0.11800827706240768</v>
      </c>
      <c r="O42" s="18">
        <f t="shared" si="44"/>
        <v>-1.4999910793572768E-3</v>
      </c>
      <c r="P42" s="18">
        <f t="shared" si="44"/>
        <v>-7.032506495046964E-2</v>
      </c>
      <c r="Q42" s="18">
        <f t="shared" si="44"/>
        <v>-5.9782308021053332E-2</v>
      </c>
      <c r="R42" s="40">
        <f>$S20/R20-1</f>
        <v>8.0168776371308148E-2</v>
      </c>
    </row>
    <row r="43" spans="1:18" x14ac:dyDescent="0.2">
      <c r="A43" s="9" t="str">
        <f t="shared" ref="A43:D43" si="45">A21</f>
        <v>PEN_PERI</v>
      </c>
      <c r="B43" s="9" t="str">
        <f t="shared" si="45"/>
        <v>Peripheral</v>
      </c>
      <c r="C43" s="9" t="str">
        <f t="shared" si="45"/>
        <v>2021Q1</v>
      </c>
      <c r="D43" s="9">
        <f t="shared" si="45"/>
        <v>20210429</v>
      </c>
      <c r="E43" s="18">
        <f>$S21/E21-1</f>
        <v>-4.8504340337085061E-2</v>
      </c>
      <c r="F43" s="18">
        <f t="shared" ref="F43:J43" si="46">$S21/F21-1</f>
        <v>-2.6616336276226504E-2</v>
      </c>
      <c r="G43" s="18">
        <f t="shared" si="33"/>
        <v>-3.2358418929241739E-2</v>
      </c>
      <c r="H43" s="18">
        <f t="shared" si="46"/>
        <v>-5.0622069569589034E-2</v>
      </c>
      <c r="I43" s="18">
        <f t="shared" si="46"/>
        <v>-0.1202104354633784</v>
      </c>
      <c r="J43" s="18">
        <f t="shared" si="46"/>
        <v>-3.9634958035321577E-2</v>
      </c>
      <c r="K43" s="18">
        <f t="shared" ref="K43:Q43" si="47">$S21/K21-1</f>
        <v>-0.11727920236277101</v>
      </c>
      <c r="L43" s="18">
        <f t="shared" si="47"/>
        <v>-0.10797894187360568</v>
      </c>
      <c r="M43" s="18">
        <f t="shared" si="47"/>
        <v>-6.6814774885198047E-2</v>
      </c>
      <c r="N43" s="18">
        <f t="shared" si="47"/>
        <v>-7.9704296959328125E-2</v>
      </c>
      <c r="O43" s="18">
        <f t="shared" si="47"/>
        <v>-5.5201742080778105E-2</v>
      </c>
      <c r="P43" s="18">
        <f t="shared" si="47"/>
        <v>-9.2961559126872872E-2</v>
      </c>
      <c r="Q43" s="18">
        <f t="shared" si="47"/>
        <v>-8.7179363474096827E-2</v>
      </c>
      <c r="R43" s="40">
        <f>$S21/R21-1</f>
        <v>5.8577405857740628E-2</v>
      </c>
    </row>
    <row r="44" spans="1:18" x14ac:dyDescent="0.2">
      <c r="A44" s="9" t="str">
        <f t="shared" ref="A44:D44" si="48">A22</f>
        <v>PEN_PERI</v>
      </c>
      <c r="B44" s="9" t="str">
        <f t="shared" si="48"/>
        <v>Peripheral</v>
      </c>
      <c r="C44" s="9" t="str">
        <f t="shared" si="48"/>
        <v>2021Q2</v>
      </c>
      <c r="D44" s="9">
        <f t="shared" si="48"/>
        <v>20210805</v>
      </c>
      <c r="E44" s="18">
        <f>$S22/E22-1</f>
        <v>-2.5593120715206252E-2</v>
      </c>
      <c r="F44" s="18">
        <f t="shared" ref="F44:J44" si="49">$S22/F22-1</f>
        <v>-0.10565042836582828</v>
      </c>
      <c r="G44" s="18">
        <f t="shared" si="33"/>
        <v>-0.11735886853960809</v>
      </c>
      <c r="H44" s="18">
        <f t="shared" si="49"/>
        <v>-1.1167651756640695E-2</v>
      </c>
      <c r="I44" s="18">
        <f t="shared" si="49"/>
        <v>-0.10409451364504474</v>
      </c>
      <c r="J44" s="18">
        <f t="shared" si="49"/>
        <v>-6.7306306229514945E-2</v>
      </c>
      <c r="K44" s="18">
        <f t="shared" ref="K44:Q44" si="50">$S22/K22-1</f>
        <v>1.2120029382450825E-2</v>
      </c>
      <c r="L44" s="18">
        <f t="shared" si="50"/>
        <v>8.0693610621538348E-3</v>
      </c>
      <c r="M44" s="18">
        <f t="shared" si="50"/>
        <v>2.5531753754890474E-2</v>
      </c>
      <c r="N44" s="18">
        <f t="shared" si="50"/>
        <v>2.815081875412595E-2</v>
      </c>
      <c r="O44" s="18">
        <f t="shared" si="50"/>
        <v>3.7199716029426622E-2</v>
      </c>
      <c r="P44" s="18">
        <f t="shared" si="50"/>
        <v>4.0070655205592942E-3</v>
      </c>
      <c r="Q44" s="18">
        <f t="shared" si="50"/>
        <v>1.9041196264334648E-2</v>
      </c>
      <c r="R44" s="40">
        <f>$S22/R22-1</f>
        <v>0.10498687664041984</v>
      </c>
    </row>
    <row r="45" spans="1:18" x14ac:dyDescent="0.2">
      <c r="A45" s="175" t="s">
        <v>77</v>
      </c>
      <c r="B45" s="175"/>
      <c r="C45" s="171"/>
      <c r="D45" s="172"/>
      <c r="E45" s="73" cm="1">
        <f t="array" ref="E45">SUM(ABS(E28:E44))/COUNT(E28:E44)</f>
        <v>6.3738874365346296E-2</v>
      </c>
      <c r="F45" s="73" cm="1">
        <f t="array" ref="F45">SUM(ABS(F28:F44))/COUNT(F28:F44)</f>
        <v>6.6706812916858524E-2</v>
      </c>
      <c r="G45" s="75" cm="1">
        <f t="array" ref="G45">SUM(ABS(G28:G44))/COUNT(G28:G44)</f>
        <v>5.6740199166921843E-2</v>
      </c>
      <c r="H45" s="73" cm="1">
        <f t="array" ref="H45">SUM(ABS(H28:H44))/COUNT(H28:H44)</f>
        <v>5.4634735334227406E-2</v>
      </c>
      <c r="I45" s="73" cm="1">
        <f t="array" ref="I45">SUM(ABS(I28:I44))/COUNT(I28:I44)</f>
        <v>0.13740671831481177</v>
      </c>
      <c r="J45" s="75" cm="1">
        <f t="array" ref="J45">SUM(ABS(J28:J44))/COUNT(J28:J44)</f>
        <v>5.8874645342427236E-2</v>
      </c>
      <c r="K45" s="73" cm="1">
        <f t="array" ref="K45">SUM(ABS(K28:K44))/COUNT(K28:K44)</f>
        <v>9.2280884026027424E-2</v>
      </c>
      <c r="L45" s="73" cm="1">
        <f t="array" ref="L45">SUM(ABS(L28:L44))/COUNT(L28:L44)</f>
        <v>8.659894523806734E-2</v>
      </c>
      <c r="M45" s="73" cm="1">
        <f t="array" ref="M45">SUM(ABS(M28:M44))/COUNT(M28:M44)</f>
        <v>6.6775776249134E-2</v>
      </c>
      <c r="N45" s="73" cm="1">
        <f t="array" ref="N45">SUM(ABS(N28:N44))/COUNT(N28:N44)</f>
        <v>8.6203991219625298E-2</v>
      </c>
      <c r="O45" s="73" cm="1">
        <f t="array" ref="O45">SUM(ABS(O28:O44))/COUNT(O28:O44)</f>
        <v>7.6305596898448458E-2</v>
      </c>
      <c r="P45" s="73" cm="1">
        <f t="array" ref="P45">SUM(ABS(P28:P44))/COUNT(P28:P44)</f>
        <v>7.5455094479695034E-2</v>
      </c>
      <c r="Q45" s="73" cm="1">
        <f t="array" ref="Q45">SUM(ABS(Q28:Q44))/COUNT(Q28:Q44)</f>
        <v>7.5152776154422868E-2</v>
      </c>
      <c r="R45" s="73" cm="1">
        <f t="array" ref="R45">SUM(ABS(R28:R44))/COUNT(R28:R44)</f>
        <v>0.12701201390168404</v>
      </c>
    </row>
    <row r="46" spans="1:18" x14ac:dyDescent="0.2">
      <c r="A46" s="176" t="s">
        <v>78</v>
      </c>
      <c r="B46" s="176"/>
      <c r="C46" s="173"/>
      <c r="D46" s="174"/>
      <c r="E46" s="74" cm="1">
        <f t="array" ref="E46">SQRT(SUM(POWER(E28:E44,2))/COUNT(E28:E44))</f>
        <v>8.0852486800567461E-2</v>
      </c>
      <c r="F46" s="74" cm="1">
        <f t="array" ref="F46">SQRT(SUM(POWER(F28:F44,2))/COUNT(F28:F44))</f>
        <v>8.0898030319735609E-2</v>
      </c>
      <c r="G46" s="76" cm="1">
        <f t="array" ref="G46">SQRT(SUM(POWER(G28:G44,2))/COUNT(G28:G44))</f>
        <v>7.6741376338007483E-2</v>
      </c>
      <c r="H46" s="74" cm="1">
        <f t="array" ref="H46">SQRT(SUM(POWER(H28:H44,2))/COUNT(H28:H44))</f>
        <v>7.1560338159927309E-2</v>
      </c>
      <c r="I46" s="74" cm="1">
        <f t="array" ref="I46">SQRT(SUM(POWER(I28:I44,2))/COUNT(I28:I44))</f>
        <v>0.14794574393622134</v>
      </c>
      <c r="J46" s="76" cm="1">
        <f t="array" ref="J46">SQRT(SUM(POWER(J28:J44,2))/COUNT(J28:J44))</f>
        <v>7.0274393458686732E-2</v>
      </c>
      <c r="K46" s="74" cm="1">
        <f t="array" ref="K46">SQRT(SUM(POWER(K28:K44,2))/COUNT(K28:K44))</f>
        <v>0.12683721488015567</v>
      </c>
      <c r="L46" s="74" cm="1">
        <f t="array" ref="L46">SQRT(SUM(POWER(L28:L44,2))/COUNT(L28:L44))</f>
        <v>0.11946537295126024</v>
      </c>
      <c r="M46" s="74" cm="1">
        <f t="array" ref="M46">SQRT(SUM(POWER(M28:M44,2))/COUNT(M28:M44))</f>
        <v>9.2543101506644534E-2</v>
      </c>
      <c r="N46" s="74" cm="1">
        <f t="array" ref="N46">SQRT(SUM(POWER(N28:N44,2))/COUNT(N28:N44))</f>
        <v>0.11662078719827043</v>
      </c>
      <c r="O46" s="74" cm="1">
        <f t="array" ref="O46">SQRT(SUM(POWER(O28:O44,2))/COUNT(O28:O44))</f>
        <v>0.10279857422850486</v>
      </c>
      <c r="P46" s="74" cm="1">
        <f t="array" ref="P46">SQRT(SUM(POWER(P28:P44,2))/COUNT(P28:P44))</f>
        <v>0.10674653954761318</v>
      </c>
      <c r="Q46" s="74" cm="1">
        <f t="array" ref="Q46">SQRT(SUM(POWER(Q28:Q44,2))/COUNT(Q28:Q44))</f>
        <v>0.10351486605763566</v>
      </c>
      <c r="R46" s="74" cm="1">
        <f t="array" ref="R46">SQRT(SUM(POWER(R28:R44,2))/COUNT(R28:R44))</f>
        <v>0.17692147176236836</v>
      </c>
    </row>
    <row r="47" spans="1:18" x14ac:dyDescent="0.2">
      <c r="G47" s="3">
        <f>AVERAGE(G29:G31,G34,G40:G42,G44)</f>
        <v>5.8046248922306642E-2</v>
      </c>
      <c r="J47" s="3"/>
    </row>
    <row r="48" spans="1:18" x14ac:dyDescent="0.2">
      <c r="B48" t="s">
        <v>158</v>
      </c>
      <c r="G48" s="3">
        <f>AVERAGE(G41,G29,G31)</f>
        <v>0.13720998073524507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4"/>
  <sheetViews>
    <sheetView zoomScale="85" zoomScaleNormal="85" workbookViewId="0">
      <selection activeCell="D15" sqref="D15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103</v>
      </c>
      <c r="B1" t="s">
        <v>83</v>
      </c>
    </row>
    <row r="2" spans="1:17" x14ac:dyDescent="0.2">
      <c r="A2" s="67" t="s">
        <v>98</v>
      </c>
      <c r="B2" t="s">
        <v>81</v>
      </c>
    </row>
    <row r="3" spans="1:17" x14ac:dyDescent="0.2">
      <c r="A3" s="67" t="s">
        <v>99</v>
      </c>
      <c r="B3" t="s">
        <v>147</v>
      </c>
    </row>
    <row r="4" spans="1:17" x14ac:dyDescent="0.2">
      <c r="A4" s="67" t="s">
        <v>100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101</v>
      </c>
      <c r="B7" s="177" t="s">
        <v>82</v>
      </c>
      <c r="C7" s="177"/>
      <c r="D7" s="177" t="s">
        <v>112</v>
      </c>
      <c r="E7" s="177"/>
      <c r="F7" s="177"/>
      <c r="G7" s="177"/>
      <c r="H7" s="177"/>
      <c r="I7" s="177"/>
      <c r="J7" s="177"/>
      <c r="K7" s="177"/>
      <c r="L7" s="177"/>
      <c r="M7" s="177"/>
      <c r="N7" s="177"/>
      <c r="O7" s="6"/>
      <c r="P7" s="6"/>
      <c r="Q7" s="6"/>
    </row>
    <row r="8" spans="1:17" ht="15" x14ac:dyDescent="0.2">
      <c r="A8" s="67" t="s">
        <v>175</v>
      </c>
      <c r="C8" s="71" t="s">
        <v>84</v>
      </c>
      <c r="D8" s="71" t="s">
        <v>85</v>
      </c>
      <c r="E8" s="71" t="s">
        <v>86</v>
      </c>
      <c r="F8" s="71" t="s">
        <v>87</v>
      </c>
      <c r="G8" s="71" t="s">
        <v>88</v>
      </c>
      <c r="H8" s="71" t="s">
        <v>89</v>
      </c>
      <c r="I8" s="71" t="s">
        <v>90</v>
      </c>
      <c r="J8" s="71" t="s">
        <v>91</v>
      </c>
      <c r="K8" s="71" t="s">
        <v>92</v>
      </c>
      <c r="L8" s="71" t="s">
        <v>93</v>
      </c>
      <c r="M8" s="71" t="s">
        <v>94</v>
      </c>
      <c r="O8" s="6"/>
      <c r="P8" s="6"/>
      <c r="Q8" s="6"/>
    </row>
    <row r="9" spans="1:17" ht="15" x14ac:dyDescent="0.2">
      <c r="B9" s="71" t="s">
        <v>95</v>
      </c>
      <c r="C9" s="2">
        <v>0.1134268324669974</v>
      </c>
      <c r="D9" s="2">
        <v>5.6174292909630462E-2</v>
      </c>
      <c r="E9" s="2">
        <v>5.3249891298690372E-2</v>
      </c>
      <c r="F9" s="2">
        <v>0.12582076858947089</v>
      </c>
      <c r="G9" s="2">
        <v>6.5477165360762354E-2</v>
      </c>
      <c r="H9" s="2">
        <v>5.4025564229171867E-2</v>
      </c>
      <c r="I9" s="2">
        <v>5.3710369673337283E-2</v>
      </c>
      <c r="J9" s="2">
        <v>6.641582673001023E-2</v>
      </c>
      <c r="K9" s="2">
        <v>6.3944107404875022E-2</v>
      </c>
      <c r="L9" s="2">
        <v>7.6108192679586031E-2</v>
      </c>
      <c r="M9" s="2">
        <v>8.1763560453187487E-2</v>
      </c>
      <c r="O9" s="6"/>
      <c r="P9" s="6"/>
      <c r="Q9" s="6"/>
    </row>
    <row r="10" spans="1:17" ht="15" x14ac:dyDescent="0.2">
      <c r="B10" s="71" t="s">
        <v>96</v>
      </c>
      <c r="C10" s="2">
        <v>0.14102417718797219</v>
      </c>
      <c r="D10" s="2">
        <v>7.5810862932282522E-2</v>
      </c>
      <c r="E10" s="2">
        <v>5.6756634018600087E-2</v>
      </c>
      <c r="F10" s="2">
        <v>0.1626719869513758</v>
      </c>
      <c r="G10" s="2">
        <v>7.2733830427382212E-2</v>
      </c>
      <c r="H10" s="2">
        <v>5.7784116488289461E-2</v>
      </c>
      <c r="I10" s="2">
        <v>5.7182169868299722E-2</v>
      </c>
      <c r="J10" s="2">
        <v>7.3667165403753718E-2</v>
      </c>
      <c r="K10" s="2">
        <v>7.028325969601977E-2</v>
      </c>
      <c r="L10" s="2">
        <v>8.7542164723195329E-2</v>
      </c>
      <c r="M10" s="2">
        <v>9.156115444613544E-2</v>
      </c>
      <c r="O10" s="6"/>
      <c r="P10" s="6"/>
      <c r="Q10" s="6"/>
    </row>
    <row r="11" spans="1:17" ht="15" x14ac:dyDescent="0.2">
      <c r="B11" s="71" t="s">
        <v>97</v>
      </c>
      <c r="C11" s="2">
        <v>-8.6172344689378733E-2</v>
      </c>
      <c r="D11" s="2">
        <v>2.8279704142011749E-2</v>
      </c>
      <c r="E11" s="2">
        <v>-3.2420102942539393E-2</v>
      </c>
      <c r="F11" s="2">
        <v>-5.4139328107101092E-2</v>
      </c>
      <c r="G11" s="2">
        <v>-3.9836236019052507E-2</v>
      </c>
      <c r="H11" s="2">
        <v>-3.242420205545149E-2</v>
      </c>
      <c r="I11" s="2">
        <v>-3.407608214355673E-2</v>
      </c>
      <c r="J11" s="2">
        <v>-4.9975605972288117E-2</v>
      </c>
      <c r="K11" s="2">
        <v>-5.0580384277332469E-2</v>
      </c>
      <c r="L11" s="2">
        <v>2.6863964287514811E-2</v>
      </c>
      <c r="M11" s="2">
        <v>-3.2877931749521472E-2</v>
      </c>
      <c r="O11" s="6"/>
      <c r="P11" s="6"/>
      <c r="Q11" s="6"/>
    </row>
    <row r="12" spans="1:17" ht="15" x14ac:dyDescent="0.2">
      <c r="B12" s="9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6"/>
      <c r="P12" s="6"/>
      <c r="Q12" s="6"/>
    </row>
    <row r="13" spans="1:17" ht="15" x14ac:dyDescent="0.2">
      <c r="B13" s="93"/>
      <c r="C13" s="2"/>
      <c r="D13" s="2"/>
      <c r="E13" s="2"/>
      <c r="F13" s="2"/>
      <c r="G13" s="2"/>
      <c r="H13" s="2"/>
      <c r="I13" s="2"/>
      <c r="J13" s="2"/>
      <c r="K13" s="2"/>
      <c r="L13" s="112"/>
      <c r="M13" s="2"/>
      <c r="O13" s="6"/>
      <c r="P13" s="6"/>
      <c r="Q13" s="6"/>
    </row>
    <row r="14" spans="1:17" ht="15" x14ac:dyDescent="0.2">
      <c r="A14" s="67" t="s">
        <v>172</v>
      </c>
      <c r="C14" s="71" t="s">
        <v>84</v>
      </c>
      <c r="D14" s="71" t="s">
        <v>85</v>
      </c>
      <c r="E14" s="71" t="s">
        <v>86</v>
      </c>
      <c r="F14" s="71" t="s">
        <v>87</v>
      </c>
      <c r="G14" s="71" t="s">
        <v>88</v>
      </c>
      <c r="H14" s="71" t="s">
        <v>89</v>
      </c>
      <c r="I14" s="71" t="s">
        <v>90</v>
      </c>
      <c r="J14" s="71" t="s">
        <v>91</v>
      </c>
      <c r="K14" s="71" t="s">
        <v>92</v>
      </c>
      <c r="L14" s="71" t="s">
        <v>93</v>
      </c>
      <c r="M14" s="71" t="s">
        <v>94</v>
      </c>
      <c r="O14" s="6"/>
      <c r="P14" s="6"/>
      <c r="Q14" s="6"/>
    </row>
    <row r="15" spans="1:17" ht="15" x14ac:dyDescent="0.2">
      <c r="B15" s="71" t="s">
        <v>95</v>
      </c>
      <c r="C15" s="2">
        <v>0.14244873255363111</v>
      </c>
      <c r="D15" s="2">
        <v>7.5654799816584073E-2</v>
      </c>
      <c r="E15" s="2">
        <v>9.4487838055032664E-2</v>
      </c>
      <c r="F15" s="2">
        <v>0.1628137906350566</v>
      </c>
      <c r="G15" s="2">
        <v>0.1057798042340925</v>
      </c>
      <c r="H15" s="2">
        <v>9.5010929644388592E-2</v>
      </c>
      <c r="I15" s="2">
        <v>9.3272622348141432E-2</v>
      </c>
      <c r="J15" s="2">
        <v>0.1066221587406697</v>
      </c>
      <c r="K15" s="2">
        <v>0.10077418648243799</v>
      </c>
      <c r="L15" s="2">
        <v>0.14175104442514649</v>
      </c>
      <c r="M15" s="2">
        <v>0.32760353125543679</v>
      </c>
      <c r="O15" s="6"/>
      <c r="P15" s="6"/>
      <c r="Q15" s="6"/>
    </row>
    <row r="16" spans="1:17" ht="15" x14ac:dyDescent="0.2">
      <c r="B16" s="71" t="s">
        <v>96</v>
      </c>
      <c r="C16" s="2">
        <v>0.1849108773791478</v>
      </c>
      <c r="D16" s="2">
        <v>0.1071056593212074</v>
      </c>
      <c r="E16" s="2">
        <v>0.12676568656825229</v>
      </c>
      <c r="F16" s="2">
        <v>0.23388750115915299</v>
      </c>
      <c r="G16" s="2">
        <v>0.13539856269847231</v>
      </c>
      <c r="H16" s="2">
        <v>0.12723329882961351</v>
      </c>
      <c r="I16" s="2">
        <v>0.1240806358753056</v>
      </c>
      <c r="J16" s="2">
        <v>0.13737886768743909</v>
      </c>
      <c r="K16" s="2">
        <v>0.13056794271821379</v>
      </c>
      <c r="L16" s="2">
        <v>0.24981833370358991</v>
      </c>
      <c r="M16" s="2">
        <v>0.61202441717099898</v>
      </c>
      <c r="O16" s="6"/>
      <c r="P16" s="6"/>
      <c r="Q16" s="6"/>
    </row>
    <row r="17" spans="1:17" ht="15" x14ac:dyDescent="0.2">
      <c r="B17" s="71" t="s">
        <v>97</v>
      </c>
      <c r="C17" s="2">
        <v>-9.0592110586969643E-2</v>
      </c>
      <c r="D17" s="2">
        <v>2.2876455277418661E-2</v>
      </c>
      <c r="E17" s="2">
        <v>-2.2351092321772681E-2</v>
      </c>
      <c r="F17" s="2">
        <v>-9.1845711745475178E-5</v>
      </c>
      <c r="G17" s="2">
        <v>-2.9663812585910498E-2</v>
      </c>
      <c r="H17" s="2">
        <v>-2.2354571790057402E-2</v>
      </c>
      <c r="I17" s="2">
        <v>-2.3196738428974129E-2</v>
      </c>
      <c r="J17" s="2">
        <v>-3.4731543385834063E-2</v>
      </c>
      <c r="K17" s="2">
        <v>-2.7021930634933689E-2</v>
      </c>
      <c r="L17" s="2">
        <v>5.1488714019785609E-3</v>
      </c>
      <c r="M17" s="2">
        <v>-5.5157603013537948E-2</v>
      </c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A19" s="67" t="s">
        <v>102</v>
      </c>
      <c r="B19" t="s">
        <v>105</v>
      </c>
      <c r="O19" s="6"/>
      <c r="P19" s="6"/>
      <c r="Q19" s="6"/>
    </row>
    <row r="20" spans="1:17" x14ac:dyDescent="0.2">
      <c r="B20" t="s">
        <v>139</v>
      </c>
      <c r="H20" s="68" t="s">
        <v>106</v>
      </c>
      <c r="O20" s="6"/>
      <c r="P20" s="6"/>
      <c r="Q20" s="6"/>
    </row>
    <row r="21" spans="1:17" x14ac:dyDescent="0.2">
      <c r="B21" t="s">
        <v>140</v>
      </c>
      <c r="H21" s="68"/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A24" s="67" t="s">
        <v>104</v>
      </c>
      <c r="B24" s="178" t="s">
        <v>108</v>
      </c>
      <c r="C24" s="178"/>
      <c r="D24" s="178"/>
      <c r="E24" s="178"/>
      <c r="F24" s="66" t="e">
        <f>#REF!+#REF!*'2. Past Proj &amp; Candidate Model'!R22</f>
        <v>#REF!</v>
      </c>
      <c r="G24" s="69" t="s">
        <v>109</v>
      </c>
      <c r="H24" s="2" t="e">
        <f>'2. Past Proj &amp; Candidate Model'!S22/'3. Improved Alpha Model'!F24-1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O27" s="6"/>
      <c r="P27" s="6"/>
      <c r="Q27" s="6"/>
    </row>
    <row r="28" spans="1:17" x14ac:dyDescent="0.2">
      <c r="B28" s="179" t="s">
        <v>159</v>
      </c>
      <c r="C28" s="179"/>
      <c r="D28" s="179"/>
      <c r="E28" s="3">
        <f>C9</f>
        <v>0.1134268324669974</v>
      </c>
      <c r="F28" t="s">
        <v>110</v>
      </c>
      <c r="G28" s="179" t="s">
        <v>111</v>
      </c>
      <c r="H28" s="179"/>
      <c r="I28" s="3" t="e">
        <f>#REF!</f>
        <v>#REF!</v>
      </c>
      <c r="O28" s="6"/>
      <c r="P28" s="6"/>
      <c r="Q28" s="6"/>
    </row>
    <row r="29" spans="1:17" x14ac:dyDescent="0.2">
      <c r="O29" s="6"/>
      <c r="P29" s="6"/>
      <c r="Q29" s="6"/>
    </row>
    <row r="30" spans="1:17" x14ac:dyDescent="0.2">
      <c r="O30" s="6"/>
      <c r="P30" s="6"/>
      <c r="Q30" s="6"/>
    </row>
    <row r="31" spans="1:17" x14ac:dyDescent="0.2">
      <c r="A31" s="67" t="s">
        <v>107</v>
      </c>
      <c r="B31" t="s">
        <v>113</v>
      </c>
      <c r="O31" s="6"/>
      <c r="P31" s="6"/>
      <c r="Q31" s="6"/>
    </row>
    <row r="32" spans="1:17" x14ac:dyDescent="0.2">
      <c r="B32" t="s">
        <v>114</v>
      </c>
      <c r="O32" s="6"/>
      <c r="P32" s="6"/>
      <c r="Q32" s="6"/>
    </row>
    <row r="33" spans="2:17" x14ac:dyDescent="0.2">
      <c r="B33" t="s">
        <v>115</v>
      </c>
      <c r="O33" s="6"/>
      <c r="P33" s="6"/>
      <c r="Q33" s="6"/>
    </row>
    <row r="34" spans="2:17" x14ac:dyDescent="0.2">
      <c r="B34" t="s">
        <v>116</v>
      </c>
      <c r="O34" s="6"/>
      <c r="P34" s="6"/>
      <c r="Q34" s="6"/>
    </row>
    <row r="35" spans="2:17" x14ac:dyDescent="0.2">
      <c r="B35" t="s">
        <v>117</v>
      </c>
      <c r="O35" s="6"/>
      <c r="P35" s="6"/>
      <c r="Q35" s="6"/>
    </row>
    <row r="36" spans="2:17" x14ac:dyDescent="0.2">
      <c r="B36" t="s">
        <v>118</v>
      </c>
      <c r="O36" s="6"/>
      <c r="P36" s="6"/>
      <c r="Q36" s="6"/>
    </row>
    <row r="37" spans="2:17" x14ac:dyDescent="0.2">
      <c r="B37" t="s">
        <v>119</v>
      </c>
      <c r="O37" s="6"/>
      <c r="P37" s="6"/>
      <c r="Q37" s="6"/>
    </row>
    <row r="38" spans="2:17" x14ac:dyDescent="0.2">
      <c r="B38" t="s">
        <v>120</v>
      </c>
      <c r="O38" s="6"/>
      <c r="P38" s="6"/>
      <c r="Q38" s="6"/>
    </row>
    <row r="39" spans="2:17" x14ac:dyDescent="0.2">
      <c r="B39" t="s">
        <v>121</v>
      </c>
      <c r="O39" s="6"/>
      <c r="P39" s="6"/>
      <c r="Q39" s="6"/>
    </row>
    <row r="40" spans="2:17" x14ac:dyDescent="0.2">
      <c r="B40" t="s">
        <v>122</v>
      </c>
      <c r="O40" s="6"/>
      <c r="P40" s="6"/>
      <c r="Q40" s="6"/>
    </row>
    <row r="41" spans="2:17" x14ac:dyDescent="0.2">
      <c r="O41" s="6"/>
      <c r="P41" s="6"/>
      <c r="Q41" s="6"/>
    </row>
    <row r="42" spans="2:17" x14ac:dyDescent="0.2">
      <c r="O42" s="6"/>
      <c r="P42" s="6"/>
      <c r="Q42" s="6"/>
    </row>
    <row r="43" spans="2:17" x14ac:dyDescent="0.2">
      <c r="O43" s="6"/>
      <c r="P43" s="6"/>
    </row>
    <row r="44" spans="2:17" x14ac:dyDescent="0.2">
      <c r="O44" s="6"/>
      <c r="P44" s="6"/>
    </row>
  </sheetData>
  <mergeCells count="5">
    <mergeCell ref="D7:N7"/>
    <mergeCell ref="B7:C7"/>
    <mergeCell ref="B24:E24"/>
    <mergeCell ref="B28:D28"/>
    <mergeCell ref="G28:H28"/>
  </mergeCells>
  <conditionalFormatting sqref="C9:K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conditionalFormatting sqref="C15:K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max"/>
        <color rgb="FF63BE7B"/>
        <color rgb="FFFFEF9C"/>
      </colorScale>
    </cfRule>
  </conditionalFormatting>
  <conditionalFormatting sqref="C16:K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9"/>
  <sheetViews>
    <sheetView tabSelected="1" zoomScale="85" zoomScaleNormal="85" workbookViewId="0">
      <selection activeCell="C46" sqref="C46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7" t="s">
        <v>124</v>
      </c>
      <c r="B1" t="s">
        <v>83</v>
      </c>
    </row>
    <row r="2" spans="1:25" x14ac:dyDescent="0.2">
      <c r="A2" s="67" t="s">
        <v>98</v>
      </c>
      <c r="B2" s="77" t="s">
        <v>160</v>
      </c>
      <c r="C2" s="78" t="s">
        <v>86</v>
      </c>
      <c r="D2" t="s">
        <v>161</v>
      </c>
    </row>
    <row r="4" spans="1:25" x14ac:dyDescent="0.2">
      <c r="A4" s="67" t="s">
        <v>99</v>
      </c>
      <c r="B4" t="s">
        <v>123</v>
      </c>
    </row>
    <row r="5" spans="1:25" ht="15" x14ac:dyDescent="0.2">
      <c r="A5" s="67" t="s">
        <v>172</v>
      </c>
      <c r="C5" s="71" t="s">
        <v>84</v>
      </c>
      <c r="D5" s="71" t="s">
        <v>85</v>
      </c>
      <c r="E5" s="71" t="s">
        <v>86</v>
      </c>
      <c r="F5" s="71" t="s">
        <v>87</v>
      </c>
      <c r="G5" s="71" t="s">
        <v>88</v>
      </c>
      <c r="H5" s="71" t="s">
        <v>89</v>
      </c>
      <c r="I5" s="71" t="s">
        <v>90</v>
      </c>
      <c r="J5" s="71" t="s">
        <v>91</v>
      </c>
      <c r="K5" s="71" t="s">
        <v>92</v>
      </c>
      <c r="L5" s="71" t="s">
        <v>93</v>
      </c>
      <c r="M5" s="71" t="s">
        <v>94</v>
      </c>
    </row>
    <row r="6" spans="1:25" ht="15" x14ac:dyDescent="0.2">
      <c r="B6" s="71" t="s">
        <v>95</v>
      </c>
      <c r="C6" s="2">
        <v>0.1020841492202977</v>
      </c>
      <c r="D6" s="2">
        <v>5.6346856328266449E-2</v>
      </c>
      <c r="E6" s="2">
        <v>5.1535934587727109E-2</v>
      </c>
      <c r="F6" s="2">
        <v>0.1183166860897225</v>
      </c>
      <c r="G6" s="2">
        <v>6.2947485005705267E-2</v>
      </c>
      <c r="H6" s="2">
        <v>5.2294914913212677E-2</v>
      </c>
      <c r="I6" s="2">
        <v>5.1951510472240579E-2</v>
      </c>
      <c r="J6" s="2">
        <v>6.3546766112750258E-2</v>
      </c>
      <c r="K6" s="2">
        <v>6.1431078465021202E-2</v>
      </c>
      <c r="L6" s="2">
        <v>7.2790813227400414E-2</v>
      </c>
      <c r="M6" s="2">
        <v>7.753832561151916E-2</v>
      </c>
    </row>
    <row r="7" spans="1:25" ht="15" x14ac:dyDescent="0.2">
      <c r="B7" s="71" t="s">
        <v>96</v>
      </c>
      <c r="C7" s="2">
        <v>0.1337872815195455</v>
      </c>
      <c r="D7" s="2">
        <v>7.4214543052259621E-2</v>
      </c>
      <c r="E7" s="2">
        <v>5.5041616127372801E-2</v>
      </c>
      <c r="F7" s="2">
        <v>0.15515739773519749</v>
      </c>
      <c r="G7" s="2">
        <v>7.0161493907235625E-2</v>
      </c>
      <c r="H7" s="2">
        <v>5.6035102610062837E-2</v>
      </c>
      <c r="I7" s="2">
        <v>5.5437341006864212E-2</v>
      </c>
      <c r="J7" s="2">
        <v>7.0897710536886413E-2</v>
      </c>
      <c r="K7" s="2">
        <v>6.7796859668949591E-2</v>
      </c>
      <c r="L7" s="2">
        <v>8.4152265557722247E-2</v>
      </c>
      <c r="M7" s="2">
        <v>8.7756561525720242E-2</v>
      </c>
    </row>
    <row r="8" spans="1:25" ht="15" x14ac:dyDescent="0.2">
      <c r="B8" s="71" t="s">
        <v>97</v>
      </c>
      <c r="C8" s="2">
        <v>-7.0754156534412693E-2</v>
      </c>
      <c r="D8" s="2">
        <v>3.086010240038661E-2</v>
      </c>
      <c r="E8" s="2">
        <v>-3.4265213565798543E-2</v>
      </c>
      <c r="F8" s="2">
        <v>-1.6300256882923189E-2</v>
      </c>
      <c r="G8" s="2">
        <v>-4.0008298914622042E-2</v>
      </c>
      <c r="H8" s="2">
        <v>-3.4571636562515717E-2</v>
      </c>
      <c r="I8" s="2">
        <v>-3.5098929902963538E-2</v>
      </c>
      <c r="J8" s="2">
        <v>-4.3850413264849293E-2</v>
      </c>
      <c r="K8" s="2">
        <v>-4.4697101141834623E-2</v>
      </c>
      <c r="L8" s="2">
        <v>-4.3979479102450036E-3</v>
      </c>
      <c r="M8" s="2">
        <v>-3.6194571893012888E-2</v>
      </c>
    </row>
    <row r="10" spans="1:25" ht="15" x14ac:dyDescent="0.2">
      <c r="A10" s="67" t="s">
        <v>100</v>
      </c>
      <c r="B10" s="72" t="s">
        <v>162</v>
      </c>
    </row>
    <row r="12" spans="1:25" x14ac:dyDescent="0.2">
      <c r="A12" s="67" t="s">
        <v>101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84</v>
      </c>
      <c r="E13" s="71" t="s">
        <v>85</v>
      </c>
      <c r="F13" s="71" t="s">
        <v>86</v>
      </c>
      <c r="G13" s="71" t="s">
        <v>87</v>
      </c>
      <c r="H13" s="71" t="s">
        <v>88</v>
      </c>
      <c r="I13" s="71" t="s">
        <v>89</v>
      </c>
      <c r="J13" s="71" t="s">
        <v>90</v>
      </c>
      <c r="K13" s="71" t="s">
        <v>91</v>
      </c>
      <c r="L13" s="71" t="s">
        <v>92</v>
      </c>
      <c r="M13" s="71" t="s">
        <v>93</v>
      </c>
      <c r="N13" s="71" t="s">
        <v>94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169</v>
      </c>
      <c r="C14">
        <v>21.1</v>
      </c>
      <c r="D14">
        <v>23.7</v>
      </c>
      <c r="E14">
        <v>21.569503000000001</v>
      </c>
    </row>
    <row r="15" spans="1:25" x14ac:dyDescent="0.2">
      <c r="B15" t="s">
        <v>170</v>
      </c>
      <c r="C15">
        <v>21.8</v>
      </c>
      <c r="D15">
        <v>24.3</v>
      </c>
      <c r="E15">
        <v>18.476144999999999</v>
      </c>
    </row>
    <row r="16" spans="1:25" x14ac:dyDescent="0.2">
      <c r="B16" t="s">
        <v>167</v>
      </c>
      <c r="C16">
        <v>24.2</v>
      </c>
      <c r="D16">
        <v>26.8</v>
      </c>
      <c r="E16">
        <v>22.252935000000001</v>
      </c>
    </row>
    <row r="17" spans="2:25" x14ac:dyDescent="0.2">
      <c r="B17" t="s">
        <v>42</v>
      </c>
      <c r="C17">
        <v>25.7</v>
      </c>
      <c r="D17">
        <v>25.8</v>
      </c>
      <c r="E17">
        <v>23.473987999999999</v>
      </c>
    </row>
    <row r="18" spans="2:25" x14ac:dyDescent="0.2">
      <c r="B18" t="s">
        <v>43</v>
      </c>
      <c r="C18">
        <v>29.2</v>
      </c>
      <c r="D18">
        <v>28.5</v>
      </c>
      <c r="E18">
        <v>29.396100000000001</v>
      </c>
    </row>
    <row r="19" spans="2:25" x14ac:dyDescent="0.2">
      <c r="B19" t="s">
        <v>44</v>
      </c>
      <c r="C19">
        <v>31.4</v>
      </c>
      <c r="D19">
        <v>28.9</v>
      </c>
      <c r="E19">
        <v>32.984332999999999</v>
      </c>
    </row>
    <row r="20" spans="2:25" x14ac:dyDescent="0.2">
      <c r="B20" t="s">
        <v>45</v>
      </c>
      <c r="C20">
        <v>36.1</v>
      </c>
      <c r="D20">
        <v>33.799999999999997</v>
      </c>
      <c r="E20">
        <v>36.283174000000002</v>
      </c>
    </row>
    <row r="21" spans="2:25" x14ac:dyDescent="0.2">
      <c r="B21" t="s">
        <v>46</v>
      </c>
      <c r="C21">
        <v>36.5</v>
      </c>
      <c r="D21">
        <v>36.299999999999997</v>
      </c>
      <c r="E21">
        <v>40.486241999999997</v>
      </c>
      <c r="F21">
        <v>38.44406898913887</v>
      </c>
      <c r="G21">
        <v>40.800661300760403</v>
      </c>
      <c r="H21">
        <v>40.037523154697517</v>
      </c>
      <c r="I21">
        <v>38.443634718642777</v>
      </c>
      <c r="J21">
        <v>38.440289715540899</v>
      </c>
      <c r="K21">
        <v>39.767388851144553</v>
      </c>
      <c r="L21">
        <v>39.934511846009329</v>
      </c>
      <c r="M21">
        <v>40.584619133088793</v>
      </c>
      <c r="N21">
        <v>41.767081623007321</v>
      </c>
      <c r="O21" s="2">
        <v>-5.4794520547946091E-3</v>
      </c>
      <c r="P21" s="2">
        <v>0.109212109589041</v>
      </c>
      <c r="Q21" s="2">
        <v>5.3262164085996488E-2</v>
      </c>
      <c r="R21" s="2">
        <v>0.1178263370071342</v>
      </c>
      <c r="S21" s="2">
        <v>9.6918442594452703E-2</v>
      </c>
      <c r="T21" s="2">
        <v>5.3250266264185608E-2</v>
      </c>
      <c r="U21" s="2">
        <v>5.3158622343586259E-2</v>
      </c>
      <c r="V21" s="2">
        <v>8.9517502771083501E-2</v>
      </c>
      <c r="W21" s="2">
        <v>9.4096214959159763E-2</v>
      </c>
      <c r="X21" s="2">
        <v>0.1119073735092819</v>
      </c>
      <c r="Y21" s="2">
        <v>0.14430360610978951</v>
      </c>
    </row>
    <row r="22" spans="2:25" x14ac:dyDescent="0.2">
      <c r="B22" t="s">
        <v>47</v>
      </c>
      <c r="C22">
        <v>41.8</v>
      </c>
      <c r="D22">
        <v>39.6</v>
      </c>
      <c r="E22">
        <v>41.786251999999998</v>
      </c>
      <c r="F22">
        <v>38.49401277238816</v>
      </c>
      <c r="G22">
        <v>42.700322439464443</v>
      </c>
      <c r="H22">
        <v>40.1348453344036</v>
      </c>
      <c r="I22">
        <v>38.264947523959471</v>
      </c>
      <c r="J22">
        <v>38.491508775948759</v>
      </c>
      <c r="K22">
        <v>39.711019670358347</v>
      </c>
      <c r="L22">
        <v>39.685739937207501</v>
      </c>
      <c r="M22">
        <v>38.177212282055173</v>
      </c>
      <c r="N22">
        <v>36.976701061810928</v>
      </c>
      <c r="O22" s="2">
        <v>-5.2631578947368363E-2</v>
      </c>
      <c r="P22" s="2">
        <v>-3.2889952153114521E-4</v>
      </c>
      <c r="Q22" s="2">
        <v>-7.9090603531383641E-2</v>
      </c>
      <c r="R22" s="2">
        <v>2.1538814341254708E-2</v>
      </c>
      <c r="S22" s="2">
        <v>-3.9836236019052507E-2</v>
      </c>
      <c r="T22" s="2">
        <v>-8.4570633398098671E-2</v>
      </c>
      <c r="U22" s="2">
        <v>-7.9150507752421939E-2</v>
      </c>
      <c r="V22" s="2">
        <v>-4.9975605972288117E-2</v>
      </c>
      <c r="W22" s="2">
        <v>-5.0580384277332469E-2</v>
      </c>
      <c r="X22" s="2">
        <v>-8.6669562630258934E-2</v>
      </c>
      <c r="Y22" s="2">
        <v>-0.1153899267509346</v>
      </c>
    </row>
    <row r="23" spans="2:25" x14ac:dyDescent="0.2">
      <c r="B23" t="s">
        <v>48</v>
      </c>
      <c r="C23">
        <v>45.6</v>
      </c>
      <c r="D23">
        <v>39.200000000000003</v>
      </c>
      <c r="E23">
        <v>45.458795000000002</v>
      </c>
      <c r="F23">
        <v>42.667743563325317</v>
      </c>
      <c r="G23">
        <v>41.742316540347751</v>
      </c>
      <c r="H23">
        <v>42.49165002162092</v>
      </c>
      <c r="I23">
        <v>42.588350214798197</v>
      </c>
      <c r="J23">
        <v>42.551993142998839</v>
      </c>
      <c r="K23">
        <v>42.438598031524073</v>
      </c>
      <c r="L23">
        <v>42.421865308751748</v>
      </c>
      <c r="M23">
        <v>43.973910379074979</v>
      </c>
      <c r="N23">
        <v>44.100766312221822</v>
      </c>
      <c r="O23" s="2">
        <v>-0.14035087719298239</v>
      </c>
      <c r="P23" s="2">
        <v>-3.0966008771929898E-3</v>
      </c>
      <c r="Q23" s="2">
        <v>-6.4303869225322052E-2</v>
      </c>
      <c r="R23" s="2">
        <v>-8.4598321483602024E-2</v>
      </c>
      <c r="S23" s="2">
        <v>-6.8165569701295614E-2</v>
      </c>
      <c r="T23" s="2">
        <v>-6.6044951429864107E-2</v>
      </c>
      <c r="U23" s="2">
        <v>-6.6842255635990444E-2</v>
      </c>
      <c r="V23" s="2">
        <v>-6.932899053675301E-2</v>
      </c>
      <c r="W23" s="2">
        <v>-6.9695936211584542E-2</v>
      </c>
      <c r="X23" s="2">
        <v>-3.5659860108004808E-2</v>
      </c>
      <c r="Y23" s="2">
        <v>-3.2877931749521472E-2</v>
      </c>
    </row>
    <row r="24" spans="2:25" x14ac:dyDescent="0.2">
      <c r="B24" t="s">
        <v>49</v>
      </c>
      <c r="C24">
        <v>49.9</v>
      </c>
      <c r="D24">
        <v>45.6</v>
      </c>
      <c r="E24">
        <v>50.771912999999998</v>
      </c>
      <c r="F24">
        <v>48.282236863167277</v>
      </c>
      <c r="G24">
        <v>51.726001170800359</v>
      </c>
      <c r="H24">
        <v>50.08186122724392</v>
      </c>
      <c r="I24">
        <v>48.282032317432972</v>
      </c>
      <c r="J24">
        <v>48.19960350103652</v>
      </c>
      <c r="K24">
        <v>49.894300426381449</v>
      </c>
      <c r="L24">
        <v>49.727172498072512</v>
      </c>
      <c r="M24">
        <v>51.837173108396769</v>
      </c>
      <c r="N24">
        <v>54.082560623412789</v>
      </c>
      <c r="O24" s="2">
        <v>-8.6172344689378733E-2</v>
      </c>
      <c r="P24" s="2">
        <v>1.747320641282557E-2</v>
      </c>
      <c r="Q24" s="2">
        <v>-3.2420102942539393E-2</v>
      </c>
      <c r="R24" s="2">
        <v>3.6593209835678493E-2</v>
      </c>
      <c r="S24" s="2">
        <v>3.6445135720224449E-3</v>
      </c>
      <c r="T24" s="2">
        <v>-3.242420205545149E-2</v>
      </c>
      <c r="U24" s="2">
        <v>-3.407608214355673E-2</v>
      </c>
      <c r="V24" s="2">
        <v>-1.142199121954013E-4</v>
      </c>
      <c r="W24" s="2">
        <v>-3.463476992534908E-3</v>
      </c>
      <c r="X24" s="2">
        <v>3.8821104376688842E-2</v>
      </c>
      <c r="Y24" s="2">
        <v>8.3818850168593029E-2</v>
      </c>
    </row>
    <row r="25" spans="2:25" x14ac:dyDescent="0.2">
      <c r="B25" t="s">
        <v>50</v>
      </c>
      <c r="C25">
        <v>50.7</v>
      </c>
      <c r="D25">
        <v>40.6</v>
      </c>
      <c r="E25">
        <v>52.133780999999999</v>
      </c>
      <c r="F25">
        <v>50.077298457758999</v>
      </c>
      <c r="G25">
        <v>44.325500798337004</v>
      </c>
      <c r="H25">
        <v>47.716253480959203</v>
      </c>
      <c r="I25">
        <v>50.07715346469957</v>
      </c>
      <c r="J25">
        <v>50.075508087980353</v>
      </c>
      <c r="K25">
        <v>47.885865618006903</v>
      </c>
      <c r="L25">
        <v>47.870962047094217</v>
      </c>
      <c r="M25">
        <v>52.062002989377007</v>
      </c>
      <c r="N25">
        <v>51.759325957431358</v>
      </c>
      <c r="O25" s="2">
        <v>-0.19921104536489151</v>
      </c>
      <c r="P25" s="2">
        <v>2.8279704142011749E-2</v>
      </c>
      <c r="Q25" s="2">
        <v>-1.2282081701005979E-2</v>
      </c>
      <c r="R25" s="2">
        <v>-0.1257297672911836</v>
      </c>
      <c r="S25" s="2">
        <v>-5.8851016154651048E-2</v>
      </c>
      <c r="T25" s="2">
        <v>-1.228494152466331E-2</v>
      </c>
      <c r="U25" s="2">
        <v>-1.2317394714391529E-2</v>
      </c>
      <c r="V25" s="2">
        <v>-5.5505609112289973E-2</v>
      </c>
      <c r="W25" s="2">
        <v>-5.5799565146070762E-2</v>
      </c>
      <c r="X25" s="2">
        <v>2.6863964287514811E-2</v>
      </c>
      <c r="Y25" s="2">
        <v>2.089400310515499E-2</v>
      </c>
    </row>
    <row r="26" spans="2:25" x14ac:dyDescent="0.2">
      <c r="B26" t="s">
        <v>51</v>
      </c>
      <c r="C26">
        <v>39.4</v>
      </c>
      <c r="D26">
        <v>27.6</v>
      </c>
      <c r="E26">
        <v>37.497847</v>
      </c>
      <c r="F26">
        <v>37.111949726148858</v>
      </c>
      <c r="G26">
        <v>27.256686282340489</v>
      </c>
      <c r="H26">
        <v>34.550414077413627</v>
      </c>
      <c r="I26">
        <v>37.10986073420969</v>
      </c>
      <c r="J26">
        <v>37.111718853774931</v>
      </c>
      <c r="K26">
        <v>34.487541779907431</v>
      </c>
      <c r="L26">
        <v>34.847685008286163</v>
      </c>
      <c r="M26">
        <v>36.270335941400489</v>
      </c>
      <c r="N26">
        <v>36.348971393464353</v>
      </c>
      <c r="O26" s="2">
        <v>-0.29949238578680187</v>
      </c>
      <c r="P26" s="2">
        <v>-4.827799492385787E-2</v>
      </c>
      <c r="Q26" s="2">
        <v>-5.8072341975917152E-2</v>
      </c>
      <c r="R26" s="2">
        <v>-0.30820593192029211</v>
      </c>
      <c r="S26" s="2">
        <v>-0.1230859371214813</v>
      </c>
      <c r="T26" s="2">
        <v>-5.8125362075896143E-2</v>
      </c>
      <c r="U26" s="2">
        <v>-5.8078201680839332E-2</v>
      </c>
      <c r="V26" s="2">
        <v>-0.12468168071300929</v>
      </c>
      <c r="W26" s="2">
        <v>-0.115540989637407</v>
      </c>
      <c r="X26" s="2">
        <v>-7.9433097933997665E-2</v>
      </c>
      <c r="Y26" s="2">
        <v>-7.7437274277554424E-2</v>
      </c>
    </row>
    <row r="27" spans="2:25" x14ac:dyDescent="0.2">
      <c r="B27" t="s">
        <v>53</v>
      </c>
      <c r="C27">
        <v>65.400000000000006</v>
      </c>
      <c r="D27">
        <v>71.099999999999994</v>
      </c>
      <c r="E27">
        <v>74.065259999999995</v>
      </c>
      <c r="F27">
        <v>70.286575204985184</v>
      </c>
      <c r="G27">
        <v>85.680489598499605</v>
      </c>
      <c r="H27">
        <v>70.200737654517638</v>
      </c>
      <c r="I27">
        <v>70.186421862312201</v>
      </c>
      <c r="J27">
        <v>70.283217032987693</v>
      </c>
      <c r="K27">
        <v>70.84376060696917</v>
      </c>
      <c r="L27">
        <v>69.974265209219467</v>
      </c>
      <c r="M27">
        <v>76.525721631161218</v>
      </c>
      <c r="N27">
        <v>59.388708928782279</v>
      </c>
      <c r="O27" s="2">
        <v>8.7155963302752104E-2</v>
      </c>
      <c r="P27" s="2">
        <v>0.13249633027522911</v>
      </c>
      <c r="Q27" s="2">
        <v>7.4718275305583726E-2</v>
      </c>
      <c r="R27" s="2">
        <v>0.31009922933485629</v>
      </c>
      <c r="S27" s="2">
        <v>7.340577453390873E-2</v>
      </c>
      <c r="T27" s="2">
        <v>7.3186878628626939E-2</v>
      </c>
      <c r="U27" s="2">
        <v>7.4666927109903414E-2</v>
      </c>
      <c r="V27" s="2">
        <v>8.3237929770170638E-2</v>
      </c>
      <c r="W27" s="2">
        <v>6.994289310733115E-2</v>
      </c>
      <c r="X27" s="2">
        <v>0.17011806775475871</v>
      </c>
      <c r="Y27" s="2">
        <v>-9.1915765614949962E-2</v>
      </c>
    </row>
    <row r="28" spans="2:25" x14ac:dyDescent="0.2">
      <c r="B28" t="s">
        <v>54</v>
      </c>
      <c r="C28">
        <v>75.900000000000006</v>
      </c>
      <c r="D28">
        <v>71.7</v>
      </c>
      <c r="E28">
        <v>78.438134000000005</v>
      </c>
      <c r="F28">
        <v>71.417890494170479</v>
      </c>
      <c r="G28">
        <v>71.790824996671034</v>
      </c>
      <c r="H28">
        <v>70.581223581479051</v>
      </c>
      <c r="I28">
        <v>71.301929832377766</v>
      </c>
      <c r="J28">
        <v>71.415953335721781</v>
      </c>
      <c r="K28">
        <v>70.581309144030087</v>
      </c>
      <c r="L28">
        <v>71.109882300828687</v>
      </c>
      <c r="M28">
        <v>69.054278174026337</v>
      </c>
      <c r="N28">
        <v>66.08137156397575</v>
      </c>
      <c r="O28" s="2">
        <v>-5.5335968379446647E-2</v>
      </c>
      <c r="P28" s="2">
        <v>3.3440500658761467E-2</v>
      </c>
      <c r="Q28" s="2">
        <v>-5.905282616376184E-2</v>
      </c>
      <c r="R28" s="2">
        <v>-5.4139328107101092E-2</v>
      </c>
      <c r="S28" s="2">
        <v>-7.0076105645862419E-2</v>
      </c>
      <c r="T28" s="2">
        <v>-6.0580634619528888E-2</v>
      </c>
      <c r="U28" s="2">
        <v>-5.9078348672967351E-2</v>
      </c>
      <c r="V28" s="2">
        <v>-7.0074978339524585E-2</v>
      </c>
      <c r="W28" s="2">
        <v>-6.3110905127421901E-2</v>
      </c>
      <c r="X28" s="2">
        <v>-9.0193963451563497E-2</v>
      </c>
      <c r="Y28" s="2">
        <v>-0.12936269349175569</v>
      </c>
    </row>
    <row r="29" spans="2:25" x14ac:dyDescent="0.2">
      <c r="B29" t="s">
        <v>55</v>
      </c>
      <c r="C29">
        <v>84.2</v>
      </c>
      <c r="D29">
        <v>76.2</v>
      </c>
      <c r="E29">
        <v>95.395509000000004</v>
      </c>
      <c r="F29">
        <v>88.077136918914405</v>
      </c>
      <c r="G29">
        <v>77.998166653735751</v>
      </c>
      <c r="H29">
        <v>88.857177182528119</v>
      </c>
      <c r="I29">
        <v>88.053177919176704</v>
      </c>
      <c r="J29">
        <v>88.075303905937062</v>
      </c>
      <c r="K29">
        <v>88.856758753881877</v>
      </c>
      <c r="L29">
        <v>88.685047819779754</v>
      </c>
      <c r="M29">
        <v>88.014827513406075</v>
      </c>
      <c r="N29">
        <v>87.557221794638522</v>
      </c>
      <c r="O29" s="2">
        <v>-9.5011876484560553E-2</v>
      </c>
      <c r="P29" s="2">
        <v>0.13296328978622321</v>
      </c>
      <c r="Q29" s="2">
        <v>4.6046756756703111E-2</v>
      </c>
      <c r="R29" s="2">
        <v>-7.3655977984136034E-2</v>
      </c>
      <c r="S29" s="2">
        <v>5.5310892904134379E-2</v>
      </c>
      <c r="T29" s="2">
        <v>4.5762208066231658E-2</v>
      </c>
      <c r="U29" s="2">
        <v>4.6024987006378471E-2</v>
      </c>
      <c r="V29" s="2">
        <v>5.5305923442777523E-2</v>
      </c>
      <c r="W29" s="2">
        <v>5.326660118503268E-2</v>
      </c>
      <c r="X29" s="2">
        <v>4.5306740064205098E-2</v>
      </c>
      <c r="Y29" s="2">
        <v>3.9871992810433632E-2</v>
      </c>
    </row>
    <row r="30" spans="2:25" x14ac:dyDescent="0.2">
      <c r="B30" t="s">
        <v>71</v>
      </c>
      <c r="C30">
        <v>82.3</v>
      </c>
      <c r="D30">
        <v>82.3</v>
      </c>
      <c r="E30">
        <v>87.065163999999996</v>
      </c>
      <c r="F30">
        <v>79.328120319240554</v>
      </c>
      <c r="G30">
        <v>86.479189357620513</v>
      </c>
      <c r="H30">
        <v>78.993156223021231</v>
      </c>
      <c r="I30">
        <v>79.278020450973571</v>
      </c>
      <c r="J30">
        <v>79.327177698386919</v>
      </c>
      <c r="K30">
        <v>79.19521434812512</v>
      </c>
      <c r="L30">
        <v>79.105622778078484</v>
      </c>
      <c r="M30">
        <v>78.766499031618821</v>
      </c>
      <c r="N30">
        <v>79.048227249395694</v>
      </c>
      <c r="O30" s="2">
        <v>0</v>
      </c>
      <c r="P30" s="2">
        <v>5.7899927095990338E-2</v>
      </c>
      <c r="Q30" s="2">
        <v>-3.6110324189057692E-2</v>
      </c>
      <c r="R30" s="2">
        <v>5.0779943591986898E-2</v>
      </c>
      <c r="S30" s="2">
        <v>-4.0180361810191578E-2</v>
      </c>
      <c r="T30" s="2">
        <v>-3.6719071069579938E-2</v>
      </c>
      <c r="U30" s="2">
        <v>-3.6121777662370347E-2</v>
      </c>
      <c r="V30" s="2">
        <v>-3.7725220557410448E-2</v>
      </c>
      <c r="W30" s="2">
        <v>-3.8813818006336757E-2</v>
      </c>
      <c r="X30" s="2">
        <v>-4.2934398157729918E-2</v>
      </c>
      <c r="Y30" s="2">
        <v>-3.9511212036504317E-2</v>
      </c>
    </row>
    <row r="31" spans="2:25" x14ac:dyDescent="0.2">
      <c r="C31" s="94" t="s">
        <v>148</v>
      </c>
      <c r="D31" s="94"/>
      <c r="E31" s="94"/>
      <c r="F31">
        <f>$F$30/(1+Q31)</f>
        <v>80.501606816092703</v>
      </c>
      <c r="M31" s="94" t="s">
        <v>141</v>
      </c>
      <c r="N31" s="94"/>
      <c r="O31" s="94"/>
      <c r="P31" s="94"/>
      <c r="Q31" s="1">
        <f>AVERAGE(Q21:Q29)</f>
        <v>-1.4577181043516303E-2</v>
      </c>
    </row>
    <row r="32" spans="2:25" x14ac:dyDescent="0.2">
      <c r="C32" s="95" t="s">
        <v>149</v>
      </c>
      <c r="D32" s="95"/>
      <c r="E32" s="95"/>
      <c r="F32">
        <f t="shared" ref="F32:F36" si="0">$F$30/(1+Q32)</f>
        <v>81.986118728270341</v>
      </c>
      <c r="M32" s="95" t="s">
        <v>143</v>
      </c>
      <c r="N32" s="95"/>
      <c r="O32" s="95"/>
      <c r="P32" s="95"/>
      <c r="Q32" s="1">
        <f>MEDIAN(Q21:Q29)</f>
        <v>-3.2420102942539393E-2</v>
      </c>
    </row>
    <row r="33" spans="1:17" x14ac:dyDescent="0.2">
      <c r="C33" s="96" t="s">
        <v>150</v>
      </c>
      <c r="D33" s="96"/>
      <c r="E33" s="96"/>
      <c r="F33">
        <f t="shared" si="0"/>
        <v>83.579852864167194</v>
      </c>
      <c r="G33">
        <f>F30/(1+MIN(Q21:Q29))</f>
        <v>86.141069494390777</v>
      </c>
      <c r="I33">
        <f>AVERAGE(F33:G33)</f>
        <v>84.860461179278985</v>
      </c>
      <c r="M33" s="96" t="s">
        <v>142</v>
      </c>
      <c r="N33" s="96"/>
      <c r="O33" s="96"/>
      <c r="P33" s="96"/>
      <c r="Q33" s="1">
        <f>AVERAGE(Q28,Q22:Q26)</f>
        <v>-5.0870304256655008E-2</v>
      </c>
    </row>
    <row r="34" spans="1:17" x14ac:dyDescent="0.2">
      <c r="C34" s="97" t="s">
        <v>151</v>
      </c>
      <c r="D34" s="97"/>
      <c r="E34" s="97"/>
      <c r="F34">
        <f t="shared" si="0"/>
        <v>84.262765614496701</v>
      </c>
      <c r="G34">
        <f>$E$30/(1+'2. Past Proj &amp; Candidate Model'!G47)</f>
        <v>82.288618374368696</v>
      </c>
      <c r="H34">
        <f>AVERAGE(G34:G35)</f>
        <v>79.42447093168002</v>
      </c>
      <c r="M34" s="97" t="s">
        <v>144</v>
      </c>
      <c r="N34" s="97"/>
      <c r="O34" s="97"/>
      <c r="P34" s="97"/>
      <c r="Q34" s="1">
        <f>MEDIAN(Q28,Q22:Q26)</f>
        <v>-5.8562584069839496E-2</v>
      </c>
    </row>
    <row r="35" spans="1:17" x14ac:dyDescent="0.2">
      <c r="C35" s="98" t="s">
        <v>152</v>
      </c>
      <c r="D35" s="98"/>
      <c r="E35" s="98"/>
      <c r="F35">
        <f t="shared" si="0"/>
        <v>74.978677324037506</v>
      </c>
      <c r="G35">
        <f>$E$30/(1+'2. Past Proj &amp; Candidate Model'!G48)</f>
        <v>76.560323488991358</v>
      </c>
      <c r="M35" s="98" t="s">
        <v>145</v>
      </c>
      <c r="N35" s="98"/>
      <c r="O35" s="98"/>
      <c r="P35" s="98"/>
      <c r="Q35" s="1">
        <f>AVERAGE(Q29,Q27,Q21)</f>
        <v>5.8009065382761106E-2</v>
      </c>
    </row>
    <row r="36" spans="1:17" x14ac:dyDescent="0.2">
      <c r="C36" s="99" t="s">
        <v>153</v>
      </c>
      <c r="D36" s="99"/>
      <c r="E36" s="99"/>
      <c r="F36">
        <f t="shared" si="0"/>
        <v>75.316595453782568</v>
      </c>
      <c r="G36" s="102"/>
      <c r="M36" s="99" t="s">
        <v>146</v>
      </c>
      <c r="N36" s="99"/>
      <c r="O36" s="99"/>
      <c r="P36" s="99"/>
      <c r="Q36" s="1">
        <f>MEDIAN(Q29,Q27,Q21)</f>
        <v>5.3262164085996488E-2</v>
      </c>
    </row>
    <row r="37" spans="1:17" x14ac:dyDescent="0.2">
      <c r="G37">
        <f>AVERAGE(F36,F32)</f>
        <v>78.651357091026455</v>
      </c>
    </row>
    <row r="39" spans="1:17" x14ac:dyDescent="0.2">
      <c r="A39" s="67" t="s">
        <v>102</v>
      </c>
      <c r="B39" t="s">
        <v>154</v>
      </c>
    </row>
    <row r="40" spans="1:17" x14ac:dyDescent="0.2">
      <c r="B40" t="s">
        <v>155</v>
      </c>
    </row>
    <row r="46" spans="1:17" x14ac:dyDescent="0.2">
      <c r="A46" s="67" t="s">
        <v>104</v>
      </c>
      <c r="B46" s="79" t="s">
        <v>156</v>
      </c>
      <c r="C46" s="80">
        <f>I33</f>
        <v>84.860461179278985</v>
      </c>
      <c r="D46" t="s">
        <v>168</v>
      </c>
    </row>
    <row r="48" spans="1:17" x14ac:dyDescent="0.2">
      <c r="B48" s="180" t="s">
        <v>164</v>
      </c>
      <c r="C48" s="180"/>
      <c r="D48" s="2">
        <f>C46/D30-1</f>
        <v>3.1111314450534389E-2</v>
      </c>
    </row>
    <row r="49" spans="2:4" x14ac:dyDescent="0.2">
      <c r="B49" s="168" t="s">
        <v>163</v>
      </c>
      <c r="C49" s="168"/>
      <c r="D49" s="2">
        <f>'1. Data &amp; Confidence Interval'!R24</f>
        <v>8.6505190311418678E-2</v>
      </c>
    </row>
  </sheetData>
  <mergeCells count="2">
    <mergeCell ref="B49:C49"/>
    <mergeCell ref="B48:C48"/>
  </mergeCells>
  <conditionalFormatting sqref="Q31:Q3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1:W30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1">
      <colorScale>
        <cfvo type="min"/>
        <cfvo type="max"/>
        <color rgb="FF92D050"/>
        <color rgb="FFFF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2">
      <colorScale>
        <cfvo type="min"/>
        <cfvo type="max"/>
        <color rgb="FF92D05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2021-10-28T20:05:07Z</dcterms:modified>
</cp:coreProperties>
</file>