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IBN\"/>
    </mc:Choice>
  </mc:AlternateContent>
  <xr:revisionPtr revIDLastSave="0" documentId="13_ncr:1_{AA732B18-73D0-42FD-ACF1-E89D53CA82F0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4" l="1"/>
  <c r="M30" i="4"/>
  <c r="D30" i="4" s="1"/>
  <c r="M29" i="4"/>
  <c r="D29" i="4" s="1"/>
  <c r="M28" i="4"/>
  <c r="D28" i="4" s="1"/>
  <c r="M27" i="4"/>
  <c r="D26" i="4"/>
  <c r="D27" i="4"/>
  <c r="D25" i="4"/>
  <c r="M26" i="4"/>
  <c r="M25" i="4"/>
  <c r="M15" i="4"/>
  <c r="M16" i="4"/>
  <c r="M17" i="4"/>
  <c r="M18" i="4"/>
  <c r="M14" i="4"/>
  <c r="J17" i="2"/>
  <c r="L17" i="2"/>
  <c r="AC26" i="1"/>
  <c r="AC25" i="1"/>
  <c r="AC24" i="1"/>
  <c r="AC23" i="1"/>
  <c r="AC22" i="1"/>
  <c r="AC21" i="1"/>
  <c r="AC20" i="1"/>
  <c r="AC18" i="1"/>
  <c r="AB18" i="1"/>
  <c r="AB17" i="1"/>
  <c r="H17" i="1"/>
  <c r="G17" i="1"/>
  <c r="F17" i="1"/>
  <c r="T25" i="1"/>
  <c r="Q25" i="1"/>
  <c r="T24" i="1"/>
  <c r="Q24" i="1"/>
  <c r="P16" i="2"/>
  <c r="F33" i="2" a="1"/>
  <c r="F33" i="2" s="1"/>
  <c r="G33" i="2" a="1"/>
  <c r="G33" i="2" s="1"/>
  <c r="H33" i="2" a="1"/>
  <c r="H33" i="2" s="1"/>
  <c r="I33" i="2" a="1"/>
  <c r="I33" i="2" s="1"/>
  <c r="K33" i="2" a="1"/>
  <c r="K33" i="2" s="1"/>
  <c r="L33" i="2" a="1"/>
  <c r="L33" i="2" s="1"/>
  <c r="N33" i="2" a="1"/>
  <c r="N33" i="2" s="1"/>
  <c r="O33" i="2" a="1"/>
  <c r="O33" i="2" s="1"/>
  <c r="R33" i="2" a="1"/>
  <c r="R33" i="2" s="1"/>
  <c r="M27" i="2"/>
  <c r="L30" i="2"/>
  <c r="L31" i="2"/>
  <c r="M32" i="2"/>
  <c r="O16" i="2"/>
  <c r="N16" i="2"/>
  <c r="M16" i="2"/>
  <c r="L16" i="2"/>
  <c r="L32" i="2" s="1"/>
  <c r="P15" i="2"/>
  <c r="O15" i="2"/>
  <c r="N15" i="2"/>
  <c r="M15" i="2"/>
  <c r="Q15" i="2" s="1"/>
  <c r="L15" i="2"/>
  <c r="P14" i="2"/>
  <c r="O14" i="2"/>
  <c r="N14" i="2"/>
  <c r="M14" i="2"/>
  <c r="M30" i="2" s="1"/>
  <c r="L14" i="2"/>
  <c r="P13" i="2"/>
  <c r="O13" i="2"/>
  <c r="N13" i="2"/>
  <c r="M13" i="2"/>
  <c r="M29" i="2" s="1"/>
  <c r="L13" i="2"/>
  <c r="L29" i="2" s="1"/>
  <c r="P12" i="2"/>
  <c r="O12" i="2"/>
  <c r="N12" i="2"/>
  <c r="M12" i="2"/>
  <c r="M28" i="2" s="1"/>
  <c r="L12" i="2"/>
  <c r="L28" i="2" s="1"/>
  <c r="P11" i="2"/>
  <c r="O11" i="2"/>
  <c r="N11" i="2"/>
  <c r="M11" i="2"/>
  <c r="L11" i="2"/>
  <c r="Q11" i="2" s="1"/>
  <c r="Q10" i="2"/>
  <c r="P10" i="2"/>
  <c r="O10" i="2"/>
  <c r="N10" i="2"/>
  <c r="P9" i="2"/>
  <c r="P25" i="2" s="1"/>
  <c r="O9" i="2"/>
  <c r="N9" i="2"/>
  <c r="P8" i="2"/>
  <c r="P24" i="2" s="1"/>
  <c r="O8" i="2"/>
  <c r="N8" i="2"/>
  <c r="N24" i="2" s="1"/>
  <c r="Q7" i="2"/>
  <c r="P7" i="2"/>
  <c r="O7" i="2"/>
  <c r="O23" i="2" s="1"/>
  <c r="N7" i="2"/>
  <c r="N23" i="2" s="1"/>
  <c r="M18" i="2"/>
  <c r="O24" i="2"/>
  <c r="M17" i="2"/>
  <c r="N17" i="2"/>
  <c r="O17" i="2"/>
  <c r="R18" i="2"/>
  <c r="K18" i="2"/>
  <c r="I18" i="2"/>
  <c r="H18" i="2"/>
  <c r="G18" i="2"/>
  <c r="F18" i="2"/>
  <c r="E18" i="2"/>
  <c r="R17" i="2"/>
  <c r="H22" i="2"/>
  <c r="I22" i="2"/>
  <c r="J22" i="2"/>
  <c r="R22" i="2"/>
  <c r="H23" i="2"/>
  <c r="I23" i="2"/>
  <c r="J23" i="2"/>
  <c r="K23" i="2"/>
  <c r="R23" i="2"/>
  <c r="H24" i="2"/>
  <c r="I24" i="2"/>
  <c r="J24" i="2"/>
  <c r="K24" i="2"/>
  <c r="R24" i="2"/>
  <c r="H25" i="2"/>
  <c r="I25" i="2"/>
  <c r="J25" i="2"/>
  <c r="K25" i="2"/>
  <c r="N25" i="2"/>
  <c r="O25" i="2"/>
  <c r="R25" i="2"/>
  <c r="F26" i="2"/>
  <c r="J18" i="2" l="1"/>
  <c r="P17" i="2"/>
  <c r="Q17" i="2" s="1"/>
  <c r="L18" i="2"/>
  <c r="Q9" i="2"/>
  <c r="Q25" i="2" s="1"/>
  <c r="Q16" i="2"/>
  <c r="L27" i="2"/>
  <c r="Q14" i="2"/>
  <c r="Q12" i="2"/>
  <c r="M31" i="2"/>
  <c r="Q8" i="2"/>
  <c r="Q24" i="2" s="1"/>
  <c r="Q13" i="2"/>
  <c r="P18" i="2"/>
  <c r="Q23" i="2"/>
  <c r="P23" i="2"/>
  <c r="N18" i="2"/>
  <c r="O18" i="2"/>
  <c r="U22" i="1"/>
  <c r="T22" i="1"/>
  <c r="S22" i="1"/>
  <c r="R22" i="1"/>
  <c r="Q22" i="1"/>
  <c r="T23" i="1" s="1"/>
  <c r="X20" i="1"/>
  <c r="W20" i="1"/>
  <c r="V20" i="1"/>
  <c r="U20" i="1"/>
  <c r="X21" i="1" s="1"/>
  <c r="T20" i="1"/>
  <c r="W21" i="1" s="1"/>
  <c r="S20" i="1"/>
  <c r="V21" i="1" s="1"/>
  <c r="R20" i="1"/>
  <c r="Q20" i="1"/>
  <c r="C2" i="4"/>
  <c r="T21" i="1" l="1"/>
  <c r="U21" i="1"/>
  <c r="U23" i="1"/>
  <c r="Q18" i="2"/>
  <c r="D41" i="4"/>
  <c r="Z20" i="1"/>
  <c r="AA20" i="1"/>
  <c r="Z22" i="1"/>
  <c r="AA22" i="1"/>
  <c r="A22" i="2" l="1"/>
  <c r="B22" i="2"/>
  <c r="C22" i="2"/>
  <c r="D22" i="2"/>
  <c r="E22" i="2"/>
  <c r="A23" i="2"/>
  <c r="B23" i="2"/>
  <c r="C23" i="2"/>
  <c r="D23" i="2"/>
  <c r="E23" i="2"/>
  <c r="G31" i="2" l="1"/>
  <c r="G30" i="2"/>
  <c r="E32" i="2"/>
  <c r="E31" i="2"/>
  <c r="E30" i="2"/>
  <c r="E29" i="2"/>
  <c r="E28" i="2"/>
  <c r="E27" i="2"/>
  <c r="E26" i="2"/>
  <c r="E25" i="2"/>
  <c r="J17" i="1"/>
  <c r="I17" i="1"/>
  <c r="E33" i="2" l="1" a="1"/>
  <c r="E33" i="2" s="1"/>
  <c r="AB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24" i="2"/>
  <c r="B24" i="2"/>
  <c r="C24" i="2"/>
  <c r="D24" i="2"/>
  <c r="E24" i="2"/>
  <c r="E34" i="2" s="1" a="1"/>
  <c r="E34" i="2" s="1"/>
  <c r="AA17" i="1"/>
  <c r="Z17" i="1"/>
  <c r="Y17" i="1"/>
  <c r="X17" i="1"/>
  <c r="Y20" i="1"/>
  <c r="AA18" i="1"/>
  <c r="Z18" i="1"/>
  <c r="K18" i="1"/>
  <c r="J18" i="1"/>
  <c r="I18" i="1"/>
  <c r="H18" i="1"/>
  <c r="G18" i="1"/>
  <c r="F18" i="1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B25" i="2"/>
  <c r="C25" i="2"/>
  <c r="D25" i="2"/>
  <c r="A25" i="2"/>
  <c r="I25" i="3"/>
  <c r="E25" i="3"/>
  <c r="W17" i="1"/>
  <c r="V17" i="1"/>
  <c r="U17" i="1"/>
  <c r="T17" i="1"/>
  <c r="Y21" i="1" l="1"/>
  <c r="Z21" i="1"/>
  <c r="C7" i="1"/>
  <c r="AB10" i="1"/>
  <c r="H10" i="1"/>
  <c r="AA21" i="1"/>
  <c r="Y22" i="1"/>
  <c r="X22" i="1"/>
  <c r="W22" i="1"/>
  <c r="V22" i="1"/>
  <c r="U18" i="1"/>
  <c r="T18" i="1"/>
  <c r="S18" i="1"/>
  <c r="R18" i="1"/>
  <c r="Q18" i="1"/>
  <c r="P18" i="1"/>
  <c r="O18" i="1"/>
  <c r="N18" i="1"/>
  <c r="M18" i="1"/>
  <c r="L18" i="1"/>
  <c r="K17" i="1"/>
  <c r="L17" i="1"/>
  <c r="M17" i="1"/>
  <c r="N17" i="1"/>
  <c r="O17" i="1"/>
  <c r="P17" i="1"/>
  <c r="Q17" i="1"/>
  <c r="R17" i="1"/>
  <c r="S17" i="1"/>
  <c r="F21" i="3"/>
  <c r="D42" i="4" l="1"/>
  <c r="X23" i="1"/>
  <c r="V23" i="1"/>
  <c r="W23" i="1"/>
  <c r="Z23" i="1"/>
  <c r="AA23" i="1"/>
  <c r="B7" i="1"/>
  <c r="R32" i="2"/>
  <c r="R31" i="2"/>
  <c r="R30" i="2"/>
  <c r="R29" i="2"/>
  <c r="R28" i="2"/>
  <c r="R27" i="2"/>
  <c r="R26" i="2"/>
  <c r="I2" i="1" l="1"/>
  <c r="H2" i="1"/>
  <c r="I3" i="1"/>
  <c r="H3" i="1"/>
  <c r="H21" i="3"/>
  <c r="J2" i="1" l="1"/>
  <c r="K2" i="1" s="1"/>
  <c r="J3" i="1"/>
  <c r="K3" i="1" s="1"/>
  <c r="K26" i="2"/>
  <c r="N26" i="2"/>
  <c r="O26" i="2"/>
  <c r="P26" i="2"/>
  <c r="Q26" i="2"/>
  <c r="K27" i="2"/>
  <c r="N27" i="2"/>
  <c r="O27" i="2"/>
  <c r="P27" i="2"/>
  <c r="Q27" i="2"/>
  <c r="K28" i="2"/>
  <c r="N28" i="2"/>
  <c r="O28" i="2"/>
  <c r="P28" i="2"/>
  <c r="Q28" i="2"/>
  <c r="K29" i="2"/>
  <c r="N29" i="2"/>
  <c r="O29" i="2"/>
  <c r="P29" i="2"/>
  <c r="Q29" i="2"/>
  <c r="K30" i="2"/>
  <c r="N30" i="2"/>
  <c r="O30" i="2"/>
  <c r="P30" i="2"/>
  <c r="Q30" i="2"/>
  <c r="K31" i="2"/>
  <c r="N31" i="2"/>
  <c r="O31" i="2"/>
  <c r="P31" i="2"/>
  <c r="Q31" i="2"/>
  <c r="K32" i="2"/>
  <c r="N32" i="2"/>
  <c r="O32" i="2"/>
  <c r="P32" i="2"/>
  <c r="Q32" i="2"/>
  <c r="Q33" i="2" s="1" a="1"/>
  <c r="Q33" i="2" s="1"/>
  <c r="G26" i="2"/>
  <c r="H26" i="2"/>
  <c r="I26" i="2"/>
  <c r="J26" i="2"/>
  <c r="F27" i="2"/>
  <c r="G27" i="2"/>
  <c r="H27" i="2"/>
  <c r="I27" i="2"/>
  <c r="J27" i="2"/>
  <c r="F28" i="2"/>
  <c r="G28" i="2"/>
  <c r="H28" i="2"/>
  <c r="I28" i="2"/>
  <c r="J28" i="2"/>
  <c r="F29" i="2"/>
  <c r="G29" i="2"/>
  <c r="H29" i="2"/>
  <c r="I29" i="2"/>
  <c r="J29" i="2"/>
  <c r="F30" i="2"/>
  <c r="H30" i="2"/>
  <c r="I30" i="2"/>
  <c r="J30" i="2"/>
  <c r="F31" i="2"/>
  <c r="H31" i="2"/>
  <c r="I31" i="2"/>
  <c r="J31" i="2"/>
  <c r="F32" i="2"/>
  <c r="G32" i="2"/>
  <c r="H32" i="2"/>
  <c r="I32" i="2"/>
  <c r="J32" i="2"/>
  <c r="H34" i="2" l="1" a="1"/>
  <c r="H34" i="2" s="1"/>
  <c r="Q34" i="2" a="1"/>
  <c r="Q34" i="2" s="1"/>
  <c r="P33" i="2" a="1"/>
  <c r="P33" i="2" s="1"/>
  <c r="P34" i="2" a="1"/>
  <c r="P34" i="2" s="1"/>
  <c r="F34" i="2" a="1"/>
  <c r="F34" i="2" s="1"/>
  <c r="N34" i="2" a="1"/>
  <c r="N34" i="2" s="1"/>
  <c r="M34" i="2" a="1"/>
  <c r="M34" i="2" s="1"/>
  <c r="M33" i="2" a="1"/>
  <c r="M33" i="2" s="1"/>
  <c r="O34" i="2" a="1"/>
  <c r="O34" i="2" s="1"/>
  <c r="L34" i="2" a="1"/>
  <c r="L34" i="2" s="1"/>
  <c r="J33" i="2" a="1"/>
  <c r="J33" i="2" s="1"/>
  <c r="J34" i="2" a="1"/>
  <c r="J34" i="2" s="1"/>
  <c r="K34" i="2" a="1"/>
  <c r="K34" i="2" s="1"/>
  <c r="G34" i="2" a="1"/>
  <c r="G34" i="2" s="1"/>
  <c r="I34" i="2" a="1"/>
  <c r="I34" i="2" s="1"/>
  <c r="R34" i="2" a="1"/>
  <c r="R34" i="2" s="1"/>
  <c r="Y23" i="1"/>
  <c r="J4" i="1" l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<sst xmlns="http://schemas.openxmlformats.org/spreadsheetml/2006/main" count="278" uniqueCount="167">
  <si>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</si>
  <si>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</si>
  <si>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</si>
  <si>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</si>
  <si>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</si>
  <si>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</si>
  <si>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</si>
  <si>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</si>
  <si>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</si>
  <si>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</si>
  <si>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</si>
  <si>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</si>
  <si>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</si>
  <si>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</si>
  <si>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</si>
  <si>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</si>
  <si>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</si>
  <si>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</si>
  <si>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</si>
  <si>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</si>
  <si>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</si>
  <si>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</si>
  <si>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</si>
  <si>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</si>
  <si>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</si>
  <si>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</si>
  <si>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</si>
  <si>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</si>
  <si>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</si>
  <si>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</si>
  <si>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</si>
  <si>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</si>
  <si>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</si>
  <si>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</si>
  <si>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</si>
  <si>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</si>
  <si>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</si>
  <si>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</si>
  <si>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</si>
  <si>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</si>
  <si>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</si>
  <si>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</si>
  <si>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</si>
  <si>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</si>
  <si>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</si>
  <si>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</si>
  <si>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</si>
  <si>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</si>
  <si>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</si>
  <si>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</si>
  <si>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</si>
  <si>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</si>
  <si>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</si>
  <si>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</si>
  <si>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</si>
  <si>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</si>
  <si>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</si>
  <si>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</si>
  <si>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</si>
  <si>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</si>
  <si>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</si>
  <si>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</si>
  <si>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</si>
  <si>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</si>
  <si>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</si>
  <si>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</si>
  <si>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</si>
  <si>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</si>
  <si>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</si>
  <si>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</si>
  <si>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</si>
  <si>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</si>
  <si>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</si>
  <si>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</si>
  <si>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</si>
  <si>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</si>
  <si>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</si>
  <si>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</si>
  <si>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</si>
  <si>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</si>
  <si>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</si>
  <si>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</si>
  <si>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</si>
  <si>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</si>
  <si>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</si>
  <si>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</si>
  <si>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</si>
  <si>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</si>
  <si>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</si>
  <si>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</si>
  <si>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</si>
  <si>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</si>
  <si>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</si>
  <si>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</si>
  <si>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</si>
  <si>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</si>
  <si>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</si>
  <si>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</si>
  <si>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</si>
  <si>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</si>
  <si>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</si>
  <si>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</si>
  <si>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</si>
  <si>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</si>
  <si>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</si>
  <si>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</si>
  <si>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</si>
  <si>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</si>
  <si>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</si>
  <si>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</si>
  <si>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</si>
  <si>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</si>
  <si>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</si>
  <si>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</si>
  <si>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</si>
  <si>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</si>
  <si>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</si>
  <si>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</si>
  <si>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</si>
  <si>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</si>
  <si>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</si>
  <si>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</si>
  <si>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</si>
  <si>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</si>
  <si>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</si>
  <si>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</si>
  <si>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</si>
  <si>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</si>
  <si>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</si>
  <si>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</si>
  <si>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</si>
  <si>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</si>
  <si>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</si>
  <si>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</si>
  <si>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</si>
  <si>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</si>
  <si>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</si>
  <si>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</si>
  <si>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</si>
  <si>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</si>
  <si>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</si>
  <si>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</si>
  <si>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</si>
  <si>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</si>
  <si>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</si>
  <si>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</si>
  <si>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</si>
  <si>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</si>
  <si>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</si>
  <si>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</si>
  <si>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</si>
  <si>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</si>
  <si>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</si>
  <si>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</si>
  <si>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</si>
  <si>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</si>
  <si>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</si>
  <si>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</si>
  <si>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</si>
  <si>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</si>
  <si>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</si>
  <si>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</si>
  <si>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</si>
  <si>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</si>
  <si>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</si>
  <si>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SIBN</t>
  </si>
  <si>
    <t>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</si>
</sst>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4" fillId="0" borderId="5" xfId="1" applyNumberFormat="1" applyFont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D29"/>
  <sheetViews>
    <sheetView topLeftCell="C1" zoomScale="85" zoomScaleNormal="85" workbookViewId="0">
      <selection sqref="A1:C3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9.42578125" customWidth="1"/>
    <col min="5" max="5" width="7" customWidth="1"/>
    <col min="6" max="27" width="10.7109375" customWidth="1"/>
    <col min="28" max="28" width="17.85546875" customWidth="1"/>
    <col min="29" max="30" width="10.7109375" customWidth="1"/>
  </cols>
  <sheetData>
    <row r="1" spans="1:29" x14ac:dyDescent="0.2">
      <c r="A1" s="118" t="s">
        <v>165</v>
      </c>
      <c r="B1" s="119"/>
      <c r="C1" s="120"/>
      <c r="F1" s="127" t="s">
        <v>35</v>
      </c>
      <c r="G1" s="128"/>
      <c r="H1" s="60" t="s">
        <v>31</v>
      </c>
      <c r="I1" s="60" t="s">
        <v>32</v>
      </c>
      <c r="J1" s="4" t="s">
        <v>39</v>
      </c>
      <c r="K1" s="129" t="s">
        <v>41</v>
      </c>
      <c r="L1" s="130"/>
    </row>
    <row r="2" spans="1:29" x14ac:dyDescent="0.2">
      <c r="A2" s="121"/>
      <c r="B2" s="122"/>
      <c r="C2" s="123"/>
      <c r="F2" s="58" t="s">
        <v>37</v>
      </c>
      <c r="G2" s="59"/>
      <c r="H2" s="61">
        <f>$B$7*($AC$25-2*$AC$26)</f>
        <v>20.3735273602063</v>
      </c>
      <c r="I2" s="61">
        <f>$B$7*($AC$25+2*$AC$26)</f>
        <v>20.880096660470596</v>
      </c>
      <c r="J2" s="63">
        <f>AVERAGE(H2:I2)</f>
        <v>20.626812010338448</v>
      </c>
      <c r="K2" s="131">
        <f>$J$2/X14-1</f>
        <v>9.1365714832722267E-2</v>
      </c>
      <c r="L2" s="132"/>
    </row>
    <row r="3" spans="1:29" x14ac:dyDescent="0.2">
      <c r="A3" s="124"/>
      <c r="B3" s="125"/>
      <c r="C3" s="126"/>
      <c r="F3" s="44" t="s">
        <v>38</v>
      </c>
      <c r="G3" s="18"/>
      <c r="H3" s="62">
        <f>$C$7*($AC$25-2*$AC$26)</f>
        <v>20.816430128906436</v>
      </c>
      <c r="I3" s="62">
        <f>$C$7*($AC$25+2*$AC$26)</f>
        <v>21.334011805263433</v>
      </c>
      <c r="J3" s="64">
        <f>AVERAGE(H3:I3)</f>
        <v>21.075220967084935</v>
      </c>
      <c r="K3" s="133">
        <f>$J$3/X15-1</f>
        <v>0.11509105645952045</v>
      </c>
      <c r="L3" s="134"/>
    </row>
    <row r="4" spans="1:29" x14ac:dyDescent="0.2">
      <c r="A4" s="49"/>
      <c r="B4" s="49"/>
      <c r="C4" s="49"/>
      <c r="I4" s="4" t="s">
        <v>40</v>
      </c>
      <c r="J4" s="64">
        <f>AVERAGE(J2:J3)</f>
        <v>20.851016488711693</v>
      </c>
      <c r="K4" s="133">
        <f>$J$4/X15-1</f>
        <v>0.10322838564612136</v>
      </c>
      <c r="L4" s="134"/>
    </row>
    <row r="5" spans="1:29" x14ac:dyDescent="0.2">
      <c r="A5" s="57" t="s">
        <v>34</v>
      </c>
      <c r="B5" s="47" t="s">
        <v>31</v>
      </c>
      <c r="C5" s="48" t="s">
        <v>32</v>
      </c>
    </row>
    <row r="6" spans="1:29" ht="15.75" x14ac:dyDescent="0.25">
      <c r="A6" s="51" t="s">
        <v>33</v>
      </c>
      <c r="B6" s="55">
        <v>92</v>
      </c>
      <c r="C6" s="56">
        <v>94</v>
      </c>
    </row>
    <row r="7" spans="1:29" ht="14.25" x14ac:dyDescent="0.2">
      <c r="A7" s="52" t="s">
        <v>36</v>
      </c>
      <c r="B7" s="53">
        <f>B6*$AC$24</f>
        <v>84.929215006862066</v>
      </c>
      <c r="C7" s="54">
        <f>C6*$AC$24</f>
        <v>86.775502289619936</v>
      </c>
    </row>
    <row r="10" spans="1:29" x14ac:dyDescent="0.2">
      <c r="F10" s="117" t="s">
        <v>15</v>
      </c>
      <c r="G10" s="117"/>
      <c r="H10" s="34">
        <f>AVERAGE(F13:AB13)</f>
        <v>1.1728081274924982</v>
      </c>
      <c r="Y10" s="117" t="s">
        <v>16</v>
      </c>
      <c r="Z10" s="117"/>
      <c r="AA10" s="117"/>
      <c r="AB10" s="78">
        <f>AVERAGE(X13:AB13)</f>
        <v>1.2493931191049232</v>
      </c>
    </row>
    <row r="11" spans="1:29" x14ac:dyDescent="0.2">
      <c r="A11" s="50" t="s">
        <v>6</v>
      </c>
      <c r="B11" s="107">
        <v>2012</v>
      </c>
      <c r="C11" s="108"/>
      <c r="D11" s="108"/>
      <c r="E11" s="109"/>
      <c r="F11" s="143">
        <v>2016</v>
      </c>
      <c r="G11" s="144"/>
      <c r="H11" s="144"/>
      <c r="I11" s="145"/>
      <c r="J11" s="146">
        <v>2017</v>
      </c>
      <c r="K11" s="147"/>
      <c r="L11" s="147"/>
      <c r="M11" s="148"/>
      <c r="N11" s="156">
        <v>2018</v>
      </c>
      <c r="O11" s="157"/>
      <c r="P11" s="157"/>
      <c r="Q11" s="158"/>
      <c r="R11" s="149">
        <v>2019</v>
      </c>
      <c r="S11" s="150"/>
      <c r="T11" s="150"/>
      <c r="U11" s="151"/>
      <c r="V11" s="152">
        <v>2020</v>
      </c>
      <c r="W11" s="153"/>
      <c r="X11" s="153"/>
      <c r="Y11" s="154"/>
      <c r="Z11" s="143">
        <v>2021</v>
      </c>
      <c r="AA11" s="144"/>
      <c r="AB11" s="144"/>
      <c r="AC11" s="145"/>
    </row>
    <row r="12" spans="1:29" x14ac:dyDescent="0.2">
      <c r="A12" s="13" t="s">
        <v>19</v>
      </c>
      <c r="B12" s="99" t="s">
        <v>20</v>
      </c>
      <c r="C12" s="99" t="s">
        <v>3</v>
      </c>
      <c r="D12" s="99" t="s">
        <v>4</v>
      </c>
      <c r="E12" s="102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25" t="s">
        <v>3</v>
      </c>
      <c r="P12" s="25" t="s">
        <v>4</v>
      </c>
      <c r="Q12" s="25" t="s">
        <v>5</v>
      </c>
      <c r="R12" s="26" t="s">
        <v>20</v>
      </c>
      <c r="S12" s="27" t="s">
        <v>3</v>
      </c>
      <c r="T12" s="27" t="s">
        <v>4</v>
      </c>
      <c r="U12" s="27" t="s">
        <v>5</v>
      </c>
      <c r="V12" s="28" t="s">
        <v>20</v>
      </c>
      <c r="W12" s="19" t="s">
        <v>3</v>
      </c>
      <c r="X12" s="19" t="s">
        <v>4</v>
      </c>
      <c r="Y12" s="19" t="s">
        <v>5</v>
      </c>
      <c r="Z12" s="36" t="s">
        <v>20</v>
      </c>
      <c r="AA12" s="37" t="s">
        <v>3</v>
      </c>
      <c r="AB12" s="38" t="s">
        <v>21</v>
      </c>
      <c r="AC12" s="29" t="s">
        <v>22</v>
      </c>
    </row>
    <row r="13" spans="1:29" x14ac:dyDescent="0.2">
      <c r="A13" s="33" t="s">
        <v>2</v>
      </c>
      <c r="F13" s="81"/>
      <c r="G13" s="81"/>
      <c r="H13" s="81"/>
      <c r="I13" s="81"/>
      <c r="J13" s="81">
        <f t="shared" ref="J13:AA13" si="0">J15/F15</f>
        <v>1.1704545454545454</v>
      </c>
      <c r="K13" s="81">
        <f t="shared" si="0"/>
        <v>1.0520833333333333</v>
      </c>
      <c r="L13" s="81">
        <f t="shared" si="0"/>
        <v>1.1052631578947369</v>
      </c>
      <c r="M13" s="81">
        <f t="shared" si="0"/>
        <v>1.1376146788990826</v>
      </c>
      <c r="N13" s="81">
        <f t="shared" si="0"/>
        <v>1.0970873786407767</v>
      </c>
      <c r="O13" s="81">
        <f t="shared" si="0"/>
        <v>1.2079207920792079</v>
      </c>
      <c r="P13" s="81">
        <f t="shared" si="0"/>
        <v>1.1619047619047618</v>
      </c>
      <c r="Q13" s="81">
        <f t="shared" si="0"/>
        <v>1.1693548387096775</v>
      </c>
      <c r="R13" s="81">
        <f t="shared" si="0"/>
        <v>1.1946902654867255</v>
      </c>
      <c r="S13" s="81">
        <f t="shared" si="0"/>
        <v>1.2295081967213115</v>
      </c>
      <c r="T13" s="81">
        <f t="shared" si="0"/>
        <v>1.2213114754098362</v>
      </c>
      <c r="U13" s="81">
        <f t="shared" si="0"/>
        <v>1.2758620689655173</v>
      </c>
      <c r="V13" s="81">
        <f t="shared" si="0"/>
        <v>1.1333333333333333</v>
      </c>
      <c r="W13" s="81">
        <f t="shared" si="0"/>
        <v>0.88</v>
      </c>
      <c r="X13" s="81">
        <f t="shared" si="0"/>
        <v>1.268456375838926</v>
      </c>
      <c r="Y13" s="81">
        <f t="shared" si="0"/>
        <v>1.1189189189189188</v>
      </c>
      <c r="Z13" s="81">
        <f t="shared" si="0"/>
        <v>1.2287581699346406</v>
      </c>
      <c r="AA13" s="81">
        <f t="shared" si="0"/>
        <v>1.5303030303030303</v>
      </c>
      <c r="AB13" s="81">
        <f>AB14/X14</f>
        <v>1.1005291005291007</v>
      </c>
      <c r="AC13" s="30"/>
    </row>
    <row r="14" spans="1:29" x14ac:dyDescent="0.2">
      <c r="A14" s="14" t="s">
        <v>0</v>
      </c>
      <c r="B14" s="6"/>
      <c r="C14" s="6"/>
      <c r="D14" s="6"/>
      <c r="E14" s="6"/>
      <c r="F14" s="9">
        <v>8.8000000000000007</v>
      </c>
      <c r="G14" s="6">
        <v>9.6</v>
      </c>
      <c r="H14" s="6">
        <v>9.5</v>
      </c>
      <c r="I14" s="6">
        <v>10.9</v>
      </c>
      <c r="J14" s="9">
        <v>10.3</v>
      </c>
      <c r="K14" s="6">
        <v>10.1</v>
      </c>
      <c r="L14" s="6">
        <v>10.5</v>
      </c>
      <c r="M14" s="6">
        <v>12.4</v>
      </c>
      <c r="N14" s="9">
        <v>11.3</v>
      </c>
      <c r="O14" s="6">
        <v>12.2</v>
      </c>
      <c r="P14" s="6">
        <v>12.2</v>
      </c>
      <c r="Q14" s="6">
        <v>14.5</v>
      </c>
      <c r="R14" s="9">
        <v>13.5</v>
      </c>
      <c r="S14" s="6">
        <v>15</v>
      </c>
      <c r="T14" s="6">
        <v>14.9</v>
      </c>
      <c r="U14" s="6">
        <v>18.5</v>
      </c>
      <c r="V14" s="9">
        <v>15.3</v>
      </c>
      <c r="W14" s="6">
        <v>13.2</v>
      </c>
      <c r="X14" s="6">
        <v>18.899999999999999</v>
      </c>
      <c r="Y14" s="6">
        <v>20.7</v>
      </c>
      <c r="Z14" s="6">
        <v>18.8</v>
      </c>
      <c r="AA14" s="6">
        <v>20.2</v>
      </c>
      <c r="AB14" s="101">
        <v>20.8</v>
      </c>
      <c r="AC14" s="101">
        <v>25.7</v>
      </c>
    </row>
    <row r="15" spans="1:29" x14ac:dyDescent="0.2">
      <c r="A15" s="14" t="s">
        <v>1</v>
      </c>
      <c r="B15" s="6"/>
      <c r="C15" s="6"/>
      <c r="D15" s="6"/>
      <c r="E15" s="6"/>
      <c r="F15" s="9">
        <v>8.8000000000000007</v>
      </c>
      <c r="G15" s="6">
        <v>9.6</v>
      </c>
      <c r="H15" s="6">
        <v>9.5</v>
      </c>
      <c r="I15" s="6">
        <v>10.9</v>
      </c>
      <c r="J15" s="9">
        <v>10.3</v>
      </c>
      <c r="K15" s="6">
        <v>10.1</v>
      </c>
      <c r="L15" s="6">
        <v>10.5</v>
      </c>
      <c r="M15" s="6">
        <v>12.4</v>
      </c>
      <c r="N15" s="9">
        <v>11.3</v>
      </c>
      <c r="O15" s="6">
        <v>12.2</v>
      </c>
      <c r="P15" s="6">
        <v>12.2</v>
      </c>
      <c r="Q15" s="6">
        <v>14.5</v>
      </c>
      <c r="R15" s="9">
        <v>13.5</v>
      </c>
      <c r="S15" s="6">
        <v>15</v>
      </c>
      <c r="T15" s="6">
        <v>14.9</v>
      </c>
      <c r="U15" s="6">
        <v>18.5</v>
      </c>
      <c r="V15" s="9">
        <v>15.3</v>
      </c>
      <c r="W15" s="6">
        <v>13.2</v>
      </c>
      <c r="X15" s="6">
        <v>18.899999999999999</v>
      </c>
      <c r="Y15" s="6">
        <v>20.7</v>
      </c>
      <c r="Z15" s="9">
        <v>18.8</v>
      </c>
      <c r="AA15" s="6">
        <v>20.2</v>
      </c>
      <c r="AB15" s="9"/>
      <c r="AC15" s="10"/>
    </row>
    <row r="16" spans="1:29" x14ac:dyDescent="0.2">
      <c r="A16" s="14" t="s">
        <v>154</v>
      </c>
      <c r="B16" s="9"/>
      <c r="C16" s="9"/>
      <c r="D16" s="9"/>
      <c r="E16" s="9"/>
      <c r="F16" s="9">
        <v>9.6</v>
      </c>
      <c r="G16" s="6">
        <v>10.4</v>
      </c>
      <c r="H16" s="6">
        <v>10.199999999999999</v>
      </c>
      <c r="I16" s="10">
        <v>11.9</v>
      </c>
      <c r="J16" s="9">
        <v>11.4</v>
      </c>
      <c r="K16" s="6">
        <v>11.1</v>
      </c>
      <c r="L16" s="6">
        <v>11.7</v>
      </c>
      <c r="M16" s="10">
        <v>13.8</v>
      </c>
      <c r="N16" s="9">
        <v>12.7</v>
      </c>
      <c r="O16" s="6">
        <v>13.7</v>
      </c>
      <c r="P16" s="6">
        <v>13.4</v>
      </c>
      <c r="Q16" s="10">
        <v>15.6</v>
      </c>
      <c r="R16" s="9">
        <v>15</v>
      </c>
      <c r="S16" s="6">
        <v>16.3</v>
      </c>
      <c r="T16" s="6">
        <v>16.2</v>
      </c>
      <c r="U16" s="10">
        <v>19.8</v>
      </c>
      <c r="V16" s="9">
        <v>16.8</v>
      </c>
      <c r="W16" s="6">
        <v>14</v>
      </c>
      <c r="X16" s="6">
        <v>20.399999999999999</v>
      </c>
      <c r="Y16" s="10">
        <v>22.1</v>
      </c>
      <c r="Z16" s="9">
        <v>20.399999999999999</v>
      </c>
      <c r="AA16">
        <v>22.2</v>
      </c>
      <c r="AB16" s="100">
        <v>22.5</v>
      </c>
      <c r="AC16" s="10"/>
    </row>
    <row r="17" spans="1:30" x14ac:dyDescent="0.2">
      <c r="A17" s="82" t="s">
        <v>18</v>
      </c>
      <c r="B17" s="83"/>
      <c r="C17" s="83"/>
      <c r="D17" s="83"/>
      <c r="E17" s="83"/>
      <c r="F17" s="83">
        <f>F15/F16</f>
        <v>0.91666666666666674</v>
      </c>
      <c r="G17" s="83">
        <f>G15/G16</f>
        <v>0.92307692307692302</v>
      </c>
      <c r="H17" s="83">
        <f>H15/H16</f>
        <v>0.93137254901960786</v>
      </c>
      <c r="I17" s="83">
        <f>I15/I16</f>
        <v>0.91596638655462181</v>
      </c>
      <c r="J17" s="83">
        <f>J15/J16</f>
        <v>0.90350877192982459</v>
      </c>
      <c r="K17" s="83">
        <f t="shared" ref="K17:S17" si="1">K15/K16</f>
        <v>0.90990990990990994</v>
      </c>
      <c r="L17" s="83">
        <f t="shared" si="1"/>
        <v>0.89743589743589747</v>
      </c>
      <c r="M17" s="83">
        <f t="shared" si="1"/>
        <v>0.89855072463768115</v>
      </c>
      <c r="N17" s="83">
        <f t="shared" si="1"/>
        <v>0.88976377952755914</v>
      </c>
      <c r="O17" s="83">
        <f t="shared" si="1"/>
        <v>0.89051094890510951</v>
      </c>
      <c r="P17" s="83">
        <f t="shared" si="1"/>
        <v>0.91044776119402981</v>
      </c>
      <c r="Q17" s="83">
        <f t="shared" si="1"/>
        <v>0.92948717948717952</v>
      </c>
      <c r="R17" s="83">
        <f t="shared" si="1"/>
        <v>0.9</v>
      </c>
      <c r="S17" s="83">
        <f t="shared" si="1"/>
        <v>0.92024539877300604</v>
      </c>
      <c r="T17" s="83">
        <f t="shared" ref="T17:W17" si="2">T15/T16</f>
        <v>0.91975308641975317</v>
      </c>
      <c r="U17" s="83">
        <f t="shared" si="2"/>
        <v>0.93434343434343436</v>
      </c>
      <c r="V17" s="83">
        <f t="shared" si="2"/>
        <v>0.9107142857142857</v>
      </c>
      <c r="W17" s="83">
        <f t="shared" si="2"/>
        <v>0.94285714285714284</v>
      </c>
      <c r="X17" s="83">
        <f>X15/X16</f>
        <v>0.92647058823529416</v>
      </c>
      <c r="Y17" s="83">
        <f>Y15/Y16</f>
        <v>0.93665158371040713</v>
      </c>
      <c r="Z17" s="83">
        <f>Z15/Z16</f>
        <v>0.92156862745098045</v>
      </c>
      <c r="AA17" s="83">
        <f>AA15/AA16</f>
        <v>0.90990990990990994</v>
      </c>
      <c r="AB17" s="103">
        <f>AB14/AB16</f>
        <v>0.92444444444444451</v>
      </c>
      <c r="AC17" s="84"/>
    </row>
    <row r="18" spans="1:30" x14ac:dyDescent="0.2">
      <c r="A18" s="82" t="s">
        <v>24</v>
      </c>
      <c r="B18" s="83"/>
      <c r="C18" s="83"/>
      <c r="D18" s="83"/>
      <c r="E18" s="85"/>
      <c r="F18" s="83">
        <f>F15/SUM(F15:I15)</f>
        <v>0.22680412371134023</v>
      </c>
      <c r="G18" s="83">
        <f>G15/SUM(F15:I15)</f>
        <v>0.24742268041237114</v>
      </c>
      <c r="H18" s="83">
        <f>H15/SUM(F15:I15)</f>
        <v>0.24484536082474229</v>
      </c>
      <c r="I18" s="85">
        <f>I15/SUM(F15:I15)</f>
        <v>0.28092783505154645</v>
      </c>
      <c r="J18" s="83">
        <f>J15/SUM(J15:M15)</f>
        <v>0.2378752886836028</v>
      </c>
      <c r="K18" s="83">
        <f>K15/SUM(J15:M15)</f>
        <v>0.23325635103926098</v>
      </c>
      <c r="L18" s="83">
        <f>L15/SUM(J15:M15)</f>
        <v>0.2424942263279446</v>
      </c>
      <c r="M18" s="85">
        <f>M15/SUM(J15:M15)</f>
        <v>0.2863741339491917</v>
      </c>
      <c r="N18" s="83">
        <f>N15/SUM(N15:Q15)</f>
        <v>0.22509960159362549</v>
      </c>
      <c r="O18" s="83">
        <f>O15/SUM(N15:Q15)</f>
        <v>0.24302788844621512</v>
      </c>
      <c r="P18" s="83">
        <f>P15/SUM(N15:Q15)</f>
        <v>0.24302788844621512</v>
      </c>
      <c r="Q18" s="85">
        <f>Q15/SUM(N15:Q15)</f>
        <v>0.28884462151394419</v>
      </c>
      <c r="R18" s="83">
        <f>R15/SUM(R15:U15)</f>
        <v>0.21809369951534735</v>
      </c>
      <c r="S18" s="83">
        <f>S15/SUM(R15:U15)</f>
        <v>0.24232633279483037</v>
      </c>
      <c r="T18" s="83">
        <f>T15/SUM(R15:U15)</f>
        <v>0.24071082390953152</v>
      </c>
      <c r="U18" s="85">
        <f>U15/SUM(R15:U15)</f>
        <v>0.29886914378029078</v>
      </c>
      <c r="V18" s="83"/>
      <c r="W18" s="83"/>
      <c r="X18" s="83"/>
      <c r="Y18" s="85"/>
      <c r="Z18" s="83">
        <f>Z15/SUM(Z15:AA15,AB14:AC14)</f>
        <v>0.21988304093567251</v>
      </c>
      <c r="AA18" s="83">
        <f>AA15/SUM(Z15:AA15,AB14:AC14)</f>
        <v>0.23625730994152047</v>
      </c>
      <c r="AB18" s="83">
        <f>AB14/SUM(Z15:AA15,AB14:AC14)</f>
        <v>0.24327485380116959</v>
      </c>
      <c r="AC18" s="85">
        <f>AC14/SUM(Z15:AA15,AB14:AC14)</f>
        <v>0.3005847953216374</v>
      </c>
      <c r="AD18" s="3"/>
    </row>
    <row r="19" spans="1:30" x14ac:dyDescent="0.2">
      <c r="A19" s="15" t="s">
        <v>17</v>
      </c>
      <c r="B19" s="11"/>
      <c r="C19" s="11"/>
      <c r="D19" s="11"/>
      <c r="E19" s="11"/>
      <c r="F19" s="9"/>
      <c r="G19" s="11"/>
      <c r="H19" s="11"/>
      <c r="I19" s="6"/>
      <c r="J19" s="79"/>
      <c r="K19" s="79"/>
      <c r="L19" s="79"/>
      <c r="M19" s="79"/>
      <c r="N19" s="79"/>
      <c r="O19" s="62"/>
      <c r="P19" s="62"/>
      <c r="Q19" s="62">
        <v>13.9</v>
      </c>
      <c r="R19" s="79">
        <v>13.6</v>
      </c>
      <c r="S19" s="62">
        <v>14.6</v>
      </c>
      <c r="T19" s="62">
        <v>14.9</v>
      </c>
      <c r="U19" s="62">
        <v>18.100000000000001</v>
      </c>
      <c r="V19" s="79">
        <v>16.100000000000001</v>
      </c>
      <c r="W19" s="62">
        <v>13.2</v>
      </c>
      <c r="X19" s="62">
        <v>16.8</v>
      </c>
      <c r="Y19" s="62">
        <v>20.8</v>
      </c>
      <c r="Z19" s="79">
        <v>17.399999999999999</v>
      </c>
      <c r="AA19" s="62">
        <v>20.3</v>
      </c>
      <c r="AB19" s="80"/>
      <c r="AC19" s="12"/>
    </row>
    <row r="20" spans="1:30" x14ac:dyDescent="0.2">
      <c r="F20" s="7"/>
      <c r="G20" s="7"/>
      <c r="H20" s="7"/>
      <c r="I20" s="7"/>
      <c r="J20" s="7"/>
      <c r="K20" s="7"/>
      <c r="L20" s="7"/>
      <c r="M20" s="7"/>
      <c r="N20" s="7"/>
      <c r="O20" s="137" t="s">
        <v>7</v>
      </c>
      <c r="P20" s="155"/>
      <c r="Q20" s="7">
        <f t="shared" ref="Q20:X20" si="3">IF(Q15&gt;Q19,1,0)</f>
        <v>1</v>
      </c>
      <c r="R20" s="7">
        <f t="shared" si="3"/>
        <v>0</v>
      </c>
      <c r="S20" s="7">
        <f t="shared" si="3"/>
        <v>1</v>
      </c>
      <c r="T20" s="7">
        <f t="shared" si="3"/>
        <v>0</v>
      </c>
      <c r="U20" s="7">
        <f t="shared" si="3"/>
        <v>1</v>
      </c>
      <c r="V20" s="7">
        <f t="shared" si="3"/>
        <v>0</v>
      </c>
      <c r="W20" s="7">
        <f t="shared" si="3"/>
        <v>0</v>
      </c>
      <c r="X20" s="7">
        <f t="shared" si="3"/>
        <v>1</v>
      </c>
      <c r="Y20" s="7">
        <f t="shared" ref="Y20:AA20" si="4">IF(Y15&gt;Y19,1,0)</f>
        <v>0</v>
      </c>
      <c r="Z20" s="7">
        <f>IF(Z15&gt;Z19,1,0)</f>
        <v>1</v>
      </c>
      <c r="AA20" s="8">
        <f t="shared" si="4"/>
        <v>0</v>
      </c>
      <c r="AB20" s="44" t="s">
        <v>8</v>
      </c>
      <c r="AC20" s="41">
        <f>AVERAGE(Q20:AA20)</f>
        <v>0.45454545454545453</v>
      </c>
    </row>
    <row r="21" spans="1:30" x14ac:dyDescent="0.2">
      <c r="F21" s="6"/>
      <c r="G21" s="6"/>
      <c r="H21" s="6"/>
      <c r="I21" s="6"/>
      <c r="J21" s="6"/>
      <c r="K21" s="6"/>
      <c r="L21" s="6"/>
      <c r="M21" s="6"/>
      <c r="N21" s="6"/>
      <c r="O21" s="110" t="s">
        <v>9</v>
      </c>
      <c r="P21" s="111"/>
      <c r="R21" s="6"/>
      <c r="S21" s="6"/>
      <c r="T21" s="6">
        <f t="shared" ref="T21:Z21" si="5">AVERAGE(Q20:T20)</f>
        <v>0.5</v>
      </c>
      <c r="U21" s="6">
        <f t="shared" si="5"/>
        <v>0.5</v>
      </c>
      <c r="V21" s="6">
        <f t="shared" si="5"/>
        <v>0.5</v>
      </c>
      <c r="W21" s="6">
        <f t="shared" si="5"/>
        <v>0.25</v>
      </c>
      <c r="X21" s="6">
        <f t="shared" si="5"/>
        <v>0.5</v>
      </c>
      <c r="Y21" s="6">
        <f t="shared" si="5"/>
        <v>0.25</v>
      </c>
      <c r="Z21" s="6">
        <f t="shared" si="5"/>
        <v>0.5</v>
      </c>
      <c r="AA21" s="10">
        <f t="shared" ref="AA21" si="6">AVERAGE(X20:AA20)</f>
        <v>0.5</v>
      </c>
      <c r="AB21" s="40" t="s">
        <v>10</v>
      </c>
      <c r="AC21" s="41">
        <f>AVERAGE(T21:AA21)</f>
        <v>0.4375</v>
      </c>
    </row>
    <row r="22" spans="1:30" x14ac:dyDescent="0.2">
      <c r="F22" s="17"/>
      <c r="G22" s="17"/>
      <c r="H22" s="17"/>
      <c r="I22" s="17"/>
      <c r="J22" s="17"/>
      <c r="K22" s="17"/>
      <c r="L22" s="17"/>
      <c r="M22" s="17"/>
      <c r="N22" s="17"/>
      <c r="O22" s="141" t="s">
        <v>11</v>
      </c>
      <c r="P22" s="142"/>
      <c r="Q22" s="17">
        <f>Q15/Q19-1</f>
        <v>4.3165467625899234E-2</v>
      </c>
      <c r="R22" s="17">
        <f>R15/R19-1</f>
        <v>-7.3529411764705621E-3</v>
      </c>
      <c r="S22" s="17">
        <f>S15/S19-1</f>
        <v>2.7397260273972712E-2</v>
      </c>
      <c r="T22" s="17">
        <f>T15/T19-1</f>
        <v>0</v>
      </c>
      <c r="U22" s="17">
        <f>U15/U19-1</f>
        <v>2.2099447513812098E-2</v>
      </c>
      <c r="V22" s="17">
        <f t="shared" ref="V22:AA22" si="7">V15/V19-1</f>
        <v>-4.9689440993788914E-2</v>
      </c>
      <c r="W22" s="17">
        <f t="shared" si="7"/>
        <v>0</v>
      </c>
      <c r="X22" s="17">
        <f t="shared" si="7"/>
        <v>0.12499999999999978</v>
      </c>
      <c r="Y22" s="17">
        <f t="shared" si="7"/>
        <v>-4.8076923076924016E-3</v>
      </c>
      <c r="Z22" s="17">
        <f t="shared" si="7"/>
        <v>8.0459770114942764E-2</v>
      </c>
      <c r="AA22" s="39">
        <f t="shared" si="7"/>
        <v>-4.9261083743843415E-3</v>
      </c>
      <c r="AB22" s="40" t="s">
        <v>13</v>
      </c>
      <c r="AC22" s="42">
        <f>MEDIAN(Q22:AA22)</f>
        <v>0</v>
      </c>
    </row>
    <row r="23" spans="1:30" x14ac:dyDescent="0.2">
      <c r="F23" s="31"/>
      <c r="G23" s="31"/>
      <c r="H23" s="31"/>
      <c r="I23" s="31"/>
      <c r="J23" s="31"/>
      <c r="K23" s="31"/>
      <c r="L23" s="31"/>
      <c r="M23" s="31"/>
      <c r="N23" s="31"/>
      <c r="O23" s="110" t="s">
        <v>12</v>
      </c>
      <c r="P23" s="111"/>
      <c r="R23" s="31"/>
      <c r="S23" s="31"/>
      <c r="T23" s="31">
        <f t="shared" ref="T23:W23" si="8">AVERAGE(Q22:T22)</f>
        <v>1.5802446680850346E-2</v>
      </c>
      <c r="U23" s="31">
        <f t="shared" si="8"/>
        <v>1.0535941652828562E-2</v>
      </c>
      <c r="V23" s="31">
        <f t="shared" si="8"/>
        <v>-4.8183301501025788E-5</v>
      </c>
      <c r="W23" s="31">
        <f t="shared" si="8"/>
        <v>-6.8974983699942038E-3</v>
      </c>
      <c r="X23" s="31">
        <f>AVERAGE(U22:X22)</f>
        <v>2.4352501630005741E-2</v>
      </c>
      <c r="Y23" s="31">
        <f t="shared" ref="Y23:AA23" si="9">AVERAGE(V22:Y22)</f>
        <v>1.7625716674629616E-2</v>
      </c>
      <c r="Z23" s="31">
        <f t="shared" si="9"/>
        <v>5.0163019451812535E-2</v>
      </c>
      <c r="AA23" s="32">
        <f t="shared" si="9"/>
        <v>4.893149235821645E-2</v>
      </c>
      <c r="AB23" s="18" t="s">
        <v>14</v>
      </c>
      <c r="AC23" s="32">
        <f>MEDIAN(T23:AA23)</f>
        <v>1.6714081677739981E-2</v>
      </c>
    </row>
    <row r="24" spans="1:30" x14ac:dyDescent="0.2">
      <c r="O24" s="137" t="s">
        <v>25</v>
      </c>
      <c r="P24" s="155"/>
      <c r="Q24" s="94">
        <f>AVERAGE(Q22,S22,U22,X22,Z22)</f>
        <v>5.9624389105725317E-2</v>
      </c>
      <c r="R24" s="137" t="s">
        <v>29</v>
      </c>
      <c r="S24" s="138"/>
      <c r="T24" s="45">
        <f>MEDIAN(Q22,S22,U22,X22,Z22)</f>
        <v>4.3165467625899234E-2</v>
      </c>
      <c r="X24" s="3"/>
      <c r="Y24" s="112" t="s">
        <v>23</v>
      </c>
      <c r="Z24" s="113"/>
      <c r="AA24" s="113"/>
      <c r="AB24" s="114"/>
      <c r="AC24" s="43">
        <f>AVERAGE(Y17:AB17)</f>
        <v>0.92314364137893556</v>
      </c>
    </row>
    <row r="25" spans="1:30" x14ac:dyDescent="0.2">
      <c r="O25" s="139" t="s">
        <v>26</v>
      </c>
      <c r="P25" s="159"/>
      <c r="Q25" s="93">
        <f>AVERAGE(R22,V22,Y22,AA22)</f>
        <v>-1.6694045713084055E-2</v>
      </c>
      <c r="R25" s="139" t="s">
        <v>30</v>
      </c>
      <c r="S25" s="140"/>
      <c r="T25" s="32">
        <f>MEDIAN(R22,V22,Y22,AA22)</f>
        <v>-6.1395247754274518E-3</v>
      </c>
      <c r="Y25" s="115" t="s">
        <v>27</v>
      </c>
      <c r="Z25" s="116"/>
      <c r="AA25" s="116"/>
      <c r="AB25" s="116"/>
      <c r="AC25" s="45">
        <f>AVERAGE(AB18,T18,P18,L18,H18)</f>
        <v>0.24287063066192066</v>
      </c>
    </row>
    <row r="26" spans="1:30" x14ac:dyDescent="0.2">
      <c r="Y26" s="135" t="s">
        <v>28</v>
      </c>
      <c r="Z26" s="136"/>
      <c r="AA26" s="136"/>
      <c r="AB26" s="136"/>
      <c r="AC26" s="46">
        <f>_xlfn.STDEV.S(AB18,T18,P18,L18,H18)</f>
        <v>1.4911514848670356E-3</v>
      </c>
    </row>
    <row r="29" spans="1:30" ht="18" customHeight="1" x14ac:dyDescent="0.2"/>
  </sheetData>
  <mergeCells count="26">
    <mergeCell ref="K4:L4"/>
    <mergeCell ref="F10:G10"/>
    <mergeCell ref="Y26:AB26"/>
    <mergeCell ref="R24:S24"/>
    <mergeCell ref="R25:S25"/>
    <mergeCell ref="O22:P22"/>
    <mergeCell ref="F11:I11"/>
    <mergeCell ref="J11:M11"/>
    <mergeCell ref="R11:U11"/>
    <mergeCell ref="V11:Y11"/>
    <mergeCell ref="Z11:AC11"/>
    <mergeCell ref="O20:P20"/>
    <mergeCell ref="O21:P21"/>
    <mergeCell ref="N11:Q11"/>
    <mergeCell ref="O24:P24"/>
    <mergeCell ref="O25:P25"/>
    <mergeCell ref="A1:C3"/>
    <mergeCell ref="F1:G1"/>
    <mergeCell ref="K1:L1"/>
    <mergeCell ref="K2:L2"/>
    <mergeCell ref="K3:L3"/>
    <mergeCell ref="B11:E11"/>
    <mergeCell ref="O23:P23"/>
    <mergeCell ref="Y24:AB24"/>
    <mergeCell ref="Y25:AB25"/>
    <mergeCell ref="Y10:AA10"/>
  </mergeCells>
  <conditionalFormatting sqref="AC22:AC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C20:AC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C20:AC21 AC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F20:N20 AC20 Q20:AA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N21 AC21 R21:AA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AA22 F22:N22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A23 F23:N23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AC22:AC23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AC20:AC21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AC20:AC21 AC24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Q22:AA22 F22:N22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R23:AA23 F23:N23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36"/>
  <sheetViews>
    <sheetView topLeftCell="A4" zoomScale="85" zoomScaleNormal="85" workbookViewId="0">
      <selection activeCell="J17" sqref="J17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77</v>
      </c>
      <c r="B1" t="s">
        <v>78</v>
      </c>
    </row>
    <row r="4" spans="1:21" x14ac:dyDescent="0.2">
      <c r="A4" s="162" t="s">
        <v>73</v>
      </c>
      <c r="B4" s="162"/>
      <c r="T4" s="69" t="s">
        <v>162</v>
      </c>
    </row>
    <row r="5" spans="1:21" x14ac:dyDescent="0.2">
      <c r="A5" s="16" t="s">
        <v>53</v>
      </c>
      <c r="B5" s="16" t="s">
        <v>54</v>
      </c>
      <c r="C5" s="16" t="s">
        <v>65</v>
      </c>
      <c r="D5" s="16" t="s">
        <v>55</v>
      </c>
      <c r="E5" s="16" t="s">
        <v>56</v>
      </c>
      <c r="F5" s="16" t="s">
        <v>66</v>
      </c>
      <c r="G5" s="16" t="s">
        <v>57</v>
      </c>
      <c r="H5" s="16" t="s">
        <v>58</v>
      </c>
      <c r="I5" s="16" t="s">
        <v>67</v>
      </c>
      <c r="J5" s="16" t="s">
        <v>59</v>
      </c>
      <c r="K5" s="16" t="s">
        <v>60</v>
      </c>
      <c r="L5" s="16" t="s">
        <v>70</v>
      </c>
      <c r="M5" s="16" t="s">
        <v>61</v>
      </c>
      <c r="N5" s="16" t="s">
        <v>62</v>
      </c>
      <c r="O5" s="16" t="s">
        <v>71</v>
      </c>
      <c r="P5" s="16" t="s">
        <v>63</v>
      </c>
      <c r="Q5" s="16" t="s">
        <v>64</v>
      </c>
      <c r="R5" s="16" t="s">
        <v>0</v>
      </c>
      <c r="S5" s="16" t="s">
        <v>69</v>
      </c>
      <c r="T5" s="35" t="s">
        <v>0</v>
      </c>
      <c r="U5" s="35" t="s">
        <v>69</v>
      </c>
    </row>
    <row r="6" spans="1:21" x14ac:dyDescent="0.2">
      <c r="A6" t="s">
        <v>165</v>
      </c>
      <c r="B6" t="s">
        <v>166</v>
      </c>
      <c r="C6" t="s">
        <v>42</v>
      </c>
      <c r="D6">
        <v>20190228</v>
      </c>
      <c r="E6">
        <v>17.167432999999999</v>
      </c>
      <c r="H6">
        <v>14.319029</v>
      </c>
      <c r="I6">
        <v>11.142867000000001</v>
      </c>
      <c r="J6">
        <v>14.209776333333332</v>
      </c>
      <c r="R6">
        <v>13.9</v>
      </c>
      <c r="S6">
        <v>14.3</v>
      </c>
      <c r="T6" s="87"/>
      <c r="U6" s="86"/>
    </row>
    <row r="7" spans="1:21" x14ac:dyDescent="0.2">
      <c r="A7" t="s">
        <v>165</v>
      </c>
      <c r="B7" t="s">
        <v>166</v>
      </c>
      <c r="C7" t="s">
        <v>43</v>
      </c>
      <c r="D7">
        <v>20190502</v>
      </c>
      <c r="E7">
        <v>11.779260000000001</v>
      </c>
      <c r="H7">
        <v>11.044223000000001</v>
      </c>
      <c r="I7">
        <v>13.900525</v>
      </c>
      <c r="J7">
        <v>12.241336000000002</v>
      </c>
      <c r="K7">
        <v>9.8117999353776444</v>
      </c>
      <c r="N7">
        <f t="shared" ref="N7:N16" si="0">(H7/H6)*$S6</f>
        <v>11.029545990862928</v>
      </c>
      <c r="O7">
        <f t="shared" ref="O7:O16" si="1">(I7/I6)*$S6</f>
        <v>17.83899130268718</v>
      </c>
      <c r="P7">
        <f t="shared" ref="P7:P16" si="2">(J7/J6)*$S6</f>
        <v>12.319061235986149</v>
      </c>
      <c r="Q7">
        <f t="shared" ref="Q7:Q16" si="3">AVERAGE(K7:P7)</f>
        <v>12.749849616228476</v>
      </c>
      <c r="R7">
        <v>13.6</v>
      </c>
      <c r="S7">
        <v>13.5</v>
      </c>
      <c r="T7" s="87"/>
      <c r="U7" s="86"/>
    </row>
    <row r="8" spans="1:21" x14ac:dyDescent="0.2">
      <c r="A8" t="s">
        <v>165</v>
      </c>
      <c r="B8" t="s">
        <v>166</v>
      </c>
      <c r="C8" t="s">
        <v>44</v>
      </c>
      <c r="D8">
        <v>20190801</v>
      </c>
      <c r="E8">
        <v>12.10928</v>
      </c>
      <c r="H8">
        <v>12.248968</v>
      </c>
      <c r="I8">
        <v>15.842997</v>
      </c>
      <c r="J8">
        <v>13.400415000000001</v>
      </c>
      <c r="K8">
        <v>13.878230041615518</v>
      </c>
      <c r="N8">
        <f t="shared" si="0"/>
        <v>14.972630306360164</v>
      </c>
      <c r="O8">
        <f t="shared" si="1"/>
        <v>15.386502272396186</v>
      </c>
      <c r="P8">
        <f t="shared" si="2"/>
        <v>14.778256433774875</v>
      </c>
      <c r="Q8">
        <f t="shared" si="3"/>
        <v>14.753904763536685</v>
      </c>
      <c r="R8">
        <v>14.6</v>
      </c>
      <c r="S8">
        <v>15</v>
      </c>
      <c r="T8" s="87"/>
      <c r="U8" s="86"/>
    </row>
    <row r="9" spans="1:21" x14ac:dyDescent="0.2">
      <c r="A9" t="s">
        <v>165</v>
      </c>
      <c r="B9" t="s">
        <v>166</v>
      </c>
      <c r="C9" t="s">
        <v>45</v>
      </c>
      <c r="D9">
        <v>20191031</v>
      </c>
      <c r="E9">
        <v>11.003854</v>
      </c>
      <c r="H9">
        <v>10.174499000000001</v>
      </c>
      <c r="I9">
        <v>12.691843</v>
      </c>
      <c r="J9">
        <v>11.290065333333333</v>
      </c>
      <c r="K9">
        <v>13.630687373650623</v>
      </c>
      <c r="N9">
        <f t="shared" si="0"/>
        <v>12.459619863485644</v>
      </c>
      <c r="O9">
        <f t="shared" si="1"/>
        <v>12.016517140033542</v>
      </c>
      <c r="P9">
        <f t="shared" si="2"/>
        <v>12.637741443082172</v>
      </c>
      <c r="Q9">
        <f t="shared" si="3"/>
        <v>12.686141455062995</v>
      </c>
      <c r="R9">
        <v>14.9</v>
      </c>
      <c r="S9">
        <v>14.9</v>
      </c>
      <c r="T9" s="9"/>
      <c r="U9" s="61"/>
    </row>
    <row r="10" spans="1:21" x14ac:dyDescent="0.2">
      <c r="A10" t="s">
        <v>165</v>
      </c>
      <c r="B10" t="s">
        <v>166</v>
      </c>
      <c r="C10" t="s">
        <v>46</v>
      </c>
      <c r="D10">
        <v>20200227</v>
      </c>
      <c r="E10">
        <v>14.847231000000001</v>
      </c>
      <c r="F10">
        <v>15.319794</v>
      </c>
      <c r="G10">
        <v>16.919533000000001</v>
      </c>
      <c r="H10">
        <v>15.101789999999999</v>
      </c>
      <c r="I10">
        <v>12.159926</v>
      </c>
      <c r="J10">
        <v>15.695519333333335</v>
      </c>
      <c r="K10">
        <v>20.104205481097804</v>
      </c>
      <c r="N10">
        <f t="shared" si="0"/>
        <v>22.115749483094937</v>
      </c>
      <c r="O10">
        <f t="shared" si="1"/>
        <v>14.275538816545399</v>
      </c>
      <c r="P10">
        <f t="shared" si="2"/>
        <v>20.714073051127315</v>
      </c>
      <c r="Q10">
        <f t="shared" si="3"/>
        <v>19.302391707966365</v>
      </c>
      <c r="R10">
        <v>18.100000000000001</v>
      </c>
      <c r="S10">
        <v>18.3</v>
      </c>
      <c r="T10" s="9"/>
      <c r="U10" s="61"/>
    </row>
    <row r="11" spans="1:21" x14ac:dyDescent="0.2">
      <c r="A11" t="s">
        <v>165</v>
      </c>
      <c r="B11" t="s">
        <v>166</v>
      </c>
      <c r="C11" t="s">
        <v>47</v>
      </c>
      <c r="D11">
        <v>20200423</v>
      </c>
      <c r="E11">
        <v>15.665620000000001</v>
      </c>
      <c r="F11">
        <v>15.673019999999999</v>
      </c>
      <c r="G11">
        <v>16.057513</v>
      </c>
      <c r="H11">
        <v>15.620514999999999</v>
      </c>
      <c r="I11">
        <v>12.75116</v>
      </c>
      <c r="J11">
        <v>15.798717666666667</v>
      </c>
      <c r="K11">
        <v>19.308707866133425</v>
      </c>
      <c r="L11">
        <f t="shared" ref="L11:L16" si="4">(F11/F10)*$S10</f>
        <v>18.721940125304556</v>
      </c>
      <c r="M11">
        <f t="shared" ref="M11:M16" si="5">(G11/G10)*$S10</f>
        <v>17.367647670890207</v>
      </c>
      <c r="N11">
        <f t="shared" si="0"/>
        <v>18.928578963156024</v>
      </c>
      <c r="O11">
        <f t="shared" si="1"/>
        <v>19.189773687767509</v>
      </c>
      <c r="P11">
        <f t="shared" si="2"/>
        <v>18.420322842455377</v>
      </c>
      <c r="Q11">
        <f t="shared" si="3"/>
        <v>18.656161859284516</v>
      </c>
      <c r="R11">
        <v>16.100000000000001</v>
      </c>
      <c r="S11">
        <v>15.3</v>
      </c>
      <c r="T11" s="9"/>
      <c r="U11" s="61"/>
    </row>
    <row r="12" spans="1:21" x14ac:dyDescent="0.2">
      <c r="A12" t="s">
        <v>165</v>
      </c>
      <c r="B12" t="s">
        <v>166</v>
      </c>
      <c r="C12" t="s">
        <v>48</v>
      </c>
      <c r="D12">
        <v>20200723</v>
      </c>
      <c r="E12">
        <v>18.277995000000001</v>
      </c>
      <c r="F12">
        <v>17.772534</v>
      </c>
      <c r="G12">
        <v>11.577666000000001</v>
      </c>
      <c r="H12">
        <v>16.775711000000001</v>
      </c>
      <c r="I12">
        <v>13.080633000000001</v>
      </c>
      <c r="J12">
        <v>15.496907800000002</v>
      </c>
      <c r="K12">
        <v>17.851404764062959</v>
      </c>
      <c r="L12">
        <f t="shared" si="4"/>
        <v>17.349545282274892</v>
      </c>
      <c r="M12">
        <f t="shared" si="5"/>
        <v>11.031489733185957</v>
      </c>
      <c r="N12">
        <f t="shared" si="0"/>
        <v>16.431492706866582</v>
      </c>
      <c r="O12">
        <f t="shared" si="1"/>
        <v>15.695331632573039</v>
      </c>
      <c r="P12">
        <f t="shared" si="2"/>
        <v>15.007717356723026</v>
      </c>
      <c r="Q12">
        <f t="shared" si="3"/>
        <v>15.561163579281077</v>
      </c>
      <c r="R12">
        <v>13.2</v>
      </c>
      <c r="S12">
        <v>13</v>
      </c>
      <c r="T12" s="9"/>
      <c r="U12" s="61"/>
    </row>
    <row r="13" spans="1:21" x14ac:dyDescent="0.2">
      <c r="A13" t="s">
        <v>165</v>
      </c>
      <c r="B13" t="s">
        <v>166</v>
      </c>
      <c r="C13" t="s">
        <v>49</v>
      </c>
      <c r="D13">
        <v>20201022</v>
      </c>
      <c r="E13">
        <v>16.151115999999998</v>
      </c>
      <c r="F13">
        <v>16.196247</v>
      </c>
      <c r="G13">
        <v>19.764379999999999</v>
      </c>
      <c r="H13">
        <v>14.24494</v>
      </c>
      <c r="I13">
        <v>10.892943000000001</v>
      </c>
      <c r="J13">
        <v>17.370581000000001</v>
      </c>
      <c r="K13">
        <v>11.487283369975755</v>
      </c>
      <c r="L13">
        <f t="shared" si="4"/>
        <v>11.84700003949915</v>
      </c>
      <c r="M13">
        <f t="shared" si="5"/>
        <v>22.192464353350665</v>
      </c>
      <c r="N13">
        <f t="shared" si="0"/>
        <v>11.038829889236885</v>
      </c>
      <c r="O13">
        <f t="shared" si="1"/>
        <v>10.825795586497993</v>
      </c>
      <c r="P13">
        <f t="shared" si="2"/>
        <v>14.571781410482417</v>
      </c>
      <c r="Q13">
        <f t="shared" si="3"/>
        <v>13.660525774840478</v>
      </c>
      <c r="R13">
        <v>16.8</v>
      </c>
      <c r="S13">
        <v>18.899999999999999</v>
      </c>
      <c r="T13" s="9"/>
      <c r="U13" s="61"/>
    </row>
    <row r="14" spans="1:21" x14ac:dyDescent="0.2">
      <c r="A14" t="s">
        <v>165</v>
      </c>
      <c r="B14" t="s">
        <v>166</v>
      </c>
      <c r="C14" t="s">
        <v>50</v>
      </c>
      <c r="D14">
        <v>20210225</v>
      </c>
      <c r="E14">
        <v>17.848901000000001</v>
      </c>
      <c r="F14">
        <v>17.770166</v>
      </c>
      <c r="G14">
        <v>18.981404999999999</v>
      </c>
      <c r="H14">
        <v>16.468945999999999</v>
      </c>
      <c r="I14">
        <v>12.285026999999999</v>
      </c>
      <c r="J14">
        <v>18.200157333333333</v>
      </c>
      <c r="K14">
        <v>20.886744228696028</v>
      </c>
      <c r="L14">
        <f t="shared" si="4"/>
        <v>20.736664327235808</v>
      </c>
      <c r="M14">
        <f t="shared" si="5"/>
        <v>18.151267811082359</v>
      </c>
      <c r="N14">
        <f t="shared" si="0"/>
        <v>21.850782060156096</v>
      </c>
      <c r="O14">
        <f t="shared" si="1"/>
        <v>21.315360807451206</v>
      </c>
      <c r="P14">
        <f t="shared" si="2"/>
        <v>19.80261763265143</v>
      </c>
      <c r="Q14">
        <f t="shared" si="3"/>
        <v>20.457239477878822</v>
      </c>
      <c r="R14">
        <v>20.8</v>
      </c>
      <c r="S14">
        <v>20.6</v>
      </c>
      <c r="T14" s="9"/>
      <c r="U14" s="61"/>
    </row>
    <row r="15" spans="1:21" x14ac:dyDescent="0.2">
      <c r="A15" t="s">
        <v>165</v>
      </c>
      <c r="B15" t="s">
        <v>166</v>
      </c>
      <c r="C15" t="s">
        <v>51</v>
      </c>
      <c r="D15">
        <v>20210422</v>
      </c>
      <c r="E15">
        <v>18.568455</v>
      </c>
      <c r="F15">
        <v>18.682219</v>
      </c>
      <c r="G15">
        <v>19.048901999999998</v>
      </c>
      <c r="H15">
        <v>17.764496000000001</v>
      </c>
      <c r="I15">
        <v>12.270020000000001</v>
      </c>
      <c r="J15">
        <v>18.766525333333334</v>
      </c>
      <c r="K15">
        <v>21.43046078859421</v>
      </c>
      <c r="L15">
        <f t="shared" si="4"/>
        <v>21.657294107438279</v>
      </c>
      <c r="M15">
        <f t="shared" si="5"/>
        <v>20.673252649105795</v>
      </c>
      <c r="N15">
        <f t="shared" si="0"/>
        <v>22.220524470722054</v>
      </c>
      <c r="O15">
        <f t="shared" si="1"/>
        <v>20.574835692261811</v>
      </c>
      <c r="P15">
        <f t="shared" si="2"/>
        <v>21.241048348446512</v>
      </c>
      <c r="Q15">
        <f t="shared" si="3"/>
        <v>21.299569342761444</v>
      </c>
      <c r="R15">
        <v>17.399999999999999</v>
      </c>
      <c r="S15">
        <v>18.8</v>
      </c>
      <c r="T15" s="9"/>
      <c r="U15" s="61"/>
    </row>
    <row r="16" spans="1:21" x14ac:dyDescent="0.2">
      <c r="A16" t="s">
        <v>165</v>
      </c>
      <c r="B16" t="s">
        <v>166</v>
      </c>
      <c r="C16" t="s">
        <v>52</v>
      </c>
      <c r="D16">
        <v>20210722</v>
      </c>
      <c r="E16">
        <v>22.596784</v>
      </c>
      <c r="F16">
        <v>21.442810000000001</v>
      </c>
      <c r="G16">
        <v>22.444535999999999</v>
      </c>
      <c r="H16">
        <v>21.152868000000002</v>
      </c>
      <c r="I16">
        <v>13.901401999999999</v>
      </c>
      <c r="J16">
        <v>22.161376666666666</v>
      </c>
      <c r="K16">
        <v>22.878561474285284</v>
      </c>
      <c r="L16">
        <f t="shared" si="4"/>
        <v>21.577994990851998</v>
      </c>
      <c r="M16">
        <f t="shared" si="5"/>
        <v>22.151265033543666</v>
      </c>
      <c r="N16">
        <f t="shared" si="0"/>
        <v>22.385882402743093</v>
      </c>
      <c r="O16">
        <f t="shared" si="1"/>
        <v>21.299586928138663</v>
      </c>
      <c r="P16">
        <f t="shared" si="2"/>
        <v>22.200906877167245</v>
      </c>
      <c r="Q16">
        <f t="shared" si="3"/>
        <v>22.082366284454992</v>
      </c>
      <c r="R16">
        <v>20.3</v>
      </c>
      <c r="S16">
        <v>20.2</v>
      </c>
      <c r="T16" s="9"/>
      <c r="U16" s="61"/>
    </row>
    <row r="17" spans="1:22" x14ac:dyDescent="0.2">
      <c r="A17" t="s">
        <v>165</v>
      </c>
      <c r="B17" t="s">
        <v>166</v>
      </c>
      <c r="C17" t="s">
        <v>68</v>
      </c>
      <c r="D17" s="11">
        <v>20211104</v>
      </c>
      <c r="E17">
        <v>25.357261999999999</v>
      </c>
      <c r="F17">
        <v>23.055606999999998</v>
      </c>
      <c r="G17">
        <v>18.504804</v>
      </c>
      <c r="H17">
        <v>24.486470000000001</v>
      </c>
      <c r="I17">
        <v>15.750214</v>
      </c>
      <c r="J17">
        <f>AVERAGE(E17:H17)</f>
        <v>22.851035750000001</v>
      </c>
      <c r="K17">
        <v>267.3623344660117</v>
      </c>
      <c r="L17">
        <f>(F17/F16)*$S16</f>
        <v>21.719320434215472</v>
      </c>
      <c r="M17">
        <f t="shared" ref="M17:P17" si="6">(G17/G16)*$S16</f>
        <v>16.65425566382838</v>
      </c>
      <c r="N17">
        <f t="shared" si="6"/>
        <v>23.383434057263536</v>
      </c>
      <c r="O17">
        <f t="shared" si="6"/>
        <v>22.886491794137022</v>
      </c>
      <c r="P17">
        <f t="shared" si="6"/>
        <v>20.828621303309529</v>
      </c>
      <c r="Q17">
        <f>AVERAGE(K17:P17)</f>
        <v>62.139076286460948</v>
      </c>
      <c r="R17" s="100">
        <f>'1. Data &amp; Confidence Interval'!AB14</f>
        <v>20.8</v>
      </c>
      <c r="T17" s="9"/>
      <c r="U17" s="61"/>
    </row>
    <row r="18" spans="1:22" x14ac:dyDescent="0.2">
      <c r="A18" s="160" t="s">
        <v>72</v>
      </c>
      <c r="B18" s="161"/>
      <c r="C18" s="161"/>
      <c r="D18" s="161"/>
      <c r="E18" s="95">
        <f t="shared" ref="E18:R18" si="7">CORREL(E$6:E$16,$S$6:$S$16)</f>
        <v>0.54782938319600794</v>
      </c>
      <c r="F18" s="95">
        <f t="shared" si="7"/>
        <v>0.34712181347020649</v>
      </c>
      <c r="G18" s="96">
        <f t="shared" si="7"/>
        <v>0.91088773307069582</v>
      </c>
      <c r="H18" s="95">
        <f t="shared" si="7"/>
        <v>0.59393707016341812</v>
      </c>
      <c r="I18" s="95">
        <f t="shared" si="7"/>
        <v>-0.25989907251575889</v>
      </c>
      <c r="J18" s="96">
        <f t="shared" si="7"/>
        <v>0.79954709078235087</v>
      </c>
      <c r="K18" s="95">
        <f t="shared" si="7"/>
        <v>0.56823824231771292</v>
      </c>
      <c r="L18" s="95">
        <f t="shared" si="7"/>
        <v>0.25738104352732666</v>
      </c>
      <c r="M18" s="95">
        <f t="shared" si="7"/>
        <v>0.83268871508050712</v>
      </c>
      <c r="N18" s="95">
        <f t="shared" si="7"/>
        <v>0.60864671118999036</v>
      </c>
      <c r="O18" s="95">
        <f t="shared" si="7"/>
        <v>0.33805602301350207</v>
      </c>
      <c r="P18" s="95">
        <f t="shared" si="7"/>
        <v>0.74923229634410415</v>
      </c>
      <c r="Q18" s="95">
        <f t="shared" si="7"/>
        <v>0.70264862367395364</v>
      </c>
      <c r="R18" s="96">
        <f t="shared" si="7"/>
        <v>0.95628282871151149</v>
      </c>
      <c r="S18" s="5"/>
    </row>
    <row r="20" spans="1:22" x14ac:dyDescent="0.2">
      <c r="A20" s="163" t="s">
        <v>74</v>
      </c>
      <c r="B20" s="164"/>
    </row>
    <row r="21" spans="1:22" x14ac:dyDescent="0.2">
      <c r="A21" s="16" t="s">
        <v>53</v>
      </c>
      <c r="B21" s="16" t="s">
        <v>54</v>
      </c>
      <c r="C21" s="16" t="s">
        <v>65</v>
      </c>
      <c r="D21" s="16" t="s">
        <v>55</v>
      </c>
      <c r="E21" s="16" t="s">
        <v>56</v>
      </c>
      <c r="F21" s="16" t="s">
        <v>66</v>
      </c>
      <c r="G21" s="16" t="s">
        <v>57</v>
      </c>
      <c r="H21" s="16" t="s">
        <v>58</v>
      </c>
      <c r="I21" s="16" t="s">
        <v>67</v>
      </c>
      <c r="J21" s="16" t="s">
        <v>59</v>
      </c>
      <c r="K21" s="16" t="s">
        <v>60</v>
      </c>
      <c r="L21" s="16" t="s">
        <v>70</v>
      </c>
      <c r="M21" s="16" t="s">
        <v>61</v>
      </c>
      <c r="N21" s="16" t="s">
        <v>62</v>
      </c>
      <c r="O21" s="16" t="s">
        <v>71</v>
      </c>
      <c r="P21" s="16" t="s">
        <v>63</v>
      </c>
      <c r="Q21" s="16" t="s">
        <v>64</v>
      </c>
      <c r="R21" s="16" t="s">
        <v>0</v>
      </c>
    </row>
    <row r="22" spans="1:22" x14ac:dyDescent="0.2">
      <c r="A22" s="9" t="str">
        <f t="shared" ref="A22:D32" si="8">A6</f>
        <v>SIBN</v>
      </c>
      <c r="B22" s="9" t="str">
        <f t="shared" si="8"/>
        <v>US Revenue</v>
      </c>
      <c r="C22" s="9" t="str">
        <f t="shared" si="8"/>
        <v>2018Q4</v>
      </c>
      <c r="D22" s="9">
        <f t="shared" si="8"/>
        <v>20190228</v>
      </c>
      <c r="E22" s="17">
        <f t="shared" ref="E22:E32" si="9">$S6/E6-1</f>
        <v>-0.16702747580258492</v>
      </c>
      <c r="F22" s="17"/>
      <c r="G22" s="17"/>
      <c r="H22" s="17">
        <f t="shared" ref="H22:R22" si="10">$S6/H6-1</f>
        <v>-1.3289308932888932E-3</v>
      </c>
      <c r="I22" s="17">
        <f t="shared" si="10"/>
        <v>0.28333219807792731</v>
      </c>
      <c r="J22" s="17">
        <f t="shared" si="10"/>
        <v>6.3494079393087155E-3</v>
      </c>
      <c r="K22" s="17"/>
      <c r="L22" s="17"/>
      <c r="M22" s="17"/>
      <c r="N22" s="17"/>
      <c r="O22" s="17"/>
      <c r="P22" s="17"/>
      <c r="Q22" s="17"/>
      <c r="R22" s="39">
        <f t="shared" si="10"/>
        <v>2.877697841726623E-2</v>
      </c>
    </row>
    <row r="23" spans="1:22" x14ac:dyDescent="0.2">
      <c r="A23" s="9" t="str">
        <f t="shared" si="8"/>
        <v>SIBN</v>
      </c>
      <c r="B23" s="9" t="str">
        <f t="shared" si="8"/>
        <v>US Revenue</v>
      </c>
      <c r="C23" s="9" t="str">
        <f t="shared" si="8"/>
        <v>2019Q1</v>
      </c>
      <c r="D23" s="9">
        <f t="shared" si="8"/>
        <v>20190502</v>
      </c>
      <c r="E23" s="17">
        <f t="shared" si="9"/>
        <v>0.14608218173297804</v>
      </c>
      <c r="F23" s="17"/>
      <c r="G23" s="17"/>
      <c r="H23" s="17">
        <f t="shared" ref="H23:R23" si="11">$S7/H7-1</f>
        <v>0.22235851268124507</v>
      </c>
      <c r="I23" s="17">
        <f t="shared" si="11"/>
        <v>-2.88136599157226E-2</v>
      </c>
      <c r="J23" s="17">
        <f t="shared" si="11"/>
        <v>0.1028208032195177</v>
      </c>
      <c r="K23" s="17">
        <f t="shared" si="11"/>
        <v>0.37589434037725322</v>
      </c>
      <c r="L23" s="17"/>
      <c r="M23" s="17"/>
      <c r="N23" s="17">
        <f t="shared" si="11"/>
        <v>0.22398510429927398</v>
      </c>
      <c r="O23" s="17">
        <f t="shared" si="11"/>
        <v>-0.24323075386182713</v>
      </c>
      <c r="P23" s="17">
        <f t="shared" si="11"/>
        <v>9.5862723741003908E-2</v>
      </c>
      <c r="Q23" s="17">
        <f t="shared" si="11"/>
        <v>5.8836018176771754E-2</v>
      </c>
      <c r="R23" s="39">
        <f t="shared" si="11"/>
        <v>-7.3529411764705621E-3</v>
      </c>
    </row>
    <row r="24" spans="1:22" x14ac:dyDescent="0.2">
      <c r="A24" s="9" t="str">
        <f t="shared" si="8"/>
        <v>SIBN</v>
      </c>
      <c r="B24" s="9" t="str">
        <f t="shared" si="8"/>
        <v>US Revenue</v>
      </c>
      <c r="C24" s="9" t="str">
        <f t="shared" si="8"/>
        <v>2019Q2</v>
      </c>
      <c r="D24" s="9">
        <f t="shared" si="8"/>
        <v>20190801</v>
      </c>
      <c r="E24" s="17">
        <f t="shared" si="9"/>
        <v>0.23871939537280507</v>
      </c>
      <c r="F24" s="17"/>
      <c r="G24" s="17"/>
      <c r="H24" s="17">
        <f t="shared" ref="H24:R24" si="12">$S8/H8-1</f>
        <v>0.22459296162746112</v>
      </c>
      <c r="I24" s="17">
        <f t="shared" si="12"/>
        <v>-5.3209440107828132E-2</v>
      </c>
      <c r="J24" s="17">
        <f t="shared" si="12"/>
        <v>0.11936831807074633</v>
      </c>
      <c r="K24" s="17">
        <f t="shared" si="12"/>
        <v>8.0829468528819781E-2</v>
      </c>
      <c r="L24" s="17"/>
      <c r="M24" s="17"/>
      <c r="N24" s="17">
        <f t="shared" si="12"/>
        <v>1.8279816625279555E-3</v>
      </c>
      <c r="O24" s="17">
        <f t="shared" si="12"/>
        <v>-2.5119566848508579E-2</v>
      </c>
      <c r="P24" s="17">
        <f t="shared" si="12"/>
        <v>1.5004717722879812E-2</v>
      </c>
      <c r="Q24" s="17">
        <f t="shared" si="12"/>
        <v>1.6680007117269913E-2</v>
      </c>
      <c r="R24" s="39">
        <f t="shared" si="12"/>
        <v>2.7397260273972712E-2</v>
      </c>
      <c r="V24" s="100"/>
    </row>
    <row r="25" spans="1:22" x14ac:dyDescent="0.2">
      <c r="A25" s="9" t="str">
        <f t="shared" si="8"/>
        <v>SIBN</v>
      </c>
      <c r="B25" s="9" t="str">
        <f t="shared" si="8"/>
        <v>US Revenue</v>
      </c>
      <c r="C25" s="9" t="str">
        <f t="shared" si="8"/>
        <v>2019Q3</v>
      </c>
      <c r="D25" s="9">
        <f t="shared" si="8"/>
        <v>20191031</v>
      </c>
      <c r="E25" s="17">
        <f t="shared" si="9"/>
        <v>0.35407103729293388</v>
      </c>
      <c r="F25" s="17"/>
      <c r="G25" s="17"/>
      <c r="H25" s="17">
        <f t="shared" ref="H25:R25" si="13">$S9/H9-1</f>
        <v>0.46444557122665198</v>
      </c>
      <c r="I25" s="17">
        <f t="shared" si="13"/>
        <v>0.1739823759244421</v>
      </c>
      <c r="J25" s="17">
        <f t="shared" si="13"/>
        <v>0.31974435577520732</v>
      </c>
      <c r="K25" s="17">
        <f t="shared" si="13"/>
        <v>9.3121688698038385E-2</v>
      </c>
      <c r="L25" s="17"/>
      <c r="M25" s="17"/>
      <c r="N25" s="17">
        <f t="shared" si="13"/>
        <v>0.19586312931313188</v>
      </c>
      <c r="O25" s="17">
        <f t="shared" si="13"/>
        <v>0.23995995065492082</v>
      </c>
      <c r="P25" s="17">
        <f t="shared" si="13"/>
        <v>0.17900813741969501</v>
      </c>
      <c r="Q25" s="17">
        <f t="shared" si="13"/>
        <v>0.17450999996957006</v>
      </c>
      <c r="R25" s="39">
        <f t="shared" si="13"/>
        <v>0</v>
      </c>
    </row>
    <row r="26" spans="1:22" x14ac:dyDescent="0.2">
      <c r="A26" s="9" t="str">
        <f t="shared" si="8"/>
        <v>SIBN</v>
      </c>
      <c r="B26" s="9" t="str">
        <f t="shared" si="8"/>
        <v>US Revenue</v>
      </c>
      <c r="C26" s="9" t="str">
        <f t="shared" si="8"/>
        <v>2019Q4</v>
      </c>
      <c r="D26" s="9">
        <f t="shared" si="8"/>
        <v>20200227</v>
      </c>
      <c r="E26" s="17">
        <f t="shared" si="9"/>
        <v>0.23255305989379438</v>
      </c>
      <c r="F26" s="17">
        <f t="shared" ref="F26:K32" si="14">$S10/F10-1</f>
        <v>0.19453303353817941</v>
      </c>
      <c r="G26" s="17">
        <f t="shared" si="14"/>
        <v>8.1590136087089427E-2</v>
      </c>
      <c r="H26" s="17">
        <f t="shared" si="14"/>
        <v>0.21177688207821732</v>
      </c>
      <c r="I26" s="17">
        <f t="shared" si="14"/>
        <v>0.50494336889879099</v>
      </c>
      <c r="J26" s="17">
        <f t="shared" si="14"/>
        <v>0.16593784578605209</v>
      </c>
      <c r="K26" s="17">
        <f t="shared" si="14"/>
        <v>-8.9742690045330864E-2</v>
      </c>
      <c r="L26" s="17"/>
      <c r="M26" s="17"/>
      <c r="N26" s="17">
        <f t="shared" ref="N26:R32" si="15">$S10/N10-1</f>
        <v>-0.17253539094443349</v>
      </c>
      <c r="O26" s="17">
        <f t="shared" si="15"/>
        <v>0.28191308469493537</v>
      </c>
      <c r="P26" s="17">
        <f t="shared" si="15"/>
        <v>-0.11654265412547316</v>
      </c>
      <c r="Q26" s="17">
        <f t="shared" si="15"/>
        <v>-5.1930958770910363E-2</v>
      </c>
      <c r="R26" s="39">
        <f t="shared" si="15"/>
        <v>1.1049723756906049E-2</v>
      </c>
    </row>
    <row r="27" spans="1:22" x14ac:dyDescent="0.2">
      <c r="A27" s="9" t="str">
        <f t="shared" si="8"/>
        <v>SIBN</v>
      </c>
      <c r="B27" s="9" t="str">
        <f t="shared" si="8"/>
        <v>US Revenue</v>
      </c>
      <c r="C27" s="9" t="str">
        <f t="shared" si="8"/>
        <v>2020Q1</v>
      </c>
      <c r="D27" s="9">
        <f t="shared" si="8"/>
        <v>20200423</v>
      </c>
      <c r="E27" s="17">
        <f t="shared" si="9"/>
        <v>-2.3339006052744748E-2</v>
      </c>
      <c r="F27" s="17">
        <f t="shared" si="14"/>
        <v>-2.3800135519510546E-2</v>
      </c>
      <c r="G27" s="17">
        <f t="shared" si="14"/>
        <v>-4.7174989053410665E-2</v>
      </c>
      <c r="H27" s="17">
        <f t="shared" si="14"/>
        <v>-2.0518849730626565E-2</v>
      </c>
      <c r="I27" s="17">
        <f t="shared" si="14"/>
        <v>0.19989083346142622</v>
      </c>
      <c r="J27" s="17">
        <f t="shared" si="14"/>
        <v>-3.1566971268744082E-2</v>
      </c>
      <c r="K27" s="17">
        <f t="shared" si="14"/>
        <v>-0.20761139968172138</v>
      </c>
      <c r="L27" s="17">
        <f t="shared" ref="L27:M27" si="16">$S11/L11-1</f>
        <v>-0.18277700400715757</v>
      </c>
      <c r="M27" s="17">
        <f t="shared" si="16"/>
        <v>-0.11905168218927975</v>
      </c>
      <c r="N27" s="17">
        <f t="shared" si="15"/>
        <v>-0.19169843495483496</v>
      </c>
      <c r="O27" s="17">
        <f t="shared" si="15"/>
        <v>-0.20270034191424768</v>
      </c>
      <c r="P27" s="17">
        <f t="shared" si="15"/>
        <v>-0.16939566527377137</v>
      </c>
      <c r="Q27" s="17">
        <f t="shared" si="15"/>
        <v>-0.17989562293673345</v>
      </c>
      <c r="R27" s="39">
        <f t="shared" si="15"/>
        <v>-4.9689440993788914E-2</v>
      </c>
    </row>
    <row r="28" spans="1:22" x14ac:dyDescent="0.2">
      <c r="A28" s="9" t="str">
        <f t="shared" si="8"/>
        <v>SIBN</v>
      </c>
      <c r="B28" s="9" t="str">
        <f t="shared" si="8"/>
        <v>US Revenue</v>
      </c>
      <c r="C28" s="9" t="str">
        <f t="shared" si="8"/>
        <v>2020Q2</v>
      </c>
      <c r="D28" s="9">
        <f t="shared" si="8"/>
        <v>20200723</v>
      </c>
      <c r="E28" s="17">
        <f t="shared" si="9"/>
        <v>-0.28876225209603135</v>
      </c>
      <c r="F28" s="17">
        <f t="shared" si="14"/>
        <v>-0.26853424503225032</v>
      </c>
      <c r="G28" s="17">
        <f t="shared" si="14"/>
        <v>0.1228515315608516</v>
      </c>
      <c r="H28" s="17">
        <f t="shared" si="14"/>
        <v>-0.22507010284094675</v>
      </c>
      <c r="I28" s="17">
        <f t="shared" si="14"/>
        <v>-6.1643041280954325E-3</v>
      </c>
      <c r="J28" s="17">
        <f t="shared" si="14"/>
        <v>-0.16112296931907943</v>
      </c>
      <c r="K28" s="17">
        <f t="shared" si="14"/>
        <v>-0.27176599422749215</v>
      </c>
      <c r="L28" s="17">
        <f t="shared" ref="L28:M28" si="17">$S12/L12-1</f>
        <v>-0.25070082307682096</v>
      </c>
      <c r="M28" s="17">
        <f t="shared" si="17"/>
        <v>0.17844464477831923</v>
      </c>
      <c r="N28" s="17">
        <f t="shared" si="15"/>
        <v>-0.20883633447572236</v>
      </c>
      <c r="O28" s="17">
        <f t="shared" si="15"/>
        <v>-0.17172823713895469</v>
      </c>
      <c r="P28" s="17">
        <f t="shared" si="15"/>
        <v>-0.13377899576604335</v>
      </c>
      <c r="Q28" s="17">
        <f t="shared" si="15"/>
        <v>-0.16458689391911152</v>
      </c>
      <c r="R28" s="39">
        <f t="shared" si="15"/>
        <v>-1.5151515151515138E-2</v>
      </c>
    </row>
    <row r="29" spans="1:22" x14ac:dyDescent="0.2">
      <c r="A29" s="9" t="str">
        <f t="shared" si="8"/>
        <v>SIBN</v>
      </c>
      <c r="B29" s="9" t="str">
        <f t="shared" si="8"/>
        <v>US Revenue</v>
      </c>
      <c r="C29" s="9" t="str">
        <f t="shared" si="8"/>
        <v>2020Q3</v>
      </c>
      <c r="D29" s="9">
        <f t="shared" si="8"/>
        <v>20201022</v>
      </c>
      <c r="E29" s="17">
        <f t="shared" si="9"/>
        <v>0.17019777456864293</v>
      </c>
      <c r="F29" s="17">
        <f t="shared" si="14"/>
        <v>0.16693700707330517</v>
      </c>
      <c r="G29" s="17">
        <f t="shared" si="14"/>
        <v>-4.3734232998960842E-2</v>
      </c>
      <c r="H29" s="17">
        <f t="shared" si="14"/>
        <v>0.32678691521340197</v>
      </c>
      <c r="I29" s="17">
        <f t="shared" si="14"/>
        <v>0.73506829146172858</v>
      </c>
      <c r="J29" s="17">
        <f t="shared" si="14"/>
        <v>8.8046508058653661E-2</v>
      </c>
      <c r="K29" s="17">
        <f t="shared" si="14"/>
        <v>0.64529762096744459</v>
      </c>
      <c r="L29" s="17">
        <f t="shared" ref="L29:M29" si="18">$S13/L13-1</f>
        <v>0.59534058723604288</v>
      </c>
      <c r="M29" s="17">
        <f t="shared" si="18"/>
        <v>-0.14835956480216506</v>
      </c>
      <c r="N29" s="17">
        <f t="shared" si="15"/>
        <v>0.71213798832319508</v>
      </c>
      <c r="O29" s="17">
        <f t="shared" si="15"/>
        <v>0.74583011927291598</v>
      </c>
      <c r="P29" s="17">
        <f t="shared" si="15"/>
        <v>0.29702741673053201</v>
      </c>
      <c r="Q29" s="17">
        <f t="shared" si="15"/>
        <v>0.38354850402679364</v>
      </c>
      <c r="R29" s="39">
        <f t="shared" si="15"/>
        <v>0.12499999999999978</v>
      </c>
    </row>
    <row r="30" spans="1:22" x14ac:dyDescent="0.2">
      <c r="A30" s="9" t="str">
        <f t="shared" si="8"/>
        <v>SIBN</v>
      </c>
      <c r="B30" s="9" t="str">
        <f t="shared" si="8"/>
        <v>US Revenue</v>
      </c>
      <c r="C30" s="9" t="str">
        <f t="shared" si="8"/>
        <v>2020Q4</v>
      </c>
      <c r="D30" s="9">
        <f t="shared" si="8"/>
        <v>20210225</v>
      </c>
      <c r="E30" s="17">
        <f t="shared" si="9"/>
        <v>0.15413268301504957</v>
      </c>
      <c r="F30" s="17">
        <f t="shared" si="14"/>
        <v>0.15924634581353958</v>
      </c>
      <c r="G30" s="17">
        <f t="shared" si="14"/>
        <v>8.5272665537667214E-2</v>
      </c>
      <c r="H30" s="17">
        <f t="shared" si="14"/>
        <v>0.25083900329747899</v>
      </c>
      <c r="I30" s="17">
        <f t="shared" si="14"/>
        <v>0.67683799148345392</v>
      </c>
      <c r="J30" s="17">
        <f t="shared" si="14"/>
        <v>0.13185834730512958</v>
      </c>
      <c r="K30" s="17">
        <f t="shared" si="14"/>
        <v>-1.3728526837709421E-2</v>
      </c>
      <c r="L30" s="17">
        <f t="shared" ref="L30:M30" si="19">$S14/L14-1</f>
        <v>-6.5904682199204867E-3</v>
      </c>
      <c r="M30" s="17">
        <f t="shared" si="19"/>
        <v>0.13490695054493962</v>
      </c>
      <c r="N30" s="17">
        <f t="shared" si="15"/>
        <v>-5.7241981395111607E-2</v>
      </c>
      <c r="O30" s="17">
        <f t="shared" si="15"/>
        <v>-3.356081156276447E-2</v>
      </c>
      <c r="P30" s="17">
        <f t="shared" si="15"/>
        <v>4.0266513353962585E-2</v>
      </c>
      <c r="Q30" s="17">
        <f t="shared" si="15"/>
        <v>6.9784841828512967E-3</v>
      </c>
      <c r="R30" s="39">
        <f t="shared" si="15"/>
        <v>-9.6153846153845812E-3</v>
      </c>
    </row>
    <row r="31" spans="1:22" x14ac:dyDescent="0.2">
      <c r="A31" s="9" t="str">
        <f t="shared" si="8"/>
        <v>SIBN</v>
      </c>
      <c r="B31" s="9" t="str">
        <f t="shared" si="8"/>
        <v>US Revenue</v>
      </c>
      <c r="C31" s="9" t="str">
        <f t="shared" si="8"/>
        <v>2021Q1</v>
      </c>
      <c r="D31" s="9">
        <f t="shared" si="8"/>
        <v>20210422</v>
      </c>
      <c r="E31" s="17">
        <f t="shared" si="9"/>
        <v>1.2469804299819254E-2</v>
      </c>
      <c r="F31" s="17">
        <f t="shared" si="14"/>
        <v>6.3044438136605763E-3</v>
      </c>
      <c r="G31" s="17">
        <f t="shared" si="14"/>
        <v>-1.3066474907582504E-2</v>
      </c>
      <c r="H31" s="17">
        <f t="shared" si="14"/>
        <v>5.8290648943825962E-2</v>
      </c>
      <c r="I31" s="17">
        <f t="shared" si="14"/>
        <v>0.53218984158135041</v>
      </c>
      <c r="J31" s="17">
        <f t="shared" si="14"/>
        <v>1.7837434512828487E-3</v>
      </c>
      <c r="K31" s="17">
        <f t="shared" si="14"/>
        <v>-0.1227440144448132</v>
      </c>
      <c r="L31" s="17">
        <f t="shared" ref="L31:M31" si="20">$S15/L15-1</f>
        <v>-0.13193218382978555</v>
      </c>
      <c r="M31" s="17">
        <f t="shared" si="20"/>
        <v>-9.0612381171998102E-2</v>
      </c>
      <c r="N31" s="17">
        <f t="shared" si="15"/>
        <v>-0.15393536166209598</v>
      </c>
      <c r="O31" s="17">
        <f t="shared" si="15"/>
        <v>-8.626244791492188E-2</v>
      </c>
      <c r="P31" s="17">
        <f t="shared" si="15"/>
        <v>-0.1149212745248066</v>
      </c>
      <c r="Q31" s="17">
        <f t="shared" si="15"/>
        <v>-0.11735304608921171</v>
      </c>
      <c r="R31" s="39">
        <f t="shared" si="15"/>
        <v>8.0459770114942764E-2</v>
      </c>
    </row>
    <row r="32" spans="1:22" x14ac:dyDescent="0.2">
      <c r="A32" s="9" t="str">
        <f t="shared" si="8"/>
        <v>SIBN</v>
      </c>
      <c r="B32" s="9" t="str">
        <f t="shared" si="8"/>
        <v>US Revenue</v>
      </c>
      <c r="C32" s="9" t="str">
        <f t="shared" si="8"/>
        <v>2021Q2</v>
      </c>
      <c r="D32" s="9">
        <f t="shared" si="8"/>
        <v>20210722</v>
      </c>
      <c r="E32" s="17">
        <f t="shared" si="9"/>
        <v>-0.10606748287720946</v>
      </c>
      <c r="F32" s="17">
        <f t="shared" si="14"/>
        <v>-5.7959287985110297E-2</v>
      </c>
      <c r="G32" s="17">
        <f t="shared" si="14"/>
        <v>-0.10000367127215282</v>
      </c>
      <c r="H32" s="17">
        <f t="shared" si="14"/>
        <v>-4.5046752052724126E-2</v>
      </c>
      <c r="I32" s="17">
        <f t="shared" si="14"/>
        <v>0.45309084652037268</v>
      </c>
      <c r="J32" s="17">
        <f t="shared" si="14"/>
        <v>-8.8504279141503384E-2</v>
      </c>
      <c r="K32" s="17">
        <f t="shared" si="14"/>
        <v>-0.11707735546642195</v>
      </c>
      <c r="L32" s="17">
        <f t="shared" ref="L32:M32" si="21">$S16/L16-1</f>
        <v>-6.3861122937335035E-2</v>
      </c>
      <c r="M32" s="17">
        <f t="shared" si="21"/>
        <v>-8.8088198601247614E-2</v>
      </c>
      <c r="N32" s="17">
        <f t="shared" si="15"/>
        <v>-9.764557694966014E-2</v>
      </c>
      <c r="O32" s="17">
        <f t="shared" si="15"/>
        <v>-5.1624800605217902E-2</v>
      </c>
      <c r="P32" s="17">
        <f t="shared" si="15"/>
        <v>-9.012725868532423E-2</v>
      </c>
      <c r="Q32" s="17">
        <f t="shared" si="15"/>
        <v>-8.5242960840663851E-2</v>
      </c>
      <c r="R32" s="39">
        <f t="shared" si="15"/>
        <v>-4.9261083743843415E-3</v>
      </c>
    </row>
    <row r="33" spans="1:18" x14ac:dyDescent="0.2">
      <c r="A33" s="169" t="s">
        <v>75</v>
      </c>
      <c r="B33" s="169"/>
      <c r="C33" s="165"/>
      <c r="D33" s="166"/>
      <c r="E33" s="72" cm="1">
        <f t="array" ref="E33">SUM(ABS(E22:E32))/COUNT(E22:E32)</f>
        <v>0.17212928663678123</v>
      </c>
      <c r="F33" s="106" cm="1">
        <f t="array" ref="F33">SUM(ABS(F22:F32))/COUNT(F22:F32)</f>
        <v>0.12533064268222227</v>
      </c>
      <c r="G33" s="104" cm="1">
        <f t="array" ref="G33">SUM(ABS(G22:G32))/COUNT(G22:G32)</f>
        <v>7.0527671631102157E-2</v>
      </c>
      <c r="H33" s="72" cm="1">
        <f t="array" ref="H33">SUM(ABS(H22:H32))/COUNT(H22:H32)</f>
        <v>0.1864595573259881</v>
      </c>
      <c r="I33" s="72" cm="1">
        <f t="array" ref="I33">SUM(ABS(I22:I32))/COUNT(I22:I32)</f>
        <v>0.33159301377828532</v>
      </c>
      <c r="J33" s="104" cm="1">
        <f t="array" ref="J33">SUM(ABS(J22:J32))/COUNT(J22:J32)</f>
        <v>0.1106457772122932</v>
      </c>
      <c r="K33" s="72" cm="1">
        <f t="array" ref="K33">SUM(ABS(K22:K32))/COUNT(K22:K32)</f>
        <v>0.20178130992750445</v>
      </c>
      <c r="L33" s="72" cm="1">
        <f t="array" ref="L33">SUM(ABS(L22:L32))/COUNT(L22:L32)</f>
        <v>0.20520036488451043</v>
      </c>
      <c r="M33" s="72" cm="1">
        <f t="array" ref="M33">SUM(ABS(M22:M32))/COUNT(M22:M32)</f>
        <v>0.12657723701465823</v>
      </c>
      <c r="N33" s="72" cm="1">
        <f t="array" ref="N33">SUM(ABS(N22:N32))/COUNT(N22:N32)</f>
        <v>0.20157072839799875</v>
      </c>
      <c r="O33" s="72" cm="1">
        <f t="array" ref="O33">SUM(ABS(O22:O32))/COUNT(O22:O32)</f>
        <v>0.20819301144692143</v>
      </c>
      <c r="P33" s="72" cm="1">
        <f t="array" ref="P33">SUM(ABS(P22:P32))/COUNT(P22:P32)</f>
        <v>0.12519353573434916</v>
      </c>
      <c r="Q33" s="72" cm="1">
        <f t="array" ref="Q33">SUM(ABS(Q22:Q32))/COUNT(Q22:Q32)</f>
        <v>0.12395624960298876</v>
      </c>
      <c r="R33" s="104" cm="1">
        <f t="array" ref="R33">SUM(ABS(R22:R32))/COUNT(R22:R32)</f>
        <v>3.2674465715875553E-2</v>
      </c>
    </row>
    <row r="34" spans="1:18" x14ac:dyDescent="0.2">
      <c r="A34" s="170" t="s">
        <v>76</v>
      </c>
      <c r="B34" s="170"/>
      <c r="C34" s="167"/>
      <c r="D34" s="168"/>
      <c r="E34" s="73" cm="1">
        <f t="array" ref="E34">SQRT(SUM(POWER(E22:E32,2))/COUNT(E22:E32))</f>
        <v>0.19857004194982084</v>
      </c>
      <c r="F34" s="73" cm="1">
        <f t="array" ref="F34">SQRT(SUM(POWER(F22:F32,2))/COUNT(F22:F32))</f>
        <v>0.15452534531103065</v>
      </c>
      <c r="G34" s="105" cm="1">
        <f t="array" ref="G34">SQRT(SUM(POWER(G22:G32,2))/COUNT(G22:G32))</f>
        <v>7.8677012765638987E-2</v>
      </c>
      <c r="H34" s="73" cm="1">
        <f t="array" ref="H34">SQRT(SUM(POWER(H22:H32,2))/COUNT(H22:H32))</f>
        <v>0.23093893065019455</v>
      </c>
      <c r="I34" s="73" cm="1">
        <f t="array" ref="I34">SQRT(SUM(POWER(I22:I32,2))/COUNT(I22:I32))</f>
        <v>0.41518046737283804</v>
      </c>
      <c r="J34" s="105" cm="1">
        <f t="array" ref="J34">SQRT(SUM(POWER(J22:J32,2))/COUNT(J22:J32))</f>
        <v>0.13966360072716349</v>
      </c>
      <c r="K34" s="73" cm="1">
        <f t="array" ref="K34">SQRT(SUM(POWER(K22:K32,2))/COUNT(K22:K32))</f>
        <v>0.26960810422714043</v>
      </c>
      <c r="L34" s="73" cm="1">
        <f t="array" ref="L34">SQRT(SUM(POWER(L22:L32,2))/COUNT(L22:L32))</f>
        <v>0.28054011273495749</v>
      </c>
      <c r="M34" s="73" cm="1">
        <f t="array" ref="M34">SQRT(SUM(POWER(M22:M32,2))/COUNT(M22:M32))</f>
        <v>0.1305094980006262</v>
      </c>
      <c r="N34" s="73" cm="1">
        <f t="array" ref="N34">SQRT(SUM(POWER(N22:N32,2))/COUNT(N22:N32))</f>
        <v>0.27245409020491929</v>
      </c>
      <c r="O34" s="73" cm="1">
        <f t="array" ref="O34">SQRT(SUM(POWER(O22:O32,2))/COUNT(O22:O32))</f>
        <v>0.28895003000373398</v>
      </c>
      <c r="P34" s="73" cm="1">
        <f t="array" ref="P34">SQRT(SUM(POWER(P22:P32,2))/COUNT(P22:P32))</f>
        <v>0.14587978559609119</v>
      </c>
      <c r="Q34" s="73" cm="1">
        <f t="array" ref="Q34">SQRT(SUM(POWER(Q22:Q32,2))/COUNT(Q22:Q32))</f>
        <v>0.16264624158716132</v>
      </c>
      <c r="R34" s="105" cm="1">
        <f t="array" ref="R34">SQRT(SUM(POWER(R22:R32,2))/COUNT(R22:R32))</f>
        <v>4.923874326919378E-2</v>
      </c>
    </row>
    <row r="35" spans="1:18" x14ac:dyDescent="0.2">
      <c r="I35" s="3"/>
      <c r="J35" s="3"/>
    </row>
    <row r="36" spans="1:18" x14ac:dyDescent="0.2">
      <c r="B36" t="s">
        <v>155</v>
      </c>
      <c r="J36" s="3"/>
    </row>
  </sheetData>
  <mergeCells count="7">
    <mergeCell ref="A18:D18"/>
    <mergeCell ref="A4:B4"/>
    <mergeCell ref="A20:B20"/>
    <mergeCell ref="C33:D33"/>
    <mergeCell ref="C34:D34"/>
    <mergeCell ref="A33:B33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1"/>
  <sheetViews>
    <sheetView zoomScale="85" zoomScaleNormal="85" workbookViewId="0">
      <selection activeCell="M52" sqref="M52"/>
    </sheetView>
  </sheetViews>
  <sheetFormatPr defaultRowHeight="12.75" x14ac:dyDescent="0.2"/>
  <cols>
    <col min="1" max="1" width="9.140625" style="66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6" t="s">
        <v>101</v>
      </c>
      <c r="B1" t="s">
        <v>81</v>
      </c>
    </row>
    <row r="2" spans="1:17" x14ac:dyDescent="0.2">
      <c r="A2" s="66" t="s">
        <v>96</v>
      </c>
      <c r="B2" t="s">
        <v>79</v>
      </c>
    </row>
    <row r="3" spans="1:17" x14ac:dyDescent="0.2">
      <c r="A3" s="66" t="s">
        <v>97</v>
      </c>
      <c r="B3" t="s">
        <v>144</v>
      </c>
    </row>
    <row r="4" spans="1:17" x14ac:dyDescent="0.2">
      <c r="A4" s="66" t="s">
        <v>98</v>
      </c>
      <c r="B4" t="s">
        <v>163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6" t="s">
        <v>99</v>
      </c>
      <c r="B7" s="171" t="s">
        <v>80</v>
      </c>
      <c r="C7" s="171"/>
      <c r="D7" s="171" t="s">
        <v>109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6"/>
      <c r="P7" s="6"/>
      <c r="Q7" s="6"/>
    </row>
    <row r="8" spans="1:17" ht="15" x14ac:dyDescent="0.2">
      <c r="A8" s="66" t="s">
        <v>93</v>
      </c>
      <c r="C8" s="70" t="s">
        <v>82</v>
      </c>
      <c r="D8" s="70" t="s">
        <v>83</v>
      </c>
      <c r="E8" s="70" t="s">
        <v>84</v>
      </c>
      <c r="F8" s="70" t="s">
        <v>85</v>
      </c>
      <c r="G8" s="70" t="s">
        <v>86</v>
      </c>
      <c r="H8" s="70" t="s">
        <v>87</v>
      </c>
      <c r="I8" s="70" t="s">
        <v>88</v>
      </c>
      <c r="J8" s="70" t="s">
        <v>89</v>
      </c>
      <c r="K8" s="70" t="s">
        <v>90</v>
      </c>
      <c r="L8" s="70" t="s">
        <v>91</v>
      </c>
      <c r="M8" s="70" t="s">
        <v>92</v>
      </c>
      <c r="O8" s="6"/>
      <c r="P8" s="6"/>
      <c r="Q8" s="6"/>
    </row>
    <row r="9" spans="1:17" ht="15" x14ac:dyDescent="0.2">
      <c r="B9" s="70" t="s">
        <v>93</v>
      </c>
      <c r="C9" s="2">
        <v>3.1359903020785507E-2</v>
      </c>
      <c r="D9" s="2">
        <v>8.800827928139994E-2</v>
      </c>
      <c r="E9" s="2">
        <v>0.12819967557076481</v>
      </c>
      <c r="F9" s="2">
        <v>3.7331497697322143E-2</v>
      </c>
      <c r="G9" s="2">
        <v>4.4223405146429487E-2</v>
      </c>
      <c r="H9" s="2">
        <v>0.11493042526779509</v>
      </c>
      <c r="I9" s="2">
        <v>0.15784536628016241</v>
      </c>
      <c r="J9" s="2">
        <v>4.419264405164991E-2</v>
      </c>
      <c r="K9" s="2">
        <v>4.3993640735918958E-2</v>
      </c>
      <c r="L9" s="2">
        <v>0.21308856911057719</v>
      </c>
      <c r="M9" s="2">
        <v>0.18636163222865551</v>
      </c>
      <c r="O9" s="6"/>
      <c r="P9" s="6"/>
      <c r="Q9" s="6"/>
    </row>
    <row r="10" spans="1:17" ht="15" x14ac:dyDescent="0.2">
      <c r="B10" s="70" t="s">
        <v>94</v>
      </c>
      <c r="C10" s="2">
        <v>4.1557045809485653E-2</v>
      </c>
      <c r="D10" s="2">
        <v>0.1104138394551827</v>
      </c>
      <c r="E10" s="2">
        <v>0.15656513380004969</v>
      </c>
      <c r="F10" s="2">
        <v>4.7543932527293692E-2</v>
      </c>
      <c r="G10" s="2">
        <v>5.6706815112941962E-2</v>
      </c>
      <c r="H10" s="2">
        <v>0.14684044392598669</v>
      </c>
      <c r="I10" s="2">
        <v>0.17013071967107449</v>
      </c>
      <c r="J10" s="2">
        <v>5.6581107721605323E-2</v>
      </c>
      <c r="K10" s="2">
        <v>5.3198013192185818E-2</v>
      </c>
      <c r="L10" s="2">
        <v>0.2457195426845071</v>
      </c>
      <c r="M10" s="2">
        <v>0.19648744507241361</v>
      </c>
      <c r="O10" s="6"/>
      <c r="P10" s="6"/>
      <c r="Q10" s="6"/>
    </row>
    <row r="11" spans="1:17" ht="15" x14ac:dyDescent="0.2">
      <c r="B11" s="70" t="s">
        <v>95</v>
      </c>
      <c r="C11" s="2">
        <v>9.7087378640776656E-3</v>
      </c>
      <c r="D11" s="2">
        <v>3.2595926143790921E-2</v>
      </c>
      <c r="E11" s="2">
        <v>6.2776947159877583E-2</v>
      </c>
      <c r="F11" s="2">
        <v>1.4989920834002969E-2</v>
      </c>
      <c r="G11" s="2">
        <v>1.0990026221560759E-2</v>
      </c>
      <c r="H11" s="2">
        <v>2.9244627851173991E-2</v>
      </c>
      <c r="I11" s="2">
        <v>-8.841513902032716E-2</v>
      </c>
      <c r="J11" s="2">
        <v>1.1310661406495949E-2</v>
      </c>
      <c r="K11" s="2">
        <v>-9.1125512972167755E-3</v>
      </c>
      <c r="L11" s="2">
        <v>0.20891595527424539</v>
      </c>
      <c r="M11" s="2">
        <v>0.18731655300795899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A16" s="66" t="s">
        <v>100</v>
      </c>
      <c r="B16" t="s">
        <v>136</v>
      </c>
      <c r="O16" s="6"/>
      <c r="P16" s="6"/>
      <c r="Q16" s="6"/>
    </row>
    <row r="17" spans="1:17" x14ac:dyDescent="0.2">
      <c r="B17" t="s">
        <v>137</v>
      </c>
      <c r="H17" s="67" t="s">
        <v>103</v>
      </c>
      <c r="O17" s="6"/>
      <c r="P17" s="6"/>
      <c r="Q17" s="6"/>
    </row>
    <row r="18" spans="1:17" x14ac:dyDescent="0.2">
      <c r="H18" s="67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6" t="s">
        <v>102</v>
      </c>
      <c r="B21" s="172" t="s">
        <v>105</v>
      </c>
      <c r="C21" s="172"/>
      <c r="D21" s="172"/>
      <c r="E21" s="172"/>
      <c r="F21" s="65" t="e">
        <f>#REF!+#REF!*'2. Past Proj &amp; Candidate Model'!#REF!</f>
        <v>#REF!</v>
      </c>
      <c r="G21" s="68" t="s">
        <v>106</v>
      </c>
      <c r="H21" s="2" t="e">
        <f>'2. Past Proj &amp; Candidate Model'!#REF!/'3. Improved Alpha Model'!F21-1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B25" s="173" t="s">
        <v>156</v>
      </c>
      <c r="C25" s="173"/>
      <c r="D25" s="173"/>
      <c r="E25" s="3">
        <f>C9</f>
        <v>3.1359903020785507E-2</v>
      </c>
      <c r="F25" t="s">
        <v>107</v>
      </c>
      <c r="G25" s="173" t="s">
        <v>108</v>
      </c>
      <c r="H25" s="173"/>
      <c r="I25" s="3" t="e">
        <f>#REF!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A28" s="66" t="s">
        <v>104</v>
      </c>
      <c r="B28" t="s">
        <v>110</v>
      </c>
      <c r="O28" s="6"/>
      <c r="P28" s="6"/>
      <c r="Q28" s="6"/>
    </row>
    <row r="29" spans="1:17" x14ac:dyDescent="0.2">
      <c r="B29" t="s">
        <v>111</v>
      </c>
      <c r="O29" s="6"/>
      <c r="P29" s="6"/>
      <c r="Q29" s="6"/>
    </row>
    <row r="30" spans="1:17" x14ac:dyDescent="0.2">
      <c r="B30" t="s">
        <v>112</v>
      </c>
      <c r="O30" s="6"/>
      <c r="P30" s="6"/>
      <c r="Q30" s="6"/>
    </row>
    <row r="31" spans="1:17" x14ac:dyDescent="0.2">
      <c r="B31" t="s">
        <v>113</v>
      </c>
      <c r="O31" s="6"/>
      <c r="P31" s="6"/>
      <c r="Q31" s="6"/>
    </row>
    <row r="32" spans="1:17" x14ac:dyDescent="0.2">
      <c r="B32" t="s">
        <v>114</v>
      </c>
      <c r="O32" s="6"/>
      <c r="P32" s="6"/>
      <c r="Q32" s="6"/>
    </row>
    <row r="33" spans="2:17" x14ac:dyDescent="0.2">
      <c r="B33" t="s">
        <v>115</v>
      </c>
      <c r="O33" s="6"/>
      <c r="P33" s="6"/>
      <c r="Q33" s="6"/>
    </row>
    <row r="34" spans="2:17" x14ac:dyDescent="0.2">
      <c r="B34" t="s">
        <v>116</v>
      </c>
      <c r="O34" s="6"/>
      <c r="P34" s="6"/>
      <c r="Q34" s="6"/>
    </row>
    <row r="35" spans="2:17" x14ac:dyDescent="0.2">
      <c r="B35" t="s">
        <v>117</v>
      </c>
      <c r="O35" s="6"/>
      <c r="P35" s="6"/>
      <c r="Q35" s="6"/>
    </row>
    <row r="36" spans="2:17" x14ac:dyDescent="0.2">
      <c r="B36" t="s">
        <v>118</v>
      </c>
      <c r="O36" s="6"/>
      <c r="P36" s="6"/>
      <c r="Q36" s="6"/>
    </row>
    <row r="37" spans="2:17" x14ac:dyDescent="0.2">
      <c r="B37" t="s">
        <v>119</v>
      </c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  <c r="Q39" s="6"/>
    </row>
    <row r="40" spans="2:17" x14ac:dyDescent="0.2">
      <c r="O40" s="6"/>
      <c r="P40" s="6"/>
    </row>
    <row r="41" spans="2:17" x14ac:dyDescent="0.2">
      <c r="O41" s="6"/>
      <c r="P41" s="6"/>
    </row>
  </sheetData>
  <mergeCells count="5">
    <mergeCell ref="D7:N7"/>
    <mergeCell ref="B7:C7"/>
    <mergeCell ref="B21:E21"/>
    <mergeCell ref="B25:D25"/>
    <mergeCell ref="G25:H25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2"/>
  <sheetViews>
    <sheetView tabSelected="1" zoomScale="85" zoomScaleNormal="85" workbookViewId="0">
      <selection activeCell="D47" sqref="D47"/>
    </sheetView>
  </sheetViews>
  <sheetFormatPr defaultRowHeight="12.75" x14ac:dyDescent="0.2"/>
  <cols>
    <col min="1" max="1" width="9.140625" style="66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6" t="s">
        <v>121</v>
      </c>
      <c r="B1" t="s">
        <v>81</v>
      </c>
    </row>
    <row r="2" spans="1:25" x14ac:dyDescent="0.2">
      <c r="A2" s="66" t="s">
        <v>96</v>
      </c>
      <c r="B2" s="74" t="s">
        <v>157</v>
      </c>
      <c r="C2" s="75" t="str">
        <f>D5</f>
        <v>PROJ</v>
      </c>
      <c r="D2" t="s">
        <v>158</v>
      </c>
    </row>
    <row r="4" spans="1:25" x14ac:dyDescent="0.2">
      <c r="A4" s="66" t="s">
        <v>97</v>
      </c>
      <c r="B4" t="s">
        <v>120</v>
      </c>
    </row>
    <row r="5" spans="1:25" ht="15" x14ac:dyDescent="0.2">
      <c r="A5" s="66" t="s">
        <v>93</v>
      </c>
      <c r="C5" s="70" t="s">
        <v>82</v>
      </c>
      <c r="D5" s="70" t="s">
        <v>83</v>
      </c>
      <c r="E5" s="70" t="s">
        <v>84</v>
      </c>
      <c r="F5" s="70" t="s">
        <v>85</v>
      </c>
      <c r="G5" s="70" t="s">
        <v>86</v>
      </c>
      <c r="H5" s="70" t="s">
        <v>87</v>
      </c>
      <c r="I5" s="70" t="s">
        <v>88</v>
      </c>
      <c r="J5" s="70" t="s">
        <v>89</v>
      </c>
      <c r="K5" s="70" t="s">
        <v>90</v>
      </c>
      <c r="L5" s="70"/>
      <c r="M5" s="70"/>
    </row>
    <row r="6" spans="1:25" ht="15" x14ac:dyDescent="0.2">
      <c r="B6" s="70" t="s">
        <v>93</v>
      </c>
      <c r="C6" s="2">
        <v>2.6133252517321251E-2</v>
      </c>
      <c r="D6" s="2">
        <v>8.9774814064628158E-2</v>
      </c>
      <c r="E6" s="2">
        <v>0.11058744369068001</v>
      </c>
      <c r="F6" s="2">
        <v>3.1921453458394873E-2</v>
      </c>
      <c r="G6" s="2">
        <v>3.8875400176153152E-2</v>
      </c>
      <c r="H6" s="2">
        <v>9.5918001900496666E-2</v>
      </c>
      <c r="I6" s="2">
        <v>0.13175273815317501</v>
      </c>
      <c r="J6" s="2">
        <v>3.8855064381887072E-2</v>
      </c>
      <c r="K6" s="2">
        <v>3.7037762271813227E-2</v>
      </c>
      <c r="L6" s="2"/>
      <c r="M6" s="2"/>
    </row>
    <row r="7" spans="1:25" ht="15" x14ac:dyDescent="0.2">
      <c r="B7" s="70" t="s">
        <v>94</v>
      </c>
      <c r="C7" s="2">
        <v>3.793621902188471E-2</v>
      </c>
      <c r="D7" s="2">
        <v>0.1085353371042905</v>
      </c>
      <c r="E7" s="2">
        <v>0.14321931846708791</v>
      </c>
      <c r="F7" s="2">
        <v>4.3447010838044163E-2</v>
      </c>
      <c r="G7" s="2">
        <v>5.2002534770816677E-2</v>
      </c>
      <c r="H7" s="2">
        <v>0.13404682788808481</v>
      </c>
      <c r="I7" s="2">
        <v>0.1553082804943916</v>
      </c>
      <c r="J7" s="2">
        <v>5.1889544040355402E-2</v>
      </c>
      <c r="K7" s="2">
        <v>4.857167088062881E-2</v>
      </c>
      <c r="L7" s="2"/>
      <c r="M7" s="2"/>
    </row>
    <row r="8" spans="1:25" ht="15" x14ac:dyDescent="0.2">
      <c r="B8" s="70" t="s">
        <v>95</v>
      </c>
      <c r="C8" s="2">
        <v>7.3296164567913102E-3</v>
      </c>
      <c r="D8" s="2">
        <v>6.4846890547142988E-2</v>
      </c>
      <c r="E8" s="2">
        <v>4.2651615725066698E-2</v>
      </c>
      <c r="F8" s="2">
        <v>9.9305765488807429E-3</v>
      </c>
      <c r="G8" s="2">
        <v>1.156270077316612E-2</v>
      </c>
      <c r="H8" s="2">
        <v>1.505025645758928E-2</v>
      </c>
      <c r="I8" s="2">
        <v>-4.4852368269282572E-2</v>
      </c>
      <c r="J8" s="2">
        <v>1.173891371978442E-2</v>
      </c>
      <c r="K8" s="2">
        <v>-3.4270906729660928E-3</v>
      </c>
      <c r="L8" s="2"/>
      <c r="M8" s="2"/>
    </row>
    <row r="10" spans="1:25" ht="15" x14ac:dyDescent="0.2">
      <c r="A10" s="66" t="s">
        <v>98</v>
      </c>
      <c r="B10" s="71" t="s">
        <v>159</v>
      </c>
    </row>
    <row r="12" spans="1:25" x14ac:dyDescent="0.2">
      <c r="A12" s="66" t="s">
        <v>99</v>
      </c>
      <c r="B12" t="s">
        <v>135</v>
      </c>
    </row>
    <row r="13" spans="1:25" ht="15" x14ac:dyDescent="0.2">
      <c r="B13" s="70" t="s">
        <v>122</v>
      </c>
      <c r="C13" s="70" t="s">
        <v>123</v>
      </c>
      <c r="D13" s="70" t="s">
        <v>82</v>
      </c>
      <c r="E13" s="70" t="s">
        <v>83</v>
      </c>
      <c r="F13" s="70" t="s">
        <v>84</v>
      </c>
      <c r="G13" s="70" t="s">
        <v>85</v>
      </c>
      <c r="H13" s="70" t="s">
        <v>86</v>
      </c>
      <c r="I13" s="70" t="s">
        <v>87</v>
      </c>
      <c r="J13" s="70" t="s">
        <v>88</v>
      </c>
      <c r="K13" s="70" t="s">
        <v>89</v>
      </c>
      <c r="L13" s="70" t="s">
        <v>90</v>
      </c>
      <c r="M13" s="70" t="s">
        <v>124</v>
      </c>
      <c r="N13" s="70" t="s">
        <v>125</v>
      </c>
      <c r="O13" s="70" t="s">
        <v>126</v>
      </c>
      <c r="P13" s="70" t="s">
        <v>127</v>
      </c>
      <c r="Q13" s="70" t="s">
        <v>128</v>
      </c>
      <c r="R13" s="70" t="s">
        <v>129</v>
      </c>
      <c r="S13" s="70" t="s">
        <v>130</v>
      </c>
      <c r="T13" s="70" t="s">
        <v>131</v>
      </c>
      <c r="U13" s="70" t="s">
        <v>132</v>
      </c>
      <c r="V13" s="70" t="s">
        <v>131</v>
      </c>
      <c r="W13" s="70" t="s">
        <v>132</v>
      </c>
      <c r="X13" s="70" t="s">
        <v>133</v>
      </c>
      <c r="Y13" s="70" t="s">
        <v>134</v>
      </c>
    </row>
    <row r="14" spans="1:25" x14ac:dyDescent="0.2">
      <c r="B14" t="s">
        <v>42</v>
      </c>
      <c r="C14">
        <v>14.3</v>
      </c>
      <c r="D14">
        <v>13.9</v>
      </c>
      <c r="E14">
        <v>14.20977633</v>
      </c>
      <c r="M14" s="2">
        <f>D14/C14-1</f>
        <v>-2.7972027972028024E-2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43</v>
      </c>
      <c r="C15">
        <v>13.5</v>
      </c>
      <c r="D15">
        <v>13.6</v>
      </c>
      <c r="E15">
        <v>12.241336</v>
      </c>
      <c r="M15" s="2">
        <f t="shared" ref="M15:M18" si="0">D15/C15-1</f>
        <v>7.4074074074073071E-3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44</v>
      </c>
      <c r="C16">
        <v>15</v>
      </c>
      <c r="D16">
        <v>14.6</v>
      </c>
      <c r="E16">
        <v>13.400415000000001</v>
      </c>
      <c r="M16" s="2">
        <f t="shared" si="0"/>
        <v>-2.6666666666666727E-2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B17" t="s">
        <v>45</v>
      </c>
      <c r="C17">
        <v>14.9</v>
      </c>
      <c r="D17">
        <v>14.9</v>
      </c>
      <c r="E17">
        <v>11.290065329999999</v>
      </c>
      <c r="M17" s="2">
        <f t="shared" si="0"/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B18" t="s">
        <v>46</v>
      </c>
      <c r="C18">
        <v>18.3</v>
      </c>
      <c r="D18">
        <v>18.100000000000001</v>
      </c>
      <c r="E18">
        <v>15.69551933</v>
      </c>
      <c r="M18" s="2">
        <f t="shared" si="0"/>
        <v>-1.0928961748633892E-2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B19" t="s">
        <v>47</v>
      </c>
      <c r="C19">
        <v>15.3</v>
      </c>
      <c r="D19">
        <v>16.100000000000001</v>
      </c>
      <c r="E19">
        <v>15.79871767</v>
      </c>
      <c r="F19">
        <v>17.065876802048258</v>
      </c>
      <c r="G19">
        <v>16.29184430027804</v>
      </c>
      <c r="H19">
        <v>16.512514977901301</v>
      </c>
      <c r="I19">
        <v>16.20705050855689</v>
      </c>
      <c r="J19">
        <v>17.055499217013899</v>
      </c>
      <c r="K19">
        <v>16.523610042997159</v>
      </c>
      <c r="L19">
        <v>16.44871934304393</v>
      </c>
      <c r="M19" s="2">
        <v>5.2287581699346442E-2</v>
      </c>
      <c r="N19" s="2">
        <v>3.2595926143790921E-2</v>
      </c>
      <c r="O19" s="2">
        <v>0.11541678444759861</v>
      </c>
      <c r="P19" s="2">
        <v>6.4826424854773856E-2</v>
      </c>
      <c r="Q19" s="2">
        <v>7.9249344960869328E-2</v>
      </c>
      <c r="R19" s="2">
        <v>5.9284346964502348E-2</v>
      </c>
      <c r="S19" s="2">
        <v>0.11473851091594089</v>
      </c>
      <c r="T19" s="2">
        <v>7.9974512614193527E-2</v>
      </c>
      <c r="U19" s="2">
        <v>7.5079695623786469E-2</v>
      </c>
      <c r="V19" s="2">
        <v>7.9974512614193527E-2</v>
      </c>
      <c r="W19" s="2">
        <v>7.5079695623786469E-2</v>
      </c>
      <c r="X19" s="2">
        <v>0.20891595527424539</v>
      </c>
      <c r="Y19" s="2">
        <v>0.2128282587519732</v>
      </c>
    </row>
    <row r="20" spans="1:25" x14ac:dyDescent="0.2">
      <c r="B20" t="s">
        <v>48</v>
      </c>
      <c r="C20">
        <v>13</v>
      </c>
      <c r="D20">
        <v>13.2</v>
      </c>
      <c r="E20">
        <v>15.496907800000001</v>
      </c>
      <c r="F20">
        <v>16.169206895813311</v>
      </c>
      <c r="G20">
        <v>13.32298850574713</v>
      </c>
      <c r="H20">
        <v>13.14287034088029</v>
      </c>
      <c r="I20">
        <v>15.811872377750911</v>
      </c>
      <c r="J20">
        <v>16.16298963916989</v>
      </c>
      <c r="K20">
        <v>13.14703859828445</v>
      </c>
      <c r="L20">
        <v>13.41781609195403</v>
      </c>
      <c r="M20" s="2">
        <v>1.538461538461533E-2</v>
      </c>
      <c r="N20" s="2">
        <v>0.19206983076923079</v>
      </c>
      <c r="O20" s="2">
        <v>0.24378514583179281</v>
      </c>
      <c r="P20" s="2">
        <v>2.4845269672856499E-2</v>
      </c>
      <c r="Q20" s="2">
        <v>1.0990026221560759E-2</v>
      </c>
      <c r="R20" s="2">
        <v>0.21629787521160801</v>
      </c>
      <c r="S20" s="2">
        <v>0.24330689532076041</v>
      </c>
      <c r="T20" s="2">
        <v>1.1310661406495949E-2</v>
      </c>
      <c r="U20" s="2">
        <v>3.2139699381078753E-2</v>
      </c>
      <c r="V20" s="2">
        <v>1.1310661406495949E-2</v>
      </c>
      <c r="W20" s="2">
        <v>3.2139699381078753E-2</v>
      </c>
      <c r="X20" s="2">
        <v>0.25549583085808952</v>
      </c>
      <c r="Y20" s="2">
        <v>0.26884473661307928</v>
      </c>
    </row>
    <row r="21" spans="1:25" x14ac:dyDescent="0.2">
      <c r="B21" t="s">
        <v>50</v>
      </c>
      <c r="C21">
        <v>20.6</v>
      </c>
      <c r="D21">
        <v>20.8</v>
      </c>
      <c r="E21">
        <v>18.20015733</v>
      </c>
      <c r="F21">
        <v>16.189194484178689</v>
      </c>
      <c r="G21">
        <v>20.660671936758899</v>
      </c>
      <c r="H21">
        <v>20.53126333371544</v>
      </c>
      <c r="I21">
        <v>15.74780664266925</v>
      </c>
      <c r="J21">
        <v>15.9603988321101</v>
      </c>
      <c r="K21">
        <v>20.528366472399931</v>
      </c>
      <c r="L21">
        <v>20.41228144327734</v>
      </c>
      <c r="M21" s="2">
        <v>9.7087378640776656E-3</v>
      </c>
      <c r="N21" s="2">
        <v>-0.11649721699029141</v>
      </c>
      <c r="O21" s="2">
        <v>-0.21411677261268491</v>
      </c>
      <c r="P21" s="2">
        <v>2.9452396484899168E-3</v>
      </c>
      <c r="Q21" s="2">
        <v>-3.3367313730369159E-3</v>
      </c>
      <c r="R21" s="2">
        <v>-0.23554336686071589</v>
      </c>
      <c r="S21" s="2">
        <v>-0.2252233576645585</v>
      </c>
      <c r="T21" s="2">
        <v>-3.4773557087414142E-3</v>
      </c>
      <c r="U21" s="2">
        <v>-9.1125512972167755E-3</v>
      </c>
      <c r="V21" s="2">
        <v>-3.4773557087414142E-3</v>
      </c>
      <c r="W21" s="2">
        <v>-9.1125512972167755E-3</v>
      </c>
      <c r="X21" s="2">
        <v>-2.389613673874913E-2</v>
      </c>
      <c r="Y21" s="2">
        <v>0.18731655300795899</v>
      </c>
    </row>
    <row r="22" spans="1:25" x14ac:dyDescent="0.2">
      <c r="B22" t="s">
        <v>51</v>
      </c>
      <c r="C22">
        <v>18.8</v>
      </c>
      <c r="D22">
        <v>17.399999999999999</v>
      </c>
      <c r="E22">
        <v>18.76652533</v>
      </c>
      <c r="F22">
        <v>18.892171282675161</v>
      </c>
      <c r="G22">
        <v>17.31384809064204</v>
      </c>
      <c r="H22">
        <v>17.080691772742441</v>
      </c>
      <c r="I22">
        <v>18.155500102321671</v>
      </c>
      <c r="J22">
        <v>17.137795386417849</v>
      </c>
      <c r="K22">
        <v>17.097507841917441</v>
      </c>
      <c r="L22">
        <v>17.2273193936708</v>
      </c>
      <c r="M22" s="2">
        <v>-7.4468085106383142E-2</v>
      </c>
      <c r="N22" s="2">
        <v>-1.780567553191559E-3</v>
      </c>
      <c r="O22" s="2">
        <v>4.902727801870066E-3</v>
      </c>
      <c r="P22" s="2">
        <v>-7.9050633476487442E-2</v>
      </c>
      <c r="Q22" s="2">
        <v>-9.1452565279657616E-2</v>
      </c>
      <c r="R22" s="2">
        <v>-3.4281909450975201E-2</v>
      </c>
      <c r="S22" s="2">
        <v>-8.841513902032716E-2</v>
      </c>
      <c r="T22" s="2">
        <v>-9.0558093515029636E-2</v>
      </c>
      <c r="U22" s="2">
        <v>-8.3653223740914662E-2</v>
      </c>
      <c r="V22" s="2">
        <v>-9.0558093515029636E-2</v>
      </c>
      <c r="W22" s="2">
        <v>-8.3653223740914662E-2</v>
      </c>
      <c r="X22" s="2">
        <v>0.1748725021498734</v>
      </c>
      <c r="Y22" s="2">
        <v>0.1854413227617395</v>
      </c>
    </row>
    <row r="23" spans="1:25" x14ac:dyDescent="0.2">
      <c r="B23" t="s">
        <v>52</v>
      </c>
      <c r="C23">
        <v>20.2</v>
      </c>
      <c r="D23">
        <v>20.3</v>
      </c>
      <c r="E23">
        <v>22.161376669999999</v>
      </c>
      <c r="F23">
        <v>21.46809433262953</v>
      </c>
      <c r="G23">
        <v>20.502796400846862</v>
      </c>
      <c r="H23">
        <v>20.928984829519859</v>
      </c>
      <c r="I23">
        <v>20.79074148259371</v>
      </c>
      <c r="J23">
        <v>17.825632844719649</v>
      </c>
      <c r="K23">
        <v>20.919980459678541</v>
      </c>
      <c r="L23">
        <v>19.796342720540721</v>
      </c>
      <c r="M23" s="2">
        <v>4.9504950495049549E-3</v>
      </c>
      <c r="N23" s="2">
        <v>9.7097854950495055E-2</v>
      </c>
      <c r="O23" s="2">
        <v>6.2776947159877583E-2</v>
      </c>
      <c r="P23" s="2">
        <v>1.4989920834002969E-2</v>
      </c>
      <c r="Q23" s="2">
        <v>3.6088357897022798E-2</v>
      </c>
      <c r="R23" s="2">
        <v>2.9244627851173991E-2</v>
      </c>
      <c r="S23" s="2">
        <v>-0.11754292847922521</v>
      </c>
      <c r="T23" s="2">
        <v>3.5642597013789017E-2</v>
      </c>
      <c r="U23" s="2">
        <v>-1.998303363659815E-2</v>
      </c>
      <c r="V23" s="2">
        <v>3.5642597013789017E-2</v>
      </c>
      <c r="W23" s="2">
        <v>-1.998303363659815E-2</v>
      </c>
      <c r="X23" s="2">
        <v>0.40226242053192851</v>
      </c>
      <c r="Y23" s="2">
        <v>-7.7377290008526667E-2</v>
      </c>
    </row>
    <row r="24" spans="1:25" x14ac:dyDescent="0.2">
      <c r="B24" t="s">
        <v>68</v>
      </c>
      <c r="C24">
        <v>20.8</v>
      </c>
      <c r="D24">
        <v>20.8</v>
      </c>
      <c r="E24">
        <v>22.851035750000001</v>
      </c>
      <c r="F24">
        <v>21.26854671323732</v>
      </c>
      <c r="G24">
        <v>20.90132163108618</v>
      </c>
      <c r="H24">
        <v>21.052415806755249</v>
      </c>
      <c r="I24">
        <v>20.8178024093313</v>
      </c>
      <c r="J24">
        <v>20.77317637162065</v>
      </c>
      <c r="K24">
        <v>21.053077053487922</v>
      </c>
      <c r="L24">
        <v>20.84697409498672</v>
      </c>
      <c r="M24" s="2">
        <v>0</v>
      </c>
      <c r="N24" s="2">
        <v>9.8607487980769237E-2</v>
      </c>
      <c r="O24" s="2">
        <v>2.252628429025583E-2</v>
      </c>
      <c r="P24" s="2">
        <v>4.8712322637585181E-3</v>
      </c>
      <c r="Q24" s="2">
        <v>1.213537532477149E-2</v>
      </c>
      <c r="R24" s="2">
        <v>8.5588506400458009E-4</v>
      </c>
      <c r="S24" s="2">
        <v>-1.289597518237984E-3</v>
      </c>
      <c r="T24" s="2">
        <v>1.216716603307288E-2</v>
      </c>
      <c r="U24" s="2">
        <v>2.258369951284589E-3</v>
      </c>
      <c r="V24" s="2">
        <v>1.195101096135209E-2</v>
      </c>
      <c r="W24" s="2">
        <v>2.0756082663979658E-3</v>
      </c>
      <c r="X24" s="2">
        <v>3.8492580353478578E-2</v>
      </c>
      <c r="Y24" s="2">
        <v>-7.2394733271673006E-2</v>
      </c>
    </row>
    <row r="25" spans="1:25" x14ac:dyDescent="0.2">
      <c r="A25" s="98" t="s">
        <v>145</v>
      </c>
      <c r="B25" s="98"/>
      <c r="C25" s="98"/>
      <c r="D25">
        <f t="shared" ref="D25:D30" si="1">D$24/(1+M25)</f>
        <v>20.905146414416741</v>
      </c>
      <c r="K25" s="97" t="s">
        <v>138</v>
      </c>
      <c r="L25" s="97"/>
      <c r="M25" s="3">
        <f>AVERAGE(M14:M23)</f>
        <v>-5.0296904088760084E-3</v>
      </c>
      <c r="N25" s="97"/>
    </row>
    <row r="26" spans="1:25" x14ac:dyDescent="0.2">
      <c r="A26" s="88" t="s">
        <v>146</v>
      </c>
      <c r="B26" s="88"/>
      <c r="C26" s="88"/>
      <c r="D26">
        <f t="shared" si="1"/>
        <v>20.748641975308644</v>
      </c>
      <c r="K26" s="88" t="s">
        <v>140</v>
      </c>
      <c r="L26" s="88"/>
      <c r="M26" s="1">
        <f>MEDIAN(M14:M23)</f>
        <v>2.4752475247524774E-3</v>
      </c>
      <c r="N26" s="88"/>
    </row>
    <row r="27" spans="1:25" x14ac:dyDescent="0.2">
      <c r="A27" s="89" t="s">
        <v>147</v>
      </c>
      <c r="B27" s="89"/>
      <c r="C27" s="89"/>
      <c r="D27">
        <f t="shared" si="1"/>
        <v>20.433268449000682</v>
      </c>
      <c r="K27" s="89" t="s">
        <v>139</v>
      </c>
      <c r="L27" s="89"/>
      <c r="M27" s="1">
        <f>AVERAGE(M23,M19:M21,M15)</f>
        <v>1.7947767480990341E-2</v>
      </c>
      <c r="N27" s="89"/>
    </row>
    <row r="28" spans="1:25" x14ac:dyDescent="0.2">
      <c r="A28" s="90" t="s">
        <v>148</v>
      </c>
      <c r="B28" s="90"/>
      <c r="C28" s="90"/>
      <c r="D28">
        <f>D$24/(1+M28)</f>
        <v>20.6</v>
      </c>
      <c r="K28" s="90" t="s">
        <v>141</v>
      </c>
      <c r="L28" s="90"/>
      <c r="M28" s="1">
        <f>MEDIAN(M23,M19:M21,M15)</f>
        <v>9.7087378640776656E-3</v>
      </c>
      <c r="N28" s="90"/>
    </row>
    <row r="29" spans="1:25" x14ac:dyDescent="0.2">
      <c r="A29" s="91" t="s">
        <v>149</v>
      </c>
      <c r="B29" s="91"/>
      <c r="C29" s="91"/>
      <c r="D29">
        <f t="shared" si="1"/>
        <v>21.554603728946539</v>
      </c>
      <c r="K29" s="91" t="s">
        <v>142</v>
      </c>
      <c r="L29" s="91"/>
      <c r="M29" s="1">
        <f>AVERAGE(M22,M18,M16,M14)</f>
        <v>-3.5008935373427946E-2</v>
      </c>
      <c r="N29" s="91"/>
    </row>
    <row r="30" spans="1:25" x14ac:dyDescent="0.2">
      <c r="A30" s="92" t="s">
        <v>150</v>
      </c>
      <c r="B30" s="92"/>
      <c r="C30" s="92"/>
      <c r="D30">
        <f t="shared" si="1"/>
        <v>21.384202453987733</v>
      </c>
      <c r="K30" s="92" t="s">
        <v>143</v>
      </c>
      <c r="L30" s="92"/>
      <c r="M30" s="1">
        <f>MEDIAN(M22,M18,M16,M14)</f>
        <v>-2.7319347319347376E-2</v>
      </c>
      <c r="N30" s="92"/>
    </row>
    <row r="32" spans="1:25" x14ac:dyDescent="0.2">
      <c r="A32" s="66" t="s">
        <v>100</v>
      </c>
      <c r="B32" t="s">
        <v>151</v>
      </c>
    </row>
    <row r="33" spans="1:4" x14ac:dyDescent="0.2">
      <c r="B33" t="s">
        <v>152</v>
      </c>
    </row>
    <row r="39" spans="1:4" x14ac:dyDescent="0.2">
      <c r="A39" s="66" t="s">
        <v>102</v>
      </c>
      <c r="B39" s="76" t="s">
        <v>153</v>
      </c>
      <c r="C39" s="77">
        <f>D27</f>
        <v>20.433268449000682</v>
      </c>
      <c r="D39" t="s">
        <v>164</v>
      </c>
    </row>
    <row r="41" spans="1:4" x14ac:dyDescent="0.2">
      <c r="B41" s="174" t="s">
        <v>161</v>
      </c>
      <c r="C41" s="174"/>
      <c r="D41" s="2">
        <f>C39/D24-1</f>
        <v>-1.7631324567274897E-2</v>
      </c>
    </row>
    <row r="42" spans="1:4" x14ac:dyDescent="0.2">
      <c r="B42" s="162" t="s">
        <v>160</v>
      </c>
      <c r="C42" s="162"/>
      <c r="D42" s="2">
        <f>'1. Data &amp; Confidence Interval'!T25</f>
        <v>-6.1395247754274518E-3</v>
      </c>
    </row>
  </sheetData>
  <mergeCells count="2">
    <mergeCell ref="B42:C42"/>
    <mergeCell ref="B41:C41"/>
  </mergeCells>
  <conditionalFormatting sqref="P14:W2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3">
      <colorScale>
        <cfvo type="min"/>
        <cfvo type="max"/>
        <color rgb="FF92D050"/>
        <color rgb="FFFF0000"/>
      </colorScale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4">
      <colorScale>
        <cfvo type="min"/>
        <cfvo type="max"/>
        <color rgb="FF92D050"/>
        <color rgb="FFC0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6:M30 S2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Y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2021-11-04T18:25:49Z</dcterms:modified>
</cp:coreProperties>
</file>