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SILK\"/>
    </mc:Choice>
  </mc:AlternateContent>
  <xr:revisionPtr revIDLastSave="0" documentId="13_ncr:1_{9835AAAE-38E8-468C-A5EA-E391730C18AB}" xr6:coauthVersionLast="46" xr6:coauthVersionMax="46" xr10:uidLastSave="{00000000-0000-0000-0000-000000000000}"/>
  <bookViews>
    <workbookView xWindow="-120" yWindow="-120" windowWidth="29040" windowHeight="15840" activeTab="1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2" l="1"/>
  <c r="H30" i="2"/>
  <c r="H31" i="2"/>
  <c r="H32" i="2"/>
  <c r="H33" i="2"/>
  <c r="H34" i="2"/>
  <c r="H29" i="2"/>
  <c r="G33" i="2"/>
  <c r="G34" i="2"/>
  <c r="G32" i="2"/>
  <c r="G31" i="2"/>
  <c r="G30" i="2" l="1"/>
  <c r="G29" i="2"/>
  <c r="J14" i="2"/>
  <c r="Y25" i="1"/>
  <c r="S25" i="1"/>
  <c r="S24" i="1"/>
  <c r="P25" i="1"/>
  <c r="P24" i="1"/>
  <c r="Y26" i="1"/>
  <c r="Y24" i="1"/>
  <c r="Y23" i="1"/>
  <c r="Y22" i="1"/>
  <c r="Y21" i="1"/>
  <c r="Y20" i="1"/>
  <c r="X18" i="1"/>
  <c r="X17" i="1"/>
  <c r="D24" i="4"/>
  <c r="D28" i="4"/>
  <c r="O28" i="4"/>
  <c r="O27" i="4"/>
  <c r="D27" i="4" s="1"/>
  <c r="C37" i="4" s="1"/>
  <c r="O26" i="4"/>
  <c r="D26" i="4" s="1"/>
  <c r="O25" i="4"/>
  <c r="D25" i="4" s="1"/>
  <c r="O24" i="4"/>
  <c r="O23" i="4"/>
  <c r="D23" i="4" s="1"/>
  <c r="P28" i="4"/>
  <c r="E28" i="4" s="1"/>
  <c r="P27" i="4"/>
  <c r="E27" i="4" s="1"/>
  <c r="P26" i="4"/>
  <c r="E26" i="4" s="1"/>
  <c r="P25" i="4"/>
  <c r="E25" i="4" s="1"/>
  <c r="P24" i="4"/>
  <c r="E24" i="4" s="1"/>
  <c r="P23" i="4"/>
  <c r="E23" i="4" s="1"/>
  <c r="R22" i="2"/>
  <c r="L14" i="2"/>
  <c r="M14" i="2"/>
  <c r="N14" i="2"/>
  <c r="O14" i="2"/>
  <c r="K14" i="2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P14" i="2" l="1"/>
  <c r="Q14" i="2" s="1"/>
  <c r="D39" i="4"/>
  <c r="R14" i="2"/>
  <c r="C2" i="4"/>
  <c r="R19" i="2" l="1"/>
  <c r="K20" i="2"/>
  <c r="L20" i="2"/>
  <c r="M20" i="2"/>
  <c r="N20" i="2"/>
  <c r="O20" i="2"/>
  <c r="P20" i="2"/>
  <c r="Q20" i="2"/>
  <c r="R20" i="2"/>
  <c r="A19" i="2"/>
  <c r="B19" i="2"/>
  <c r="C19" i="2"/>
  <c r="D19" i="2"/>
  <c r="E19" i="2"/>
  <c r="F19" i="2"/>
  <c r="G19" i="2"/>
  <c r="H19" i="2"/>
  <c r="I19" i="2"/>
  <c r="J19" i="2"/>
  <c r="R15" i="2" l="1"/>
  <c r="G26" i="2"/>
  <c r="E26" i="2"/>
  <c r="E25" i="2"/>
  <c r="E24" i="2"/>
  <c r="E23" i="2"/>
  <c r="E22" i="2"/>
  <c r="E21" i="2"/>
  <c r="Y18" i="1"/>
  <c r="J15" i="2" l="1"/>
  <c r="X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Q21" i="2"/>
  <c r="P21" i="2"/>
  <c r="O21" i="2"/>
  <c r="N21" i="2"/>
  <c r="M21" i="2"/>
  <c r="L21" i="2"/>
  <c r="K21" i="2"/>
  <c r="R21" i="2"/>
  <c r="A20" i="2"/>
  <c r="B20" i="2"/>
  <c r="C20" i="2"/>
  <c r="D20" i="2"/>
  <c r="E20" i="2"/>
  <c r="F20" i="2"/>
  <c r="G20" i="2"/>
  <c r="H20" i="2"/>
  <c r="I20" i="2"/>
  <c r="J20" i="2"/>
  <c r="Q15" i="2"/>
  <c r="P15" i="2"/>
  <c r="O15" i="2"/>
  <c r="N15" i="2"/>
  <c r="M15" i="2"/>
  <c r="L15" i="2"/>
  <c r="K15" i="2"/>
  <c r="I15" i="2"/>
  <c r="H15" i="2"/>
  <c r="G15" i="2"/>
  <c r="F15" i="2"/>
  <c r="E15" i="2"/>
  <c r="W20" i="1"/>
  <c r="V20" i="1"/>
  <c r="U20" i="1"/>
  <c r="T20" i="1"/>
  <c r="S20" i="1"/>
  <c r="R20" i="1"/>
  <c r="Q20" i="1"/>
  <c r="P20" i="1"/>
  <c r="W18" i="1"/>
  <c r="V18" i="1"/>
  <c r="G18" i="1"/>
  <c r="F18" i="1"/>
  <c r="J21" i="2"/>
  <c r="I21" i="2"/>
  <c r="H21" i="2"/>
  <c r="G21" i="2"/>
  <c r="F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B21" i="2"/>
  <c r="C21" i="2"/>
  <c r="D21" i="2"/>
  <c r="A21" i="2"/>
  <c r="I21" i="3"/>
  <c r="E21" i="3"/>
  <c r="X10" i="1" l="1"/>
  <c r="H10" i="1"/>
  <c r="C7" i="1"/>
  <c r="W22" i="1"/>
  <c r="V22" i="1"/>
  <c r="U22" i="1"/>
  <c r="T22" i="1"/>
  <c r="S22" i="1"/>
  <c r="R22" i="1"/>
  <c r="Q22" i="1"/>
  <c r="P22" i="1"/>
  <c r="Q18" i="1"/>
  <c r="P18" i="1"/>
  <c r="O18" i="1"/>
  <c r="N18" i="1"/>
  <c r="M18" i="1"/>
  <c r="L18" i="1"/>
  <c r="K18" i="1"/>
  <c r="J18" i="1"/>
  <c r="I18" i="1"/>
  <c r="H18" i="1"/>
  <c r="F17" i="3"/>
  <c r="D40" i="4" l="1"/>
  <c r="B7" i="1"/>
  <c r="R26" i="2"/>
  <c r="R25" i="2"/>
  <c r="R24" i="2"/>
  <c r="R23" i="2"/>
  <c r="I2" i="1" l="1"/>
  <c r="J2" i="1"/>
  <c r="J3" i="1"/>
  <c r="I3" i="1"/>
  <c r="H17" i="3"/>
  <c r="K2" i="1" l="1"/>
  <c r="L2" i="1" s="1"/>
  <c r="K3" i="1"/>
  <c r="L3" i="1" s="1"/>
  <c r="R27" i="2" a="1"/>
  <c r="R27" i="2" s="1"/>
  <c r="K22" i="2"/>
  <c r="L22" i="2"/>
  <c r="M22" i="2"/>
  <c r="N22" i="2"/>
  <c r="O22" i="2"/>
  <c r="P22" i="2"/>
  <c r="Q22" i="2"/>
  <c r="K23" i="2"/>
  <c r="L23" i="2"/>
  <c r="M23" i="2"/>
  <c r="N23" i="2"/>
  <c r="O23" i="2"/>
  <c r="P23" i="2"/>
  <c r="Q23" i="2"/>
  <c r="K24" i="2"/>
  <c r="L24" i="2"/>
  <c r="M24" i="2"/>
  <c r="N24" i="2"/>
  <c r="O24" i="2"/>
  <c r="P24" i="2"/>
  <c r="Q24" i="2"/>
  <c r="K25" i="2"/>
  <c r="L25" i="2"/>
  <c r="M25" i="2"/>
  <c r="N25" i="2"/>
  <c r="O25" i="2"/>
  <c r="P25" i="2"/>
  <c r="Q25" i="2"/>
  <c r="K26" i="2"/>
  <c r="L26" i="2"/>
  <c r="M26" i="2"/>
  <c r="N26" i="2"/>
  <c r="O26" i="2"/>
  <c r="P26" i="2"/>
  <c r="Q26" i="2"/>
  <c r="F22" i="2"/>
  <c r="G22" i="2"/>
  <c r="H22" i="2"/>
  <c r="I22" i="2"/>
  <c r="J22" i="2"/>
  <c r="F23" i="2"/>
  <c r="G23" i="2"/>
  <c r="H23" i="2"/>
  <c r="I23" i="2"/>
  <c r="J23" i="2"/>
  <c r="F24" i="2"/>
  <c r="G24" i="2"/>
  <c r="H24" i="2"/>
  <c r="I24" i="2"/>
  <c r="J24" i="2"/>
  <c r="F25" i="2"/>
  <c r="G25" i="2"/>
  <c r="H25" i="2"/>
  <c r="I25" i="2"/>
  <c r="J25" i="2"/>
  <c r="F26" i="2"/>
  <c r="H26" i="2"/>
  <c r="I26" i="2"/>
  <c r="J26" i="2"/>
  <c r="E27" i="2" l="1" a="1"/>
  <c r="E27" i="2" s="1"/>
  <c r="E28" i="2" a="1"/>
  <c r="E28" i="2" s="1"/>
  <c r="H28" i="2" a="1"/>
  <c r="H28" i="2" s="1"/>
  <c r="H27" i="2" a="1"/>
  <c r="H27" i="2" s="1"/>
  <c r="Q28" i="2" a="1"/>
  <c r="Q28" i="2" s="1"/>
  <c r="Q27" i="2" a="1"/>
  <c r="Q27" i="2" s="1"/>
  <c r="P27" i="2" a="1"/>
  <c r="P27" i="2" s="1"/>
  <c r="P28" i="2" a="1"/>
  <c r="P28" i="2" s="1"/>
  <c r="F27" i="2" a="1"/>
  <c r="F27" i="2" s="1"/>
  <c r="F28" i="2" a="1"/>
  <c r="F28" i="2" s="1"/>
  <c r="N28" i="2" a="1"/>
  <c r="N28" i="2" s="1"/>
  <c r="N27" i="2" a="1"/>
  <c r="N27" i="2" s="1"/>
  <c r="M28" i="2" a="1"/>
  <c r="M28" i="2" s="1"/>
  <c r="M27" i="2" a="1"/>
  <c r="M27" i="2" s="1"/>
  <c r="O28" i="2" a="1"/>
  <c r="O28" i="2" s="1"/>
  <c r="O27" i="2" a="1"/>
  <c r="O27" i="2" s="1"/>
  <c r="L27" i="2" a="1"/>
  <c r="L27" i="2" s="1"/>
  <c r="L28" i="2" a="1"/>
  <c r="L28" i="2" s="1"/>
  <c r="J27" i="2" a="1"/>
  <c r="J27" i="2" s="1"/>
  <c r="J28" i="2" a="1"/>
  <c r="J28" i="2" s="1"/>
  <c r="K28" i="2" a="1"/>
  <c r="K28" i="2" s="1"/>
  <c r="K27" i="2" a="1"/>
  <c r="K27" i="2" s="1"/>
  <c r="G28" i="2" a="1"/>
  <c r="G28" i="2" s="1"/>
  <c r="G27" i="2" a="1"/>
  <c r="G27" i="2" s="1"/>
  <c r="I27" i="2" a="1"/>
  <c r="I27" i="2" s="1"/>
  <c r="I28" i="2" a="1"/>
  <c r="I28" i="2" s="1"/>
  <c r="R28" i="2" a="1"/>
  <c r="R28" i="2" s="1"/>
  <c r="V21" i="1"/>
  <c r="W21" i="1"/>
  <c r="S21" i="1"/>
  <c r="W23" i="1"/>
  <c r="S23" i="1"/>
  <c r="V23" i="1"/>
  <c r="U23" i="1"/>
  <c r="T23" i="1"/>
  <c r="U21" i="1"/>
  <c r="T21" i="1"/>
  <c r="K4" i="1" l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<sst xmlns="http://schemas.openxmlformats.org/spreadsheetml/2006/main" count="247" uniqueCount="168">
  <si>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</si>
  <si>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</si>
  <si>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</si>
  <si>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</si>
  <si>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</si>
  <si>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</si>
  <si>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</si>
  <si>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</si>
  <si>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</si>
  <si>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</si>
  <si>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</si>
  <si>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</si>
  <si>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</si>
  <si>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</si>
  <si>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</si>
  <si>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</si>
  <si>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</si>
  <si>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</si>
  <si>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</si>
  <si>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</si>
  <si>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</si>
  <si>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</si>
  <si>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</si>
  <si>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</si>
  <si>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</si>
  <si>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</si>
  <si>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</si>
  <si>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</si>
  <si>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</si>
  <si>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</si>
  <si>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</si>
  <si>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</si>
  <si>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</si>
  <si>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</si>
  <si>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</si>
  <si>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</si>
  <si>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</si>
  <si>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</si>
  <si>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</si>
  <si>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</si>
  <si>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</si>
  <si>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</si>
  <si>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</si>
  <si>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</si>
  <si>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</si>
  <si>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</si>
  <si>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</si>
  <si>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</si>
  <si>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</si>
  <si>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</si>
  <si>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</si>
  <si>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</si>
  <si>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</si>
  <si>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</si>
  <si>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</si>
  <si>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</si>
  <si>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</si>
  <si>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</si>
  <si>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</si>
  <si>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</si>
  <si>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</si>
  <si>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</si>
  <si>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</si>
  <si>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</si>
  <si>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</si>
  <si>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</si>
  <si>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</si>
  <si>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</si>
  <si>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</si>
  <si>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</si>
  <si>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</si>
  <si>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</si>
  <si>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</si>
  <si>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</si>
  <si>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</si>
  <si>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</si>
  <si>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</si>
  <si>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</si>
  <si>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</si>
  <si>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</si>
  <si>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</si>
  <si>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</si>
  <si>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</si>
  <si>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</si>
  <si>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</si>
  <si>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</si>
  <si>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</si>
  <si>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</si>
  <si>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</si>
  <si>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</si>
  <si>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</si>
  <si>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</si>
  <si>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</si>
  <si>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</si>
  <si>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</si>
  <si>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</si>
  <si>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</si>
  <si>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</si>
  <si>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</si>
  <si>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</si>
  <si>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</si>
  <si>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</si>
  <si>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</si>
  <si>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</si>
  <si>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</si>
  <si>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</si>
  <si>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</si>
  <si>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</si>
  <si>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</si>
  <si>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</si>
  <si>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</si>
  <si>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</si>
  <si>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</si>
  <si>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</si>
  <si>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</si>
  <si>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</si>
  <si>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</si>
  <si>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</si>
  <si>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</si>
  <si>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</si>
  <si>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</si>
  <si>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</si>
  <si>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</si>
  <si>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</si>
  <si>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</si>
  <si>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</si>
  <si>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</si>
  <si>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</si>
  <si>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</si>
  <si>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</si>
  <si>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</si>
  <si>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</si>
  <si>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</si>
  <si>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</si>
  <si>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</si>
  <si>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</si>
  <si>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</si>
  <si>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</si>
  <si>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</si>
  <si>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</si>
  <si>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</si>
  <si>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</si>
  <si>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</si>
  <si>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</si>
  <si>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</si>
  <si>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</si>
  <si>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</si>
  <si>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</si>
  <si>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</si>
  <si>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</si>
  <si>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</si>
  <si>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</si>
  <si>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</si>
  <si>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</si>
  <si>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</si>
  <si>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</si>
  <si>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</si>
  <si>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</si>
  <si>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</si>
  <si>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</si>
  <si>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t>which is not inline with the confidence interval in step1. If this value is unsatisfactory, use confidence interval.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</si>
  <si>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C:\dev\da.research\personal\rxia\Alphas</t>
    </r>
    <r>
      <rPr>
        <sz val="10"/>
        <color theme="1"/>
        <rFont val="Arial"/>
        <family val="2"/>
      </rPr>
      <t>\{TICKER}</t>
    </r>
  </si>
  <si>
    <t>SILK</t>
  </si>
  <si>
    <t>TCAR</t>
  </si>
  <si>
    <t>NOT ENOUGH Data</t>
  </si>
  <si>
    <t>AVERAGE</t>
  </si>
  <si>
    <t>UNDERSHOOT AVG</t>
  </si>
  <si>
    <t>OVERSHOOT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</si>
</sst>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"/>
    <numFmt numFmtId="167" formatCode="0.00000"/>
  </numFmts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9C000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18" borderId="0" applyNumberFormat="0" applyBorder="0" applyAlignment="0" applyProtection="0"/>
  </cellStyleXfs>
  <cellXfs count="182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0" fillId="0" borderId="10" xfId="0" applyNumberFormat="1" applyBorder="1"/>
    <xf numFmtId="166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0" fillId="0" borderId="0" xfId="0" applyNumberFormat="1"/>
    <xf numFmtId="167" fontId="4" fillId="0" borderId="3" xfId="0" applyNumberFormat="1" applyFont="1" applyBorder="1"/>
    <xf numFmtId="167" fontId="2" fillId="0" borderId="3" xfId="0" applyNumberFormat="1" applyFont="1" applyBorder="1"/>
    <xf numFmtId="0" fontId="0" fillId="10" borderId="0" xfId="0" applyFill="1" applyAlignment="1"/>
    <xf numFmtId="0" fontId="0" fillId="10" borderId="0" xfId="0" applyFill="1"/>
    <xf numFmtId="10" fontId="2" fillId="0" borderId="5" xfId="1" applyNumberFormat="1" applyFont="1" applyBorder="1"/>
    <xf numFmtId="10" fontId="2" fillId="0" borderId="10" xfId="1" applyNumberFormat="1" applyFont="1" applyBorder="1"/>
    <xf numFmtId="164" fontId="0" fillId="10" borderId="0" xfId="0" applyNumberFormat="1" applyFill="1" applyAlignment="1"/>
    <xf numFmtId="164" fontId="0" fillId="9" borderId="0" xfId="0" applyNumberFormat="1" applyFill="1" applyAlignment="1"/>
    <xf numFmtId="164" fontId="0" fillId="8" borderId="0" xfId="0" applyNumberFormat="1" applyFill="1" applyAlignment="1"/>
    <xf numFmtId="164" fontId="0" fillId="16" borderId="0" xfId="0" applyNumberFormat="1" applyFill="1" applyAlignment="1"/>
    <xf numFmtId="164" fontId="0" fillId="2" borderId="0" xfId="0" applyNumberFormat="1" applyFill="1" applyAlignment="1"/>
    <xf numFmtId="164" fontId="0" fillId="12" borderId="0" xfId="0" applyNumberFormat="1" applyFill="1" applyAlignment="1"/>
    <xf numFmtId="0" fontId="10" fillId="18" borderId="0" xfId="2"/>
    <xf numFmtId="0" fontId="0" fillId="8" borderId="1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Z29"/>
  <sheetViews>
    <sheetView zoomScale="70" zoomScaleNormal="70" workbookViewId="0">
      <selection activeCell="Y25" sqref="Y25"/>
    </sheetView>
  </sheetViews>
  <sheetFormatPr defaultRowHeight="12.75" x14ac:dyDescent="0.2"/>
  <cols>
    <col min="1" max="1" width="17.85546875" bestFit="1" customWidth="1"/>
    <col min="2" max="23" width="10.7109375" customWidth="1"/>
    <col min="24" max="24" width="17.85546875" customWidth="1"/>
    <col min="25" max="26" width="10.7109375" customWidth="1"/>
  </cols>
  <sheetData>
    <row r="1" spans="1:25" x14ac:dyDescent="0.2">
      <c r="A1" s="117" t="s">
        <v>162</v>
      </c>
      <c r="B1" s="118"/>
      <c r="C1" s="119"/>
      <c r="G1" s="126" t="s">
        <v>35</v>
      </c>
      <c r="H1" s="127"/>
      <c r="I1" s="59" t="s">
        <v>31</v>
      </c>
      <c r="J1" s="59" t="s">
        <v>32</v>
      </c>
      <c r="K1" s="4" t="s">
        <v>39</v>
      </c>
      <c r="L1" s="128" t="s">
        <v>41</v>
      </c>
      <c r="M1" s="129"/>
    </row>
    <row r="2" spans="1:25" x14ac:dyDescent="0.2">
      <c r="A2" s="120"/>
      <c r="B2" s="121"/>
      <c r="C2" s="122"/>
      <c r="G2" s="57" t="s">
        <v>37</v>
      </c>
      <c r="H2" s="58"/>
      <c r="I2" s="60">
        <f>$B$7*($Y$25-2*$Y$26)</f>
        <v>20.919870930832246</v>
      </c>
      <c r="J2" s="60">
        <f>$B$7*($Y$25+2*$Y$26)</f>
        <v>31.280901269939953</v>
      </c>
      <c r="K2" s="62">
        <f>AVERAGE(I2:J2)</f>
        <v>26.1003861003861</v>
      </c>
      <c r="L2" s="130">
        <f>$K$2/T14-1</f>
        <v>0.298526671661</v>
      </c>
      <c r="M2" s="131"/>
    </row>
    <row r="3" spans="1:25" x14ac:dyDescent="0.2">
      <c r="A3" s="123"/>
      <c r="B3" s="124"/>
      <c r="C3" s="125"/>
      <c r="G3" s="43" t="s">
        <v>38</v>
      </c>
      <c r="H3" s="18"/>
      <c r="I3" s="61">
        <f>$C$7*($Y$25-2*$Y$26)</f>
        <v>21.925633956353028</v>
      </c>
      <c r="J3" s="61">
        <f>$C$7*($Y$25+2*$Y$26)</f>
        <v>32.784790754071679</v>
      </c>
      <c r="K3" s="63">
        <f>AVERAGE(I3:J3)</f>
        <v>27.355212355212352</v>
      </c>
      <c r="L3" s="132">
        <f>$K$3/T15-1</f>
        <v>0.36095583856777869</v>
      </c>
      <c r="M3" s="133"/>
    </row>
    <row r="4" spans="1:25" x14ac:dyDescent="0.2">
      <c r="A4" s="48"/>
      <c r="B4" s="48"/>
      <c r="C4" s="48"/>
      <c r="J4" s="4" t="s">
        <v>40</v>
      </c>
      <c r="K4" s="63">
        <f>AVERAGE(K2:K3)</f>
        <v>26.727799227799224</v>
      </c>
      <c r="L4" s="132">
        <f>$K$4/T15-1</f>
        <v>0.32974125511438923</v>
      </c>
      <c r="M4" s="133"/>
    </row>
    <row r="5" spans="1:25" x14ac:dyDescent="0.2">
      <c r="A5" s="56" t="s">
        <v>34</v>
      </c>
      <c r="B5" s="46" t="s">
        <v>31</v>
      </c>
      <c r="C5" s="47" t="s">
        <v>32</v>
      </c>
      <c r="D5" s="84"/>
      <c r="E5" s="84"/>
    </row>
    <row r="6" spans="1:25" ht="15.75" x14ac:dyDescent="0.25">
      <c r="A6" s="50" t="s">
        <v>33</v>
      </c>
      <c r="B6" s="54">
        <v>104</v>
      </c>
      <c r="C6" s="55">
        <v>109</v>
      </c>
    </row>
    <row r="7" spans="1:25" ht="14.25" x14ac:dyDescent="0.2">
      <c r="A7" s="51" t="s">
        <v>36</v>
      </c>
      <c r="B7" s="52">
        <f>B6*$Y$24</f>
        <v>104</v>
      </c>
      <c r="C7" s="53">
        <f>C6*$Y$24</f>
        <v>109</v>
      </c>
    </row>
    <row r="10" spans="1:25" x14ac:dyDescent="0.2">
      <c r="F10" s="116" t="s">
        <v>15</v>
      </c>
      <c r="G10" s="116"/>
      <c r="H10" s="33">
        <f>AVERAGE(F13:X13)</f>
        <v>1.7954367484406257</v>
      </c>
      <c r="U10" s="116" t="s">
        <v>16</v>
      </c>
      <c r="V10" s="116"/>
      <c r="W10" s="116"/>
      <c r="X10" s="77">
        <f>AVERAGE(S13:X13)</f>
        <v>1.2579992928594665</v>
      </c>
    </row>
    <row r="11" spans="1:25" x14ac:dyDescent="0.2">
      <c r="A11" s="49" t="s">
        <v>6</v>
      </c>
      <c r="B11" s="134">
        <v>2013</v>
      </c>
      <c r="C11" s="135"/>
      <c r="D11" s="135"/>
      <c r="E11" s="136"/>
      <c r="F11" s="151">
        <v>2017</v>
      </c>
      <c r="G11" s="152"/>
      <c r="H11" s="152"/>
      <c r="I11" s="153"/>
      <c r="J11" s="164">
        <v>2018</v>
      </c>
      <c r="K11" s="165"/>
      <c r="L11" s="165"/>
      <c r="M11" s="166"/>
      <c r="N11" s="154">
        <v>2019</v>
      </c>
      <c r="O11" s="155"/>
      <c r="P11" s="155"/>
      <c r="Q11" s="156"/>
      <c r="R11" s="157">
        <v>2020</v>
      </c>
      <c r="S11" s="158"/>
      <c r="T11" s="158"/>
      <c r="U11" s="159"/>
      <c r="V11" s="160">
        <v>2021</v>
      </c>
      <c r="W11" s="161"/>
      <c r="X11" s="161"/>
      <c r="Y11" s="162"/>
    </row>
    <row r="12" spans="1:25" x14ac:dyDescent="0.2">
      <c r="A12" s="13" t="s">
        <v>19</v>
      </c>
      <c r="B12" s="78" t="s">
        <v>20</v>
      </c>
      <c r="C12" s="79" t="s">
        <v>3</v>
      </c>
      <c r="D12" s="79" t="s">
        <v>4</v>
      </c>
      <c r="E12" s="80" t="s">
        <v>5</v>
      </c>
      <c r="F12" s="20" t="s">
        <v>20</v>
      </c>
      <c r="G12" s="21" t="s">
        <v>3</v>
      </c>
      <c r="H12" s="21" t="s">
        <v>4</v>
      </c>
      <c r="I12" s="21" t="s">
        <v>5</v>
      </c>
      <c r="J12" s="22" t="s">
        <v>20</v>
      </c>
      <c r="K12" s="23" t="s">
        <v>3</v>
      </c>
      <c r="L12" s="23" t="s">
        <v>4</v>
      </c>
      <c r="M12" s="23" t="s">
        <v>5</v>
      </c>
      <c r="N12" s="24" t="s">
        <v>20</v>
      </c>
      <c r="O12" s="25" t="s">
        <v>3</v>
      </c>
      <c r="P12" s="25" t="s">
        <v>4</v>
      </c>
      <c r="Q12" s="25" t="s">
        <v>5</v>
      </c>
      <c r="R12" s="26" t="s">
        <v>20</v>
      </c>
      <c r="S12" s="19" t="s">
        <v>3</v>
      </c>
      <c r="T12" s="19" t="s">
        <v>4</v>
      </c>
      <c r="U12" s="19" t="s">
        <v>5</v>
      </c>
      <c r="V12" s="35" t="s">
        <v>20</v>
      </c>
      <c r="W12" s="36" t="s">
        <v>3</v>
      </c>
      <c r="X12" s="37" t="s">
        <v>21</v>
      </c>
      <c r="Y12" s="27" t="s">
        <v>22</v>
      </c>
    </row>
    <row r="13" spans="1:25" x14ac:dyDescent="0.2">
      <c r="A13" s="32" t="s">
        <v>2</v>
      </c>
      <c r="B13" s="28"/>
      <c r="C13" s="28"/>
      <c r="D13" s="28"/>
      <c r="E13" s="28"/>
      <c r="F13" s="83"/>
      <c r="G13" s="83"/>
      <c r="H13" s="83"/>
      <c r="I13" s="83"/>
      <c r="J13" s="83">
        <f t="shared" ref="J13:W13" si="0">J15/F15</f>
        <v>3.3529411764705883</v>
      </c>
      <c r="K13" s="83">
        <f t="shared" si="0"/>
        <v>2.785714285714286</v>
      </c>
      <c r="L13" s="83">
        <f t="shared" si="0"/>
        <v>2.1333333333333333</v>
      </c>
      <c r="M13" s="83">
        <f t="shared" si="0"/>
        <v>2.0909090909090908</v>
      </c>
      <c r="N13" s="83">
        <f t="shared" si="0"/>
        <v>2.2456140350877192</v>
      </c>
      <c r="O13" s="83">
        <f t="shared" si="0"/>
        <v>1.9102564102564104</v>
      </c>
      <c r="P13" s="83">
        <f t="shared" si="0"/>
        <v>1.7708333333333335</v>
      </c>
      <c r="Q13" s="83">
        <f t="shared" si="0"/>
        <v>1.6173913043478263</v>
      </c>
      <c r="R13" s="83">
        <f t="shared" si="0"/>
        <v>1.4765624999999998</v>
      </c>
      <c r="S13" s="83">
        <f t="shared" si="0"/>
        <v>1.0134228187919463</v>
      </c>
      <c r="T13" s="83">
        <f t="shared" si="0"/>
        <v>1.1823529411764706</v>
      </c>
      <c r="U13" s="83">
        <f t="shared" si="0"/>
        <v>1.1344086021505375</v>
      </c>
      <c r="V13" s="83">
        <f t="shared" si="0"/>
        <v>1.1693121693121695</v>
      </c>
      <c r="W13" s="83">
        <f t="shared" si="0"/>
        <v>1.7549668874172186</v>
      </c>
      <c r="X13" s="83">
        <f>X14/T14</f>
        <v>1.2935323383084576</v>
      </c>
      <c r="Y13" s="29"/>
    </row>
    <row r="14" spans="1:25" x14ac:dyDescent="0.2">
      <c r="A14" s="14" t="s">
        <v>0</v>
      </c>
      <c r="B14" s="7"/>
      <c r="C14" s="7"/>
      <c r="D14" s="7"/>
      <c r="E14" s="7"/>
      <c r="F14" s="9">
        <v>1.7</v>
      </c>
      <c r="G14" s="6">
        <v>2.8</v>
      </c>
      <c r="H14" s="6">
        <v>4.5</v>
      </c>
      <c r="I14" s="6">
        <v>5.5</v>
      </c>
      <c r="J14" s="9">
        <v>5.7</v>
      </c>
      <c r="K14" s="6">
        <v>7.8</v>
      </c>
      <c r="L14" s="6">
        <v>9.6</v>
      </c>
      <c r="M14" s="6">
        <v>11.5</v>
      </c>
      <c r="N14" s="9">
        <v>12.8</v>
      </c>
      <c r="O14" s="6">
        <v>14.9</v>
      </c>
      <c r="P14" s="6">
        <v>17</v>
      </c>
      <c r="Q14" s="6">
        <v>18.600000000000001</v>
      </c>
      <c r="R14" s="9">
        <v>18.899999999999999</v>
      </c>
      <c r="S14" s="6">
        <v>15.1</v>
      </c>
      <c r="T14" s="6">
        <v>20.100000000000001</v>
      </c>
      <c r="U14" s="6">
        <v>21.1</v>
      </c>
      <c r="V14" s="6">
        <v>22.1</v>
      </c>
      <c r="W14" s="6">
        <v>26.5</v>
      </c>
      <c r="X14" s="6">
        <v>26</v>
      </c>
      <c r="Y14" s="6">
        <v>29</v>
      </c>
    </row>
    <row r="15" spans="1:25" x14ac:dyDescent="0.2">
      <c r="A15" s="14" t="s">
        <v>1</v>
      </c>
      <c r="B15" s="6"/>
      <c r="C15" s="6"/>
      <c r="D15" s="6"/>
      <c r="E15" s="6"/>
      <c r="F15" s="9">
        <v>1.7</v>
      </c>
      <c r="G15" s="6">
        <v>2.8</v>
      </c>
      <c r="H15" s="6">
        <v>4.5</v>
      </c>
      <c r="I15" s="6">
        <v>5.5</v>
      </c>
      <c r="J15" s="9">
        <v>5.7</v>
      </c>
      <c r="K15" s="6">
        <v>7.8</v>
      </c>
      <c r="L15" s="6">
        <v>9.6</v>
      </c>
      <c r="M15" s="6">
        <v>11.5</v>
      </c>
      <c r="N15" s="9">
        <v>12.8</v>
      </c>
      <c r="O15" s="6">
        <v>14.9</v>
      </c>
      <c r="P15" s="6">
        <v>17</v>
      </c>
      <c r="Q15" s="6">
        <v>18.600000000000001</v>
      </c>
      <c r="R15" s="9">
        <v>18.899999999999999</v>
      </c>
      <c r="S15" s="6">
        <v>15.1</v>
      </c>
      <c r="T15" s="6">
        <v>20.100000000000001</v>
      </c>
      <c r="U15" s="6">
        <v>21.1</v>
      </c>
      <c r="V15" s="9">
        <v>22.1</v>
      </c>
      <c r="W15" s="6">
        <v>26.5</v>
      </c>
      <c r="X15" s="9"/>
      <c r="Y15" s="10"/>
    </row>
    <row r="16" spans="1:25" x14ac:dyDescent="0.2">
      <c r="A16" s="14" t="s">
        <v>151</v>
      </c>
      <c r="B16" s="9"/>
      <c r="C16" s="6"/>
      <c r="D16" s="6"/>
      <c r="E16" s="10"/>
      <c r="F16" s="9">
        <v>1.7</v>
      </c>
      <c r="G16" s="6">
        <v>2.8</v>
      </c>
      <c r="H16" s="6">
        <v>4.5</v>
      </c>
      <c r="I16" s="6">
        <v>5.5</v>
      </c>
      <c r="J16" s="9">
        <v>5.7</v>
      </c>
      <c r="K16" s="6">
        <v>7.8</v>
      </c>
      <c r="L16" s="6">
        <v>9.6</v>
      </c>
      <c r="M16" s="6">
        <v>11.5</v>
      </c>
      <c r="N16" s="9">
        <v>12.8</v>
      </c>
      <c r="O16" s="6">
        <v>14.9</v>
      </c>
      <c r="P16" s="6">
        <v>17</v>
      </c>
      <c r="Q16" s="6">
        <v>18.600000000000001</v>
      </c>
      <c r="R16" s="9">
        <v>18.899999999999999</v>
      </c>
      <c r="S16" s="6">
        <v>15.1</v>
      </c>
      <c r="T16" s="6">
        <v>20.100000000000001</v>
      </c>
      <c r="U16" s="6">
        <v>21.1</v>
      </c>
      <c r="V16" s="9">
        <v>22.1</v>
      </c>
      <c r="W16" s="6">
        <v>26.5</v>
      </c>
      <c r="X16" s="6">
        <v>26</v>
      </c>
      <c r="Y16" s="10">
        <v>29</v>
      </c>
    </row>
    <row r="17" spans="1:26" x14ac:dyDescent="0.2">
      <c r="A17" s="85" t="s">
        <v>18</v>
      </c>
      <c r="B17" s="86"/>
      <c r="C17" s="86"/>
      <c r="D17" s="86"/>
      <c r="E17" s="86"/>
      <c r="F17" s="86">
        <f t="shared" ref="F17:W17" si="1">F15/F16</f>
        <v>1</v>
      </c>
      <c r="G17" s="86">
        <f t="shared" si="1"/>
        <v>1</v>
      </c>
      <c r="H17" s="86">
        <f t="shared" si="1"/>
        <v>1</v>
      </c>
      <c r="I17" s="86">
        <f t="shared" si="1"/>
        <v>1</v>
      </c>
      <c r="J17" s="86">
        <f t="shared" si="1"/>
        <v>1</v>
      </c>
      <c r="K17" s="86">
        <f t="shared" si="1"/>
        <v>1</v>
      </c>
      <c r="L17" s="86">
        <f t="shared" si="1"/>
        <v>1</v>
      </c>
      <c r="M17" s="86">
        <f t="shared" si="1"/>
        <v>1</v>
      </c>
      <c r="N17" s="86">
        <f t="shared" si="1"/>
        <v>1</v>
      </c>
      <c r="O17" s="86">
        <f t="shared" si="1"/>
        <v>1</v>
      </c>
      <c r="P17" s="86">
        <f t="shared" si="1"/>
        <v>1</v>
      </c>
      <c r="Q17" s="86">
        <f t="shared" si="1"/>
        <v>1</v>
      </c>
      <c r="R17" s="86">
        <f t="shared" si="1"/>
        <v>1</v>
      </c>
      <c r="S17" s="86">
        <f t="shared" si="1"/>
        <v>1</v>
      </c>
      <c r="T17" s="86">
        <f t="shared" si="1"/>
        <v>1</v>
      </c>
      <c r="U17" s="86">
        <f t="shared" si="1"/>
        <v>1</v>
      </c>
      <c r="V17" s="86">
        <f t="shared" si="1"/>
        <v>1</v>
      </c>
      <c r="W17" s="86">
        <f t="shared" si="1"/>
        <v>1</v>
      </c>
      <c r="X17" s="87">
        <f>X14/X16</f>
        <v>1</v>
      </c>
      <c r="Y17" s="88"/>
    </row>
    <row r="18" spans="1:26" x14ac:dyDescent="0.2">
      <c r="A18" s="85" t="s">
        <v>24</v>
      </c>
      <c r="B18" s="86"/>
      <c r="C18" s="86"/>
      <c r="D18" s="86"/>
      <c r="E18" s="89"/>
      <c r="F18" s="86">
        <f>F15/SUM(F15:I15)</f>
        <v>0.11724137931034483</v>
      </c>
      <c r="G18" s="86">
        <f>G15/SUM(F15:I15)</f>
        <v>0.19310344827586207</v>
      </c>
      <c r="H18" s="86">
        <f>H15/SUM(F15:I15)</f>
        <v>0.31034482758620691</v>
      </c>
      <c r="I18" s="89">
        <f>I15/SUM(F15:I15)</f>
        <v>0.37931034482758619</v>
      </c>
      <c r="J18" s="86">
        <f>J15/SUM(J15:M15)</f>
        <v>0.16473988439306358</v>
      </c>
      <c r="K18" s="86">
        <f>K15/SUM(J15:M15)</f>
        <v>0.22543352601156069</v>
      </c>
      <c r="L18" s="86">
        <f>L15/SUM(J15:M15)</f>
        <v>0.2774566473988439</v>
      </c>
      <c r="M18" s="89">
        <f>M15/SUM(J15:M15)</f>
        <v>0.33236994219653176</v>
      </c>
      <c r="N18" s="86">
        <f>N15/SUM(N15:Q15)</f>
        <v>0.20221169036334913</v>
      </c>
      <c r="O18" s="86">
        <f>O15/SUM(N15:Q15)</f>
        <v>0.23538704581358608</v>
      </c>
      <c r="P18" s="86">
        <f>P15/SUM(N15:Q15)</f>
        <v>0.26856240126382303</v>
      </c>
      <c r="Q18" s="89">
        <f>Q15/SUM(N15:Q15)</f>
        <v>0.29383886255924169</v>
      </c>
      <c r="R18" s="86"/>
      <c r="S18" s="86"/>
      <c r="T18" s="86"/>
      <c r="U18" s="89"/>
      <c r="V18" s="86">
        <f>V15/SUM(V15:W15,X14:Y14)</f>
        <v>0.21332046332046334</v>
      </c>
      <c r="W18" s="86">
        <f>W15/SUM(V15:W15,X14:Y14)</f>
        <v>0.25579150579150578</v>
      </c>
      <c r="X18" s="86">
        <f>X14/SUM(V15:W15,X14:Y14)</f>
        <v>0.25096525096525096</v>
      </c>
      <c r="Y18" s="89">
        <f>Y14/SUM(V15:W15,X14:Y14)</f>
        <v>0.27992277992277992</v>
      </c>
      <c r="Z18" s="3"/>
    </row>
    <row r="19" spans="1:26" x14ac:dyDescent="0.2">
      <c r="A19" s="15" t="s">
        <v>17</v>
      </c>
      <c r="B19" s="11"/>
      <c r="C19" s="11"/>
      <c r="D19" s="11"/>
      <c r="E19" s="11"/>
      <c r="F19" s="81"/>
      <c r="G19" s="81"/>
      <c r="H19" s="81"/>
      <c r="I19" s="81"/>
      <c r="J19" s="81"/>
      <c r="K19" s="61"/>
      <c r="L19" s="61"/>
      <c r="M19" s="61"/>
      <c r="N19" s="81"/>
      <c r="O19" s="61"/>
      <c r="P19" s="61">
        <v>15.9</v>
      </c>
      <c r="Q19" s="61">
        <v>17.899999999999999</v>
      </c>
      <c r="R19" s="81">
        <v>17.5</v>
      </c>
      <c r="S19" s="61">
        <v>9.3000000000000007</v>
      </c>
      <c r="T19" s="61">
        <v>20.6</v>
      </c>
      <c r="U19" s="61">
        <v>21.4</v>
      </c>
      <c r="V19" s="81">
        <v>21.3</v>
      </c>
      <c r="W19" s="61">
        <v>25.4</v>
      </c>
      <c r="X19" s="82"/>
      <c r="Y19" s="12"/>
    </row>
    <row r="20" spans="1:26" x14ac:dyDescent="0.2">
      <c r="H20" s="7"/>
      <c r="I20" s="7"/>
      <c r="J20" s="7"/>
      <c r="K20" s="7"/>
      <c r="L20" s="7"/>
      <c r="M20" s="7"/>
      <c r="N20" s="146" t="s">
        <v>7</v>
      </c>
      <c r="O20" s="163"/>
      <c r="P20" s="7">
        <f t="shared" ref="P20:W20" si="2">IF(P15&gt;P19,1,0)</f>
        <v>1</v>
      </c>
      <c r="Q20" s="7">
        <f t="shared" si="2"/>
        <v>1</v>
      </c>
      <c r="R20" s="7">
        <f t="shared" si="2"/>
        <v>1</v>
      </c>
      <c r="S20" s="7">
        <f t="shared" si="2"/>
        <v>1</v>
      </c>
      <c r="T20" s="7">
        <f t="shared" si="2"/>
        <v>0</v>
      </c>
      <c r="U20" s="7">
        <f t="shared" si="2"/>
        <v>0</v>
      </c>
      <c r="V20" s="7">
        <f t="shared" si="2"/>
        <v>1</v>
      </c>
      <c r="W20" s="8">
        <f t="shared" si="2"/>
        <v>1</v>
      </c>
      <c r="X20" s="43" t="s">
        <v>8</v>
      </c>
      <c r="Y20" s="40">
        <f>AVERAGE(P20:W20)</f>
        <v>0.75</v>
      </c>
    </row>
    <row r="21" spans="1:26" x14ac:dyDescent="0.2">
      <c r="H21" s="6"/>
      <c r="I21" s="6"/>
      <c r="J21" s="6"/>
      <c r="K21" s="6"/>
      <c r="L21" s="6"/>
      <c r="M21" s="6"/>
      <c r="N21" s="137" t="s">
        <v>9</v>
      </c>
      <c r="O21" s="138"/>
      <c r="P21" s="6"/>
      <c r="Q21" s="6"/>
      <c r="R21" s="6"/>
      <c r="S21" s="6">
        <f t="shared" ref="S21:W21" si="3">AVERAGE(P20:S20)</f>
        <v>1</v>
      </c>
      <c r="T21" s="6">
        <f t="shared" si="3"/>
        <v>0.75</v>
      </c>
      <c r="U21" s="6">
        <f t="shared" si="3"/>
        <v>0.5</v>
      </c>
      <c r="V21" s="6">
        <f>AVERAGE(S20:V20)</f>
        <v>0.5</v>
      </c>
      <c r="W21" s="10">
        <f t="shared" si="3"/>
        <v>0.5</v>
      </c>
      <c r="X21" s="39" t="s">
        <v>10</v>
      </c>
      <c r="Y21" s="40">
        <f>AVERAGE(S21:W21)</f>
        <v>0.65</v>
      </c>
    </row>
    <row r="22" spans="1:26" x14ac:dyDescent="0.2">
      <c r="H22" s="17"/>
      <c r="I22" s="17"/>
      <c r="J22" s="17"/>
      <c r="K22" s="17"/>
      <c r="L22" s="17"/>
      <c r="M22" s="17"/>
      <c r="N22" s="149" t="s">
        <v>11</v>
      </c>
      <c r="O22" s="150"/>
      <c r="P22" s="17">
        <f t="shared" ref="P22:W22" si="4">P15/P19-1</f>
        <v>6.9182389937106903E-2</v>
      </c>
      <c r="Q22" s="17">
        <f t="shared" si="4"/>
        <v>3.9106145251396773E-2</v>
      </c>
      <c r="R22" s="17">
        <f t="shared" si="4"/>
        <v>7.9999999999999849E-2</v>
      </c>
      <c r="S22" s="17">
        <f t="shared" si="4"/>
        <v>0.62365591397849451</v>
      </c>
      <c r="T22" s="17">
        <f t="shared" si="4"/>
        <v>-2.4271844660194164E-2</v>
      </c>
      <c r="U22" s="17">
        <f t="shared" si="4"/>
        <v>-1.4018691588784882E-2</v>
      </c>
      <c r="V22" s="17">
        <f t="shared" si="4"/>
        <v>3.7558685446009488E-2</v>
      </c>
      <c r="W22" s="38">
        <f t="shared" si="4"/>
        <v>4.3307086614173373E-2</v>
      </c>
      <c r="X22" s="39" t="s">
        <v>13</v>
      </c>
      <c r="Y22" s="41">
        <f>AVERAGE(P22:W22)</f>
        <v>0.10681496062227523</v>
      </c>
    </row>
    <row r="23" spans="1:26" x14ac:dyDescent="0.2">
      <c r="H23" s="30"/>
      <c r="I23" s="30"/>
      <c r="J23" s="30"/>
      <c r="K23" s="30"/>
      <c r="L23" s="30"/>
      <c r="M23" s="30"/>
      <c r="N23" s="137" t="s">
        <v>12</v>
      </c>
      <c r="O23" s="138"/>
      <c r="P23" s="30"/>
      <c r="Q23" s="30"/>
      <c r="R23" s="30"/>
      <c r="S23" s="30">
        <f t="shared" ref="S23:W23" si="5">AVERAGE(P22:S22)</f>
        <v>0.20298611229174951</v>
      </c>
      <c r="T23" s="30">
        <f t="shared" si="5"/>
        <v>0.17962255364242424</v>
      </c>
      <c r="U23" s="30">
        <f t="shared" si="5"/>
        <v>0.16634134443237883</v>
      </c>
      <c r="V23" s="30">
        <f t="shared" si="5"/>
        <v>0.15573101579388124</v>
      </c>
      <c r="W23" s="31">
        <f t="shared" si="5"/>
        <v>1.0643808952800954E-2</v>
      </c>
      <c r="X23" s="18" t="s">
        <v>14</v>
      </c>
      <c r="Y23" s="31">
        <f>AVERAGE(S23:W23)</f>
        <v>0.14306496702264695</v>
      </c>
    </row>
    <row r="24" spans="1:26" x14ac:dyDescent="0.2">
      <c r="N24" s="146" t="s">
        <v>25</v>
      </c>
      <c r="O24" s="163"/>
      <c r="P24" s="99">
        <f>AVERAGE(P22:S22,V22:W22)</f>
        <v>0.14880170353786348</v>
      </c>
      <c r="Q24" s="146" t="s">
        <v>29</v>
      </c>
      <c r="R24" s="147"/>
      <c r="S24" s="44">
        <f>MEDIAN(P22:S22,V22:W22)</f>
        <v>5.6244738275640138E-2</v>
      </c>
      <c r="T24" s="3"/>
      <c r="U24" s="139" t="s">
        <v>23</v>
      </c>
      <c r="V24" s="140"/>
      <c r="W24" s="140"/>
      <c r="X24" s="141"/>
      <c r="Y24" s="42">
        <f>AVERAGE(T17:X17)</f>
        <v>1</v>
      </c>
    </row>
    <row r="25" spans="1:26" x14ac:dyDescent="0.2">
      <c r="N25" s="114" t="s">
        <v>26</v>
      </c>
      <c r="O25" s="115"/>
      <c r="P25" s="98">
        <f>AVERAGE(T22:U22)</f>
        <v>-1.9145268124489523E-2</v>
      </c>
      <c r="Q25" s="114" t="s">
        <v>30</v>
      </c>
      <c r="R25" s="148"/>
      <c r="S25" s="31">
        <f>MEDIAN(T22:U22)</f>
        <v>-1.9145268124489523E-2</v>
      </c>
      <c r="U25" s="142" t="s">
        <v>27</v>
      </c>
      <c r="V25" s="143"/>
      <c r="W25" s="143"/>
      <c r="X25" s="143"/>
      <c r="Y25" s="44">
        <f>X18</f>
        <v>0.25096525096525096</v>
      </c>
    </row>
    <row r="26" spans="1:26" x14ac:dyDescent="0.2">
      <c r="U26" s="144" t="s">
        <v>28</v>
      </c>
      <c r="V26" s="145"/>
      <c r="W26" s="145"/>
      <c r="X26" s="145"/>
      <c r="Y26" s="45">
        <f>_xlfn.STDEV.S(X18,P18,H18,L18)</f>
        <v>2.4906322930547377E-2</v>
      </c>
    </row>
    <row r="29" spans="1:26" ht="18" customHeight="1" x14ac:dyDescent="0.2"/>
  </sheetData>
  <mergeCells count="25">
    <mergeCell ref="U26:X26"/>
    <mergeCell ref="Q24:R24"/>
    <mergeCell ref="Q25:R25"/>
    <mergeCell ref="N22:O22"/>
    <mergeCell ref="F11:I11"/>
    <mergeCell ref="N11:Q11"/>
    <mergeCell ref="R11:U11"/>
    <mergeCell ref="V11:Y11"/>
    <mergeCell ref="N20:O20"/>
    <mergeCell ref="N21:O21"/>
    <mergeCell ref="J11:M11"/>
    <mergeCell ref="N24:O24"/>
    <mergeCell ref="N25:O25"/>
    <mergeCell ref="F10:G10"/>
    <mergeCell ref="U10:W10"/>
    <mergeCell ref="A1:C3"/>
    <mergeCell ref="G1:H1"/>
    <mergeCell ref="L1:M1"/>
    <mergeCell ref="L2:M2"/>
    <mergeCell ref="L3:M3"/>
    <mergeCell ref="L4:M4"/>
    <mergeCell ref="B11:E11"/>
    <mergeCell ref="N23:O23"/>
    <mergeCell ref="U24:X24"/>
    <mergeCell ref="U25:X25"/>
  </mergeCells>
  <conditionalFormatting sqref="H20:M20 P20:W20 Y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1:M21 P21:W21 Y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:M22 P22:W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H23:M23 P23:W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Y22:Y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Y20:Y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Y20:Y21 Y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H22:M22 P22:W22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H23:M23 P23:W23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Y22:Y23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Y20:Y21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Y20:Y21 Y24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34"/>
  <sheetViews>
    <sheetView tabSelected="1" zoomScale="85" zoomScaleNormal="85" workbookViewId="0">
      <selection activeCell="H32" sqref="H32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74</v>
      </c>
      <c r="B1" t="s">
        <v>75</v>
      </c>
    </row>
    <row r="4" spans="1:21" x14ac:dyDescent="0.2">
      <c r="A4" s="169" t="s">
        <v>70</v>
      </c>
      <c r="B4" s="169"/>
      <c r="T4" s="68" t="s">
        <v>159</v>
      </c>
    </row>
    <row r="5" spans="1:21" x14ac:dyDescent="0.2">
      <c r="A5" s="16" t="s">
        <v>50</v>
      </c>
      <c r="B5" s="16" t="s">
        <v>51</v>
      </c>
      <c r="C5" s="16" t="s">
        <v>62</v>
      </c>
      <c r="D5" s="16" t="s">
        <v>52</v>
      </c>
      <c r="E5" s="16" t="s">
        <v>53</v>
      </c>
      <c r="F5" s="16" t="s">
        <v>63</v>
      </c>
      <c r="G5" s="16" t="s">
        <v>54</v>
      </c>
      <c r="H5" s="16" t="s">
        <v>55</v>
      </c>
      <c r="I5" s="16" t="s">
        <v>64</v>
      </c>
      <c r="J5" s="16" t="s">
        <v>56</v>
      </c>
      <c r="K5" s="16" t="s">
        <v>57</v>
      </c>
      <c r="L5" s="16" t="s">
        <v>67</v>
      </c>
      <c r="M5" s="16" t="s">
        <v>58</v>
      </c>
      <c r="N5" s="16" t="s">
        <v>59</v>
      </c>
      <c r="O5" s="16" t="s">
        <v>68</v>
      </c>
      <c r="P5" s="16" t="s">
        <v>60</v>
      </c>
      <c r="Q5" s="16" t="s">
        <v>61</v>
      </c>
      <c r="R5" s="16" t="s">
        <v>0</v>
      </c>
      <c r="S5" s="16" t="s">
        <v>66</v>
      </c>
      <c r="T5" s="34" t="s">
        <v>0</v>
      </c>
      <c r="U5" s="34" t="s">
        <v>66</v>
      </c>
    </row>
    <row r="6" spans="1:21" x14ac:dyDescent="0.2">
      <c r="A6" t="s">
        <v>162</v>
      </c>
      <c r="B6" t="s">
        <v>163</v>
      </c>
      <c r="C6" t="s">
        <v>42</v>
      </c>
      <c r="D6">
        <v>20191024</v>
      </c>
      <c r="E6">
        <v>16.900822999999999</v>
      </c>
      <c r="F6">
        <v>16.782387</v>
      </c>
      <c r="G6">
        <v>16.555177</v>
      </c>
      <c r="H6">
        <v>17.315594999999998</v>
      </c>
      <c r="I6">
        <v>16.160437999999999</v>
      </c>
      <c r="J6">
        <v>16.742884</v>
      </c>
      <c r="R6">
        <v>15.9</v>
      </c>
      <c r="S6">
        <v>17</v>
      </c>
      <c r="T6" s="91"/>
      <c r="U6" s="90"/>
    </row>
    <row r="7" spans="1:21" x14ac:dyDescent="0.2">
      <c r="A7" t="s">
        <v>162</v>
      </c>
      <c r="B7" t="s">
        <v>163</v>
      </c>
      <c r="C7" t="s">
        <v>43</v>
      </c>
      <c r="D7">
        <v>20200220</v>
      </c>
      <c r="E7">
        <v>19.843817000000001</v>
      </c>
      <c r="F7">
        <v>19.583392</v>
      </c>
      <c r="G7">
        <v>20.958819999999999</v>
      </c>
      <c r="H7">
        <v>19.597702000000002</v>
      </c>
      <c r="I7">
        <v>18.779057000000002</v>
      </c>
      <c r="J7">
        <v>19.752557599999999</v>
      </c>
      <c r="K7">
        <v>19.960264006078287</v>
      </c>
      <c r="L7">
        <v>19.837324928807806</v>
      </c>
      <c r="M7">
        <v>21.521965002246727</v>
      </c>
      <c r="N7">
        <v>19.24051319056608</v>
      </c>
      <c r="O7">
        <v>19.754660671944659</v>
      </c>
      <c r="P7">
        <v>20.055892354029332</v>
      </c>
      <c r="Q7">
        <v>20.061770025612148</v>
      </c>
      <c r="R7">
        <v>17.899999999999999</v>
      </c>
      <c r="S7">
        <v>18.600000000000001</v>
      </c>
      <c r="T7" s="91"/>
      <c r="U7" s="90"/>
    </row>
    <row r="8" spans="1:21" x14ac:dyDescent="0.2">
      <c r="A8" t="s">
        <v>162</v>
      </c>
      <c r="B8" t="s">
        <v>163</v>
      </c>
      <c r="C8" t="s">
        <v>44</v>
      </c>
      <c r="D8">
        <v>20200423</v>
      </c>
      <c r="E8">
        <v>20.597491999999999</v>
      </c>
      <c r="F8">
        <v>20.696604000000001</v>
      </c>
      <c r="G8">
        <v>20.977809000000001</v>
      </c>
      <c r="H8">
        <v>20.533594000000001</v>
      </c>
      <c r="I8">
        <v>21.185939000000001</v>
      </c>
      <c r="J8">
        <v>20.798287600000002</v>
      </c>
      <c r="K8">
        <v>19.306434402212034</v>
      </c>
      <c r="L8">
        <v>19.657311378948041</v>
      </c>
      <c r="M8">
        <v>18.616851874294451</v>
      </c>
      <c r="N8">
        <v>19.488246550539447</v>
      </c>
      <c r="O8">
        <v>20.983932547837735</v>
      </c>
      <c r="P8">
        <v>19.584711873463924</v>
      </c>
      <c r="Q8">
        <v>19.60624810454927</v>
      </c>
      <c r="R8">
        <v>17.5</v>
      </c>
      <c r="S8">
        <v>18.899999999999999</v>
      </c>
      <c r="T8" s="9"/>
      <c r="U8" s="60"/>
    </row>
    <row r="9" spans="1:21" x14ac:dyDescent="0.2">
      <c r="A9" t="s">
        <v>162</v>
      </c>
      <c r="B9" t="s">
        <v>163</v>
      </c>
      <c r="C9" t="s">
        <v>45</v>
      </c>
      <c r="D9">
        <v>20200730</v>
      </c>
      <c r="E9">
        <v>18.153939000000001</v>
      </c>
      <c r="F9">
        <v>17.941376000000002</v>
      </c>
      <c r="G9">
        <v>13.935155</v>
      </c>
      <c r="H9">
        <v>17.822455000000001</v>
      </c>
      <c r="I9">
        <v>18.825959999999998</v>
      </c>
      <c r="J9">
        <v>17.335777</v>
      </c>
      <c r="K9">
        <v>16.657826452851641</v>
      </c>
      <c r="L9">
        <v>16.383944264479332</v>
      </c>
      <c r="M9">
        <v>12.554906449000462</v>
      </c>
      <c r="N9">
        <v>16.404551463323955</v>
      </c>
      <c r="O9">
        <v>16.794660080914984</v>
      </c>
      <c r="P9">
        <v>15.753517385729388</v>
      </c>
      <c r="Q9">
        <v>15.758234349383295</v>
      </c>
      <c r="R9">
        <v>9.3000000000000007</v>
      </c>
      <c r="S9">
        <v>15.1</v>
      </c>
      <c r="T9" s="9"/>
      <c r="U9" s="60"/>
    </row>
    <row r="10" spans="1:21" x14ac:dyDescent="0.2">
      <c r="A10" t="s">
        <v>162</v>
      </c>
      <c r="B10" t="s">
        <v>163</v>
      </c>
      <c r="C10" t="s">
        <v>46</v>
      </c>
      <c r="D10">
        <v>20201105</v>
      </c>
      <c r="E10">
        <v>20.023865000000001</v>
      </c>
      <c r="F10">
        <v>20.134796000000001</v>
      </c>
      <c r="G10">
        <v>20.327735000000001</v>
      </c>
      <c r="H10">
        <v>19.405052000000001</v>
      </c>
      <c r="I10">
        <v>21.446275</v>
      </c>
      <c r="J10">
        <v>20.267544600000001</v>
      </c>
      <c r="K10">
        <v>16.655358459670925</v>
      </c>
      <c r="L10">
        <v>16.946048040016549</v>
      </c>
      <c r="M10">
        <v>22.026938236424353</v>
      </c>
      <c r="N10">
        <v>16.440848648516717</v>
      </c>
      <c r="O10">
        <v>17.201712555428781</v>
      </c>
      <c r="P10">
        <v>17.653660603732963</v>
      </c>
      <c r="Q10">
        <v>17.820761090631716</v>
      </c>
      <c r="R10">
        <v>20.6</v>
      </c>
      <c r="S10">
        <v>20.100000000000001</v>
      </c>
      <c r="T10" s="9"/>
      <c r="U10" s="60"/>
    </row>
    <row r="11" spans="1:21" x14ac:dyDescent="0.2">
      <c r="A11" t="s">
        <v>162</v>
      </c>
      <c r="B11" t="s">
        <v>163</v>
      </c>
      <c r="C11" t="s">
        <v>47</v>
      </c>
      <c r="D11">
        <v>20210218</v>
      </c>
      <c r="E11">
        <v>20.579595999999999</v>
      </c>
      <c r="F11">
        <v>20.734994</v>
      </c>
      <c r="G11">
        <v>21.447908000000002</v>
      </c>
      <c r="H11">
        <v>21.337337999999999</v>
      </c>
      <c r="I11">
        <v>23.498033</v>
      </c>
      <c r="J11">
        <v>21.5195738</v>
      </c>
      <c r="K11">
        <v>20.657844007637884</v>
      </c>
      <c r="L11">
        <v>20.699160766267511</v>
      </c>
      <c r="M11">
        <v>21.207623515359682</v>
      </c>
      <c r="N11">
        <v>22.10148644796211</v>
      </c>
      <c r="O11">
        <v>22.022960318283712</v>
      </c>
      <c r="P11">
        <v>21.341679118841064</v>
      </c>
      <c r="Q11">
        <v>21.338459029058658</v>
      </c>
      <c r="R11">
        <v>21.4</v>
      </c>
      <c r="S11">
        <v>21.1</v>
      </c>
      <c r="T11" s="9"/>
      <c r="U11" s="60"/>
    </row>
    <row r="12" spans="1:21" x14ac:dyDescent="0.2">
      <c r="A12" t="s">
        <v>162</v>
      </c>
      <c r="B12" t="s">
        <v>163</v>
      </c>
      <c r="C12" t="s">
        <v>48</v>
      </c>
      <c r="D12">
        <v>20210429</v>
      </c>
      <c r="E12">
        <v>24.958199</v>
      </c>
      <c r="F12">
        <v>24.724802</v>
      </c>
      <c r="G12">
        <v>23.166477</v>
      </c>
      <c r="H12">
        <v>23.962273</v>
      </c>
      <c r="I12">
        <v>26.127082000000001</v>
      </c>
      <c r="J12">
        <v>24.587766600000002</v>
      </c>
      <c r="K12">
        <v>25.589326384249723</v>
      </c>
      <c r="L12">
        <v>25.160042110453468</v>
      </c>
      <c r="M12">
        <v>22.790691973315067</v>
      </c>
      <c r="N12">
        <v>23.695737504837766</v>
      </c>
      <c r="O12">
        <v>23.460747978352064</v>
      </c>
      <c r="P12">
        <v>24.108371294044868</v>
      </c>
      <c r="Q12">
        <v>24.134152874208823</v>
      </c>
      <c r="R12">
        <v>21.3</v>
      </c>
      <c r="S12">
        <v>22.1</v>
      </c>
      <c r="T12" s="9"/>
      <c r="U12" s="60"/>
    </row>
    <row r="13" spans="1:21" x14ac:dyDescent="0.2">
      <c r="A13" t="s">
        <v>162</v>
      </c>
      <c r="B13" t="s">
        <v>163</v>
      </c>
      <c r="C13" t="s">
        <v>49</v>
      </c>
      <c r="D13">
        <v>20210722</v>
      </c>
      <c r="E13">
        <v>25.647069999999999</v>
      </c>
      <c r="F13">
        <v>25.023031</v>
      </c>
      <c r="G13">
        <v>24.808458999999999</v>
      </c>
      <c r="H13">
        <v>24.401357000000001</v>
      </c>
      <c r="I13">
        <v>25.357600000000001</v>
      </c>
      <c r="J13">
        <v>25.047503400000004</v>
      </c>
      <c r="K13">
        <v>22.709981878099459</v>
      </c>
      <c r="L13">
        <v>22.366568804069697</v>
      </c>
      <c r="M13">
        <v>23.666392775215673</v>
      </c>
      <c r="N13">
        <v>22.504959763207772</v>
      </c>
      <c r="O13">
        <v>21.449121643205316</v>
      </c>
      <c r="P13">
        <v>22.513221072303494</v>
      </c>
      <c r="Q13">
        <v>22.535040989350236</v>
      </c>
      <c r="R13">
        <v>25.4</v>
      </c>
      <c r="S13">
        <v>26.5</v>
      </c>
      <c r="T13" s="9"/>
      <c r="U13" s="60"/>
    </row>
    <row r="14" spans="1:21" x14ac:dyDescent="0.2">
      <c r="A14" t="s">
        <v>162</v>
      </c>
      <c r="B14" t="s">
        <v>163</v>
      </c>
      <c r="C14" t="s">
        <v>65</v>
      </c>
      <c r="D14" s="11">
        <v>20211104</v>
      </c>
      <c r="E14">
        <v>29.752998000000002</v>
      </c>
      <c r="F14">
        <v>28.390920000000001</v>
      </c>
      <c r="G14">
        <v>25.776468999999999</v>
      </c>
      <c r="H14">
        <v>27.832598000000001</v>
      </c>
      <c r="I14">
        <v>27.615397000000002</v>
      </c>
      <c r="J14">
        <f>AVERAGE(E14:I14)</f>
        <v>27.873676400000001</v>
      </c>
      <c r="K14" s="92">
        <f>(E14/E13)*$S13</f>
        <v>30.742476509012533</v>
      </c>
      <c r="L14" s="92">
        <f t="shared" ref="L14:P14" si="0">(F14/F13)*$S13</f>
        <v>30.066676574872165</v>
      </c>
      <c r="M14" s="92">
        <f t="shared" si="0"/>
        <v>27.534012834090181</v>
      </c>
      <c r="N14" s="92">
        <f t="shared" si="0"/>
        <v>30.22634548562197</v>
      </c>
      <c r="O14" s="92">
        <f t="shared" si="0"/>
        <v>28.859514327065654</v>
      </c>
      <c r="P14" s="92">
        <f t="shared" si="0"/>
        <v>29.490061855825516</v>
      </c>
      <c r="Q14" s="92">
        <f>AVERAGE(K14:P14)</f>
        <v>29.486514597747998</v>
      </c>
      <c r="R14" s="6">
        <f>'1. Data &amp; Confidence Interval'!X14</f>
        <v>26</v>
      </c>
      <c r="S14" s="10"/>
    </row>
    <row r="15" spans="1:21" x14ac:dyDescent="0.2">
      <c r="A15" s="167" t="s">
        <v>69</v>
      </c>
      <c r="B15" s="168"/>
      <c r="C15" s="168"/>
      <c r="D15" s="168"/>
      <c r="E15" s="101">
        <f t="shared" ref="E15:R15" si="1">CORREL(E$7:E$13,$S$7:$S$13)</f>
        <v>0.89858569273443456</v>
      </c>
      <c r="F15" s="101">
        <f t="shared" si="1"/>
        <v>0.90185359820015853</v>
      </c>
      <c r="G15" s="102">
        <f t="shared" si="1"/>
        <v>0.90359997819325644</v>
      </c>
      <c r="H15" s="101">
        <f t="shared" si="1"/>
        <v>0.90989016342499862</v>
      </c>
      <c r="I15" s="101">
        <f t="shared" si="1"/>
        <v>0.84895504028156987</v>
      </c>
      <c r="J15" s="102">
        <f t="shared" si="1"/>
        <v>0.93220078036029452</v>
      </c>
      <c r="K15" s="101">
        <f t="shared" si="1"/>
        <v>0.68674297375158555</v>
      </c>
      <c r="L15" s="101">
        <f t="shared" si="1"/>
        <v>0.69803379191836901</v>
      </c>
      <c r="M15" s="101">
        <f t="shared" si="1"/>
        <v>0.83119905794683457</v>
      </c>
      <c r="N15" s="101">
        <f t="shared" si="1"/>
        <v>0.73755875977621987</v>
      </c>
      <c r="O15" s="101">
        <f t="shared" si="1"/>
        <v>0.6309983498873416</v>
      </c>
      <c r="P15" s="101">
        <f t="shared" si="1"/>
        <v>0.78351369381041269</v>
      </c>
      <c r="Q15" s="101">
        <f t="shared" si="1"/>
        <v>0.78939961125507252</v>
      </c>
      <c r="R15" s="102">
        <f t="shared" si="1"/>
        <v>0.93932381869840131</v>
      </c>
      <c r="S15" s="5"/>
    </row>
    <row r="17" spans="1:18" x14ac:dyDescent="0.2">
      <c r="A17" s="170" t="s">
        <v>71</v>
      </c>
      <c r="B17" s="171"/>
    </row>
    <row r="18" spans="1:18" x14ac:dyDescent="0.2">
      <c r="A18" s="16" t="s">
        <v>50</v>
      </c>
      <c r="B18" s="16" t="s">
        <v>51</v>
      </c>
      <c r="C18" s="16" t="s">
        <v>62</v>
      </c>
      <c r="D18" s="16" t="s">
        <v>52</v>
      </c>
      <c r="E18" s="16" t="s">
        <v>53</v>
      </c>
      <c r="F18" s="16" t="s">
        <v>63</v>
      </c>
      <c r="G18" s="16" t="s">
        <v>54</v>
      </c>
      <c r="H18" s="16" t="s">
        <v>55</v>
      </c>
      <c r="I18" s="16" t="s">
        <v>64</v>
      </c>
      <c r="J18" s="16" t="s">
        <v>56</v>
      </c>
      <c r="K18" s="16" t="s">
        <v>57</v>
      </c>
      <c r="L18" s="16" t="s">
        <v>67</v>
      </c>
      <c r="M18" s="16" t="s">
        <v>58</v>
      </c>
      <c r="N18" s="16" t="s">
        <v>59</v>
      </c>
      <c r="O18" s="16" t="s">
        <v>68</v>
      </c>
      <c r="P18" s="16" t="s">
        <v>60</v>
      </c>
      <c r="Q18" s="16" t="s">
        <v>61</v>
      </c>
      <c r="R18" s="16" t="s">
        <v>0</v>
      </c>
    </row>
    <row r="19" spans="1:18" x14ac:dyDescent="0.2">
      <c r="A19" s="9" t="str">
        <f t="shared" ref="A19:D26" si="2">A6</f>
        <v>SILK</v>
      </c>
      <c r="B19" s="9" t="str">
        <f t="shared" si="2"/>
        <v>TCAR</v>
      </c>
      <c r="C19" s="9" t="str">
        <f t="shared" si="2"/>
        <v>2019Q3</v>
      </c>
      <c r="D19" s="9">
        <f t="shared" si="2"/>
        <v>20191024</v>
      </c>
      <c r="E19" s="17">
        <f t="shared" ref="E19:J26" si="3">$S6/E6-1</f>
        <v>5.8681757687184533E-3</v>
      </c>
      <c r="F19" s="17">
        <f t="shared" si="3"/>
        <v>1.296674900894601E-2</v>
      </c>
      <c r="G19" s="17">
        <f t="shared" si="3"/>
        <v>2.6869117738819615E-2</v>
      </c>
      <c r="H19" s="17">
        <f t="shared" si="3"/>
        <v>-1.8226055760717341E-2</v>
      </c>
      <c r="I19" s="17">
        <f t="shared" si="3"/>
        <v>5.1951685962967176E-2</v>
      </c>
      <c r="J19" s="17">
        <f t="shared" si="3"/>
        <v>1.5356733045513549E-2</v>
      </c>
      <c r="K19" s="17"/>
      <c r="L19" s="17"/>
      <c r="M19" s="17"/>
      <c r="N19" s="17"/>
      <c r="O19" s="17"/>
      <c r="P19" s="17"/>
      <c r="Q19" s="17"/>
      <c r="R19" s="38">
        <f t="shared" ref="R19:R26" si="4">$S6/R6-1</f>
        <v>6.9182389937106903E-2</v>
      </c>
    </row>
    <row r="20" spans="1:18" x14ac:dyDescent="0.2">
      <c r="A20" s="9" t="str">
        <f t="shared" si="2"/>
        <v>SILK</v>
      </c>
      <c r="B20" s="9" t="str">
        <f t="shared" si="2"/>
        <v>TCAR</v>
      </c>
      <c r="C20" s="9" t="str">
        <f t="shared" si="2"/>
        <v>2019Q4</v>
      </c>
      <c r="D20" s="9">
        <f t="shared" si="2"/>
        <v>20200220</v>
      </c>
      <c r="E20" s="17">
        <f t="shared" si="3"/>
        <v>-6.2680330099798787E-2</v>
      </c>
      <c r="F20" s="17">
        <f t="shared" si="3"/>
        <v>-5.0215611268977223E-2</v>
      </c>
      <c r="G20" s="17">
        <f t="shared" si="3"/>
        <v>-0.11254545818896289</v>
      </c>
      <c r="H20" s="17">
        <f t="shared" si="3"/>
        <v>-5.0909132101304544E-2</v>
      </c>
      <c r="I20" s="17">
        <f t="shared" si="3"/>
        <v>-9.5349303215811476E-3</v>
      </c>
      <c r="J20" s="17">
        <f t="shared" si="3"/>
        <v>-5.8349790611419206E-2</v>
      </c>
      <c r="K20" s="17">
        <f t="shared" ref="K20:Q26" si="5">$S7/K7-1</f>
        <v>-6.8148597917545461E-2</v>
      </c>
      <c r="L20" s="17">
        <f t="shared" si="5"/>
        <v>-6.2373577750443499E-2</v>
      </c>
      <c r="M20" s="17">
        <f t="shared" si="5"/>
        <v>-0.13576664593319876</v>
      </c>
      <c r="N20" s="17">
        <f t="shared" si="5"/>
        <v>-3.328981842751122E-2</v>
      </c>
      <c r="O20" s="17">
        <f t="shared" si="5"/>
        <v>-5.8450038252719438E-2</v>
      </c>
      <c r="P20" s="17">
        <f t="shared" si="5"/>
        <v>-7.2591751507722568E-2</v>
      </c>
      <c r="Q20" s="17">
        <f t="shared" si="5"/>
        <v>-7.2863462383725652E-2</v>
      </c>
      <c r="R20" s="38">
        <f t="shared" si="4"/>
        <v>3.9106145251396773E-2</v>
      </c>
    </row>
    <row r="21" spans="1:18" x14ac:dyDescent="0.2">
      <c r="A21" s="9" t="str">
        <f t="shared" si="2"/>
        <v>SILK</v>
      </c>
      <c r="B21" s="9" t="str">
        <f t="shared" si="2"/>
        <v>TCAR</v>
      </c>
      <c r="C21" s="9" t="str">
        <f t="shared" si="2"/>
        <v>2020Q1</v>
      </c>
      <c r="D21" s="9">
        <f t="shared" si="2"/>
        <v>20200423</v>
      </c>
      <c r="E21" s="17">
        <f t="shared" si="3"/>
        <v>-8.2412557800726427E-2</v>
      </c>
      <c r="F21" s="17">
        <f t="shared" si="3"/>
        <v>-8.6806705100025194E-2</v>
      </c>
      <c r="G21" s="17">
        <f t="shared" si="3"/>
        <v>-9.9047951099183074E-2</v>
      </c>
      <c r="H21" s="17">
        <f t="shared" si="3"/>
        <v>-7.9557139388263032E-2</v>
      </c>
      <c r="I21" s="17">
        <f t="shared" si="3"/>
        <v>-0.10789887575905899</v>
      </c>
      <c r="J21" s="17">
        <f t="shared" si="3"/>
        <v>-9.127134101174772E-2</v>
      </c>
      <c r="K21" s="17">
        <f t="shared" si="5"/>
        <v>-2.1051758897824624E-2</v>
      </c>
      <c r="L21" s="17">
        <f t="shared" si="5"/>
        <v>-3.8525684634526547E-2</v>
      </c>
      <c r="M21" s="17">
        <f t="shared" si="5"/>
        <v>1.5209237717388246E-2</v>
      </c>
      <c r="N21" s="17">
        <f t="shared" si="5"/>
        <v>-3.0184683317400096E-2</v>
      </c>
      <c r="O21" s="17">
        <f t="shared" si="5"/>
        <v>-9.9310867640606926E-2</v>
      </c>
      <c r="P21" s="17">
        <f t="shared" si="5"/>
        <v>-3.4961549492676824E-2</v>
      </c>
      <c r="Q21" s="17">
        <f t="shared" si="5"/>
        <v>-3.602158356781171E-2</v>
      </c>
      <c r="R21" s="38">
        <f t="shared" si="4"/>
        <v>7.9999999999999849E-2</v>
      </c>
    </row>
    <row r="22" spans="1:18" x14ac:dyDescent="0.2">
      <c r="A22" s="9" t="str">
        <f t="shared" si="2"/>
        <v>SILK</v>
      </c>
      <c r="B22" s="9" t="str">
        <f t="shared" si="2"/>
        <v>TCAR</v>
      </c>
      <c r="C22" s="9" t="str">
        <f t="shared" si="2"/>
        <v>2020Q2</v>
      </c>
      <c r="D22" s="9">
        <f t="shared" si="2"/>
        <v>20200730</v>
      </c>
      <c r="E22" s="17">
        <f t="shared" si="3"/>
        <v>-0.16822459302083148</v>
      </c>
      <c r="F22" s="17">
        <f t="shared" si="3"/>
        <v>-0.15837001576690668</v>
      </c>
      <c r="G22" s="17">
        <f t="shared" si="3"/>
        <v>8.3590387046286851E-2</v>
      </c>
      <c r="H22" s="17">
        <f t="shared" si="3"/>
        <v>-0.15275420810432694</v>
      </c>
      <c r="I22" s="17">
        <f t="shared" si="3"/>
        <v>-0.19791606908757897</v>
      </c>
      <c r="J22" s="17">
        <f t="shared" si="3"/>
        <v>-0.12896895247325812</v>
      </c>
      <c r="K22" s="17">
        <f t="shared" si="5"/>
        <v>-9.3519190949726716E-2</v>
      </c>
      <c r="L22" s="17">
        <f t="shared" si="5"/>
        <v>-7.836600538631866E-2</v>
      </c>
      <c r="M22" s="17">
        <f t="shared" si="5"/>
        <v>0.20271704622714726</v>
      </c>
      <c r="N22" s="17">
        <f t="shared" si="5"/>
        <v>-7.952375084686536E-2</v>
      </c>
      <c r="O22" s="17">
        <f t="shared" si="5"/>
        <v>-0.10090469665657309</v>
      </c>
      <c r="P22" s="17">
        <f t="shared" si="5"/>
        <v>-4.1483902910558257E-2</v>
      </c>
      <c r="Q22" s="17">
        <f t="shared" si="5"/>
        <v>-4.1770818658313447E-2</v>
      </c>
      <c r="R22" s="38">
        <f t="shared" si="4"/>
        <v>0.62365591397849451</v>
      </c>
    </row>
    <row r="23" spans="1:18" x14ac:dyDescent="0.2">
      <c r="A23" s="9" t="str">
        <f t="shared" si="2"/>
        <v>SILK</v>
      </c>
      <c r="B23" s="9" t="str">
        <f t="shared" si="2"/>
        <v>TCAR</v>
      </c>
      <c r="C23" s="9" t="str">
        <f t="shared" si="2"/>
        <v>2020Q3</v>
      </c>
      <c r="D23" s="9">
        <f t="shared" si="2"/>
        <v>20201105</v>
      </c>
      <c r="E23" s="17">
        <f t="shared" si="3"/>
        <v>3.8022130093267048E-3</v>
      </c>
      <c r="F23" s="17">
        <f t="shared" si="3"/>
        <v>-1.7281525971258871E-3</v>
      </c>
      <c r="G23" s="17">
        <f t="shared" si="3"/>
        <v>-1.1203166511173035E-2</v>
      </c>
      <c r="H23" s="17">
        <f t="shared" si="3"/>
        <v>3.5812735776229898E-2</v>
      </c>
      <c r="I23" s="17">
        <f t="shared" si="3"/>
        <v>-6.2774304628659183E-2</v>
      </c>
      <c r="J23" s="17">
        <f t="shared" si="3"/>
        <v>-8.2666451860181622E-3</v>
      </c>
      <c r="K23" s="17">
        <f t="shared" si="5"/>
        <v>0.20681881741962438</v>
      </c>
      <c r="L23" s="17">
        <f t="shared" si="5"/>
        <v>0.1861172559251385</v>
      </c>
      <c r="M23" s="17">
        <f t="shared" si="5"/>
        <v>-8.7480984226755321E-2</v>
      </c>
      <c r="N23" s="17">
        <f t="shared" si="5"/>
        <v>0.22256462727144033</v>
      </c>
      <c r="O23" s="17">
        <f t="shared" si="5"/>
        <v>0.1684883080816586</v>
      </c>
      <c r="P23" s="17">
        <f t="shared" si="5"/>
        <v>0.13857405844483872</v>
      </c>
      <c r="Q23" s="17">
        <f t="shared" si="5"/>
        <v>0.12789795552371053</v>
      </c>
      <c r="R23" s="38">
        <f t="shared" si="4"/>
        <v>-2.4271844660194164E-2</v>
      </c>
    </row>
    <row r="24" spans="1:18" x14ac:dyDescent="0.2">
      <c r="A24" s="9" t="str">
        <f t="shared" si="2"/>
        <v>SILK</v>
      </c>
      <c r="B24" s="9" t="str">
        <f t="shared" si="2"/>
        <v>TCAR</v>
      </c>
      <c r="C24" s="9" t="str">
        <f t="shared" si="2"/>
        <v>2020Q4</v>
      </c>
      <c r="D24" s="9">
        <f t="shared" si="2"/>
        <v>20210218</v>
      </c>
      <c r="E24" s="17">
        <f t="shared" si="3"/>
        <v>2.5287376875620104E-2</v>
      </c>
      <c r="F24" s="17">
        <f t="shared" si="3"/>
        <v>1.7603381028227005E-2</v>
      </c>
      <c r="G24" s="17">
        <f t="shared" si="3"/>
        <v>-1.622106920637667E-2</v>
      </c>
      <c r="H24" s="17">
        <f t="shared" si="3"/>
        <v>-1.1123130729803199E-2</v>
      </c>
      <c r="I24" s="17">
        <f t="shared" si="3"/>
        <v>-0.1020524994581461</v>
      </c>
      <c r="J24" s="17">
        <f t="shared" si="3"/>
        <v>-1.9497309932783091E-2</v>
      </c>
      <c r="K24" s="17">
        <f t="shared" si="5"/>
        <v>2.1403782127439763E-2</v>
      </c>
      <c r="L24" s="17">
        <f t="shared" si="5"/>
        <v>1.9364999299185115E-2</v>
      </c>
      <c r="M24" s="17">
        <f t="shared" si="5"/>
        <v>-5.0747560320341112E-3</v>
      </c>
      <c r="N24" s="17">
        <f t="shared" si="5"/>
        <v>-4.5313081105205488E-2</v>
      </c>
      <c r="O24" s="17">
        <f t="shared" si="5"/>
        <v>-4.1909003373967746E-2</v>
      </c>
      <c r="P24" s="17">
        <f t="shared" si="5"/>
        <v>-1.132427853943796E-2</v>
      </c>
      <c r="Q24" s="17">
        <f t="shared" si="5"/>
        <v>-1.1175081983845425E-2</v>
      </c>
      <c r="R24" s="38">
        <f t="shared" si="4"/>
        <v>-1.4018691588784882E-2</v>
      </c>
    </row>
    <row r="25" spans="1:18" x14ac:dyDescent="0.2">
      <c r="A25" s="9" t="str">
        <f t="shared" si="2"/>
        <v>SILK</v>
      </c>
      <c r="B25" s="9" t="str">
        <f t="shared" si="2"/>
        <v>TCAR</v>
      </c>
      <c r="C25" s="9" t="str">
        <f t="shared" si="2"/>
        <v>2021Q1</v>
      </c>
      <c r="D25" s="9">
        <f t="shared" si="2"/>
        <v>20210429</v>
      </c>
      <c r="E25" s="17">
        <f t="shared" si="3"/>
        <v>-0.11451944108627388</v>
      </c>
      <c r="F25" s="17">
        <f t="shared" si="3"/>
        <v>-0.10616068836466308</v>
      </c>
      <c r="G25" s="17">
        <f t="shared" si="3"/>
        <v>-4.6035355311038417E-2</v>
      </c>
      <c r="H25" s="17">
        <f t="shared" si="3"/>
        <v>-7.7716876024240156E-2</v>
      </c>
      <c r="I25" s="17">
        <f t="shared" si="3"/>
        <v>-0.15413439587321687</v>
      </c>
      <c r="J25" s="17">
        <f t="shared" si="3"/>
        <v>-0.10117903917308213</v>
      </c>
      <c r="K25" s="17">
        <f t="shared" si="5"/>
        <v>-0.13635866500954119</v>
      </c>
      <c r="L25" s="17">
        <f t="shared" si="5"/>
        <v>-0.12162309176668995</v>
      </c>
      <c r="M25" s="17">
        <f t="shared" si="5"/>
        <v>-3.0305879879548026E-2</v>
      </c>
      <c r="N25" s="17">
        <f t="shared" si="5"/>
        <v>-6.7342808153237455E-2</v>
      </c>
      <c r="O25" s="17">
        <f t="shared" si="5"/>
        <v>-5.8001048372697483E-2</v>
      </c>
      <c r="P25" s="17">
        <f t="shared" si="5"/>
        <v>-8.3305971587593897E-2</v>
      </c>
      <c r="Q25" s="17">
        <f t="shared" si="5"/>
        <v>-8.4285240290436603E-2</v>
      </c>
      <c r="R25" s="38">
        <f t="shared" si="4"/>
        <v>3.7558685446009488E-2</v>
      </c>
    </row>
    <row r="26" spans="1:18" x14ac:dyDescent="0.2">
      <c r="A26" s="9" t="str">
        <f t="shared" si="2"/>
        <v>SILK</v>
      </c>
      <c r="B26" s="9" t="str">
        <f t="shared" si="2"/>
        <v>TCAR</v>
      </c>
      <c r="C26" s="9" t="str">
        <f t="shared" si="2"/>
        <v>2021Q2</v>
      </c>
      <c r="D26" s="9">
        <f t="shared" si="2"/>
        <v>20210722</v>
      </c>
      <c r="E26" s="17">
        <f t="shared" si="3"/>
        <v>3.325643046164739E-2</v>
      </c>
      <c r="F26" s="17">
        <f t="shared" si="3"/>
        <v>5.9024384376137329E-2</v>
      </c>
      <c r="G26" s="17">
        <f t="shared" si="3"/>
        <v>6.8184041580333643E-2</v>
      </c>
      <c r="H26" s="17">
        <f t="shared" si="3"/>
        <v>8.60051758596867E-2</v>
      </c>
      <c r="I26" s="17">
        <f t="shared" si="3"/>
        <v>4.5051582168659454E-2</v>
      </c>
      <c r="J26" s="17">
        <f t="shared" si="3"/>
        <v>5.7989675729517964E-2</v>
      </c>
      <c r="K26" s="17">
        <f t="shared" si="5"/>
        <v>0.16688776513535997</v>
      </c>
      <c r="L26" s="17">
        <f t="shared" si="5"/>
        <v>0.18480399171365991</v>
      </c>
      <c r="M26" s="17">
        <f t="shared" si="5"/>
        <v>0.11973126837275294</v>
      </c>
      <c r="N26" s="17">
        <f t="shared" si="5"/>
        <v>0.17751821282184732</v>
      </c>
      <c r="O26" s="17">
        <f t="shared" si="5"/>
        <v>0.23548182721947075</v>
      </c>
      <c r="P26" s="17">
        <f t="shared" si="5"/>
        <v>0.17708611819217523</v>
      </c>
      <c r="Q26" s="17">
        <f t="shared" si="5"/>
        <v>0.17594638556564202</v>
      </c>
      <c r="R26" s="38">
        <f t="shared" si="4"/>
        <v>4.3307086614173373E-2</v>
      </c>
    </row>
    <row r="27" spans="1:18" x14ac:dyDescent="0.2">
      <c r="A27" s="176" t="s">
        <v>72</v>
      </c>
      <c r="B27" s="176"/>
      <c r="C27" s="172"/>
      <c r="D27" s="173"/>
      <c r="E27" s="71" cm="1">
        <f t="array" ref="E27">SUM(ABS(E19:E26))/COUNT(E19:E26)</f>
        <v>6.2006389765367903E-2</v>
      </c>
      <c r="F27" s="71" cm="1">
        <f t="array" ref="F27">SUM(ABS(F19:F26))/COUNT(F19:F26)</f>
        <v>6.1609460938876051E-2</v>
      </c>
      <c r="G27" s="105" cm="1">
        <f t="array" ref="G27">SUM(ABS(G19:G26))/COUNT(G19:G26)</f>
        <v>5.7962068335271774E-2</v>
      </c>
      <c r="H27" s="71" cm="1">
        <f t="array" ref="H27">SUM(ABS(H19:H26))/COUNT(H19:H26)</f>
        <v>6.4013056718071476E-2</v>
      </c>
      <c r="I27" s="71" cm="1">
        <f t="array" ref="I27">SUM(ABS(I19:I26))/COUNT(I19:I26)</f>
        <v>9.1414292907483485E-2</v>
      </c>
      <c r="J27" s="105" cm="1">
        <f t="array" ref="J27">SUM(ABS(J19:J26))/COUNT(J19:J26)</f>
        <v>6.0109935895417493E-2</v>
      </c>
      <c r="K27" s="71" cm="1">
        <f t="array" ref="K27">SUM(ABS(K19:K26))/COUNT(K19:K26)</f>
        <v>0.10202693963672316</v>
      </c>
      <c r="L27" s="71" cm="1">
        <f t="array" ref="L27">SUM(ABS(L19:L26))/COUNT(L19:L26)</f>
        <v>9.8739229496566022E-2</v>
      </c>
      <c r="M27" s="71" cm="1">
        <f t="array" ref="M27">SUM(ABS(M19:M26))/COUNT(M19:M26)</f>
        <v>8.5183688341260666E-2</v>
      </c>
      <c r="N27" s="71" cm="1">
        <f t="array" ref="N27">SUM(ABS(N19:N26))/COUNT(N19:N26)</f>
        <v>9.3676711706215318E-2</v>
      </c>
      <c r="O27" s="71" cm="1">
        <f t="array" ref="O27">SUM(ABS(O19:O26))/COUNT(O19:O26)</f>
        <v>0.10893511279967058</v>
      </c>
      <c r="P27" s="71" cm="1">
        <f t="array" ref="P27">SUM(ABS(P19:P26))/COUNT(P19:P26)</f>
        <v>7.9903947239286205E-2</v>
      </c>
      <c r="Q27" s="71" cm="1">
        <f t="array" ref="Q27">SUM(ABS(Q19:Q26))/COUNT(Q19:Q26)</f>
        <v>7.8565789710497907E-2</v>
      </c>
      <c r="R27" s="105" cm="1">
        <f t="array" ref="R27">SUM(ABS(R19:R26))/COUNT(R19:R26)</f>
        <v>0.11638759468451999</v>
      </c>
    </row>
    <row r="28" spans="1:18" x14ac:dyDescent="0.2">
      <c r="A28" s="177" t="s">
        <v>73</v>
      </c>
      <c r="B28" s="177"/>
      <c r="C28" s="174"/>
      <c r="D28" s="175"/>
      <c r="E28" s="72" cm="1">
        <f t="array" ref="E28">SQRT(SUM(POWER(E19:E26,2))/COUNT(E19:E26))</f>
        <v>8.2104509205749215E-2</v>
      </c>
      <c r="F28" s="72" cm="1">
        <f t="array" ref="F28">SQRT(SUM(POWER(F19:F26,2))/COUNT(F19:F26))</f>
        <v>7.9351311724646406E-2</v>
      </c>
      <c r="G28" s="106" cm="1">
        <f t="array" ref="G28">SQRT(SUM(POWER(G19:G26,2))/COUNT(G19:G26))</f>
        <v>6.8322059542871738E-2</v>
      </c>
      <c r="H28" s="72" cm="1">
        <f t="array" ref="H28">SQRT(SUM(POWER(H19:H26,2))/COUNT(H19:H26))</f>
        <v>7.6998534511831362E-2</v>
      </c>
      <c r="I28" s="72" cm="1">
        <f t="array" ref="I28">SQRT(SUM(POWER(I19:I26,2))/COUNT(I19:I26))</f>
        <v>0.1082504118803642</v>
      </c>
      <c r="J28" s="106" cm="1">
        <f t="array" ref="J28">SQRT(SUM(POWER(J19:J26,2))/COUNT(J19:J26))</f>
        <v>7.30175138946208E-2</v>
      </c>
      <c r="K28" s="72" cm="1">
        <f t="array" ref="K28">SQRT(SUM(POWER(K19:K26,2))/COUNT(K19:K26))</f>
        <v>0.12160275127877955</v>
      </c>
      <c r="L28" s="72" cm="1">
        <f t="array" ref="L28">SQRT(SUM(POWER(L19:L26,2))/COUNT(L19:L26))</f>
        <v>0.11678750565102064</v>
      </c>
      <c r="M28" s="72" cm="1">
        <f t="array" ref="M28">SQRT(SUM(POWER(M19:M26,2))/COUNT(M19:M26))</f>
        <v>0.10868749607570334</v>
      </c>
      <c r="N28" s="72" cm="1">
        <f t="array" ref="N28">SQRT(SUM(POWER(N19:N26,2))/COUNT(N19:N26))</f>
        <v>0.11709545092530967</v>
      </c>
      <c r="O28" s="72" cm="1">
        <f t="array" ref="O28">SQRT(SUM(POWER(O19:O26,2))/COUNT(O19:O26))</f>
        <v>0.12672878819273936</v>
      </c>
      <c r="P28" s="72" cm="1">
        <f t="array" ref="P28">SQRT(SUM(POWER(P19:P26,2))/COUNT(P19:P26))</f>
        <v>9.6985399230590283E-2</v>
      </c>
      <c r="Q28" s="72" cm="1">
        <f t="array" ref="Q28">SQRT(SUM(POWER(Q19:Q26,2))/COUNT(Q19:Q26))</f>
        <v>9.4789497409172058E-2</v>
      </c>
      <c r="R28" s="106" cm="1">
        <f t="array" ref="R28">SQRT(SUM(POWER(R19:R26,2))/COUNT(R19:R26))</f>
        <v>0.22520379589238013</v>
      </c>
    </row>
    <row r="29" spans="1:18" x14ac:dyDescent="0.2">
      <c r="F29" t="s">
        <v>165</v>
      </c>
      <c r="G29" s="3">
        <f>AVERAGE(G19:G26)</f>
        <v>-1.3301181743911747E-2</v>
      </c>
      <c r="H29">
        <f>$G$14/(1+G29)</f>
        <v>26.123948385342</v>
      </c>
      <c r="I29" s="3"/>
      <c r="J29" s="3"/>
      <c r="R29" s="3"/>
    </row>
    <row r="30" spans="1:18" x14ac:dyDescent="0.2">
      <c r="B30" t="s">
        <v>152</v>
      </c>
      <c r="F30" t="s">
        <v>92</v>
      </c>
      <c r="G30" s="3">
        <f>MEDIAN(G19:G26)</f>
        <v>-1.3712117858774853E-2</v>
      </c>
      <c r="H30">
        <f t="shared" ref="H30:H34" si="6">$G$14/(1+G30)</f>
        <v>26.134832909068535</v>
      </c>
      <c r="J30" s="3"/>
    </row>
    <row r="31" spans="1:18" x14ac:dyDescent="0.2">
      <c r="F31" t="s">
        <v>166</v>
      </c>
      <c r="G31" s="3">
        <f>AVERAGE(G23:G25,G20:G21)</f>
        <v>-5.7010600063346815E-2</v>
      </c>
      <c r="H31">
        <f t="shared" si="6"/>
        <v>27.334844911015516</v>
      </c>
    </row>
    <row r="32" spans="1:18" x14ac:dyDescent="0.2">
      <c r="F32" t="s">
        <v>166</v>
      </c>
      <c r="G32" s="3">
        <f>MEDIAN(G23:G25,G20:G21)</f>
        <v>-4.6035355311038417E-2</v>
      </c>
      <c r="H32">
        <f t="shared" si="6"/>
        <v>27.020360915371626</v>
      </c>
      <c r="I32" s="2">
        <f>H32/R14-1</f>
        <v>3.924465059121629E-2</v>
      </c>
    </row>
    <row r="33" spans="6:8" x14ac:dyDescent="0.2">
      <c r="F33" t="s">
        <v>167</v>
      </c>
      <c r="G33" s="3">
        <f>AVERAGE(G26,G22,G19)</f>
        <v>5.9547848788480039E-2</v>
      </c>
      <c r="H33">
        <f t="shared" si="6"/>
        <v>24.327800796796122</v>
      </c>
    </row>
    <row r="34" spans="6:8" x14ac:dyDescent="0.2">
      <c r="F34" t="s">
        <v>167</v>
      </c>
      <c r="G34" s="3">
        <f>MEDIAN(G26,G22,G19)</f>
        <v>6.8184041580333643E-2</v>
      </c>
      <c r="H34">
        <f t="shared" si="6"/>
        <v>24.1311122396706</v>
      </c>
    </row>
  </sheetData>
  <mergeCells count="7">
    <mergeCell ref="A15:D15"/>
    <mergeCell ref="A4:B4"/>
    <mergeCell ref="A17:B17"/>
    <mergeCell ref="C27:D27"/>
    <mergeCell ref="C28:D28"/>
    <mergeCell ref="A27:B27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37"/>
  <sheetViews>
    <sheetView zoomScale="85" zoomScaleNormal="85" workbookViewId="0">
      <selection activeCell="B9" sqref="B9"/>
    </sheetView>
  </sheetViews>
  <sheetFormatPr defaultRowHeight="12.75" x14ac:dyDescent="0.2"/>
  <cols>
    <col min="1" max="1" width="9.140625" style="65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5" t="s">
        <v>98</v>
      </c>
      <c r="B1" t="s">
        <v>78</v>
      </c>
    </row>
    <row r="2" spans="1:17" x14ac:dyDescent="0.2">
      <c r="A2" s="65" t="s">
        <v>93</v>
      </c>
      <c r="B2" t="s">
        <v>76</v>
      </c>
    </row>
    <row r="3" spans="1:17" x14ac:dyDescent="0.2">
      <c r="A3" s="65" t="s">
        <v>94</v>
      </c>
      <c r="B3" t="s">
        <v>141</v>
      </c>
    </row>
    <row r="4" spans="1:17" x14ac:dyDescent="0.2">
      <c r="A4" s="65" t="s">
        <v>95</v>
      </c>
      <c r="B4" t="s">
        <v>161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5" t="s">
        <v>96</v>
      </c>
      <c r="B7" s="178" t="s">
        <v>77</v>
      </c>
      <c r="C7" s="178"/>
      <c r="D7" s="178" t="s">
        <v>106</v>
      </c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6"/>
      <c r="P7" s="6"/>
      <c r="Q7" s="6"/>
    </row>
    <row r="8" spans="1:17" x14ac:dyDescent="0.2">
      <c r="B8" t="s">
        <v>164</v>
      </c>
      <c r="O8" s="6"/>
      <c r="P8" s="6"/>
      <c r="Q8" s="6"/>
    </row>
    <row r="9" spans="1:17" x14ac:dyDescent="0.2">
      <c r="O9" s="6"/>
      <c r="P9" s="6"/>
      <c r="Q9" s="6"/>
    </row>
    <row r="10" spans="1:17" x14ac:dyDescent="0.2">
      <c r="O10" s="6"/>
      <c r="P10" s="6"/>
      <c r="Q10" s="6"/>
    </row>
    <row r="11" spans="1:17" x14ac:dyDescent="0.2">
      <c r="O11" s="6"/>
      <c r="P11" s="6"/>
      <c r="Q11" s="6"/>
    </row>
    <row r="12" spans="1:17" x14ac:dyDescent="0.2">
      <c r="A12" s="65" t="s">
        <v>97</v>
      </c>
      <c r="B12" t="s">
        <v>133</v>
      </c>
      <c r="O12" s="6"/>
      <c r="P12" s="6"/>
      <c r="Q12" s="6"/>
    </row>
    <row r="13" spans="1:17" x14ac:dyDescent="0.2">
      <c r="B13" t="s">
        <v>134</v>
      </c>
      <c r="H13" s="66" t="s">
        <v>100</v>
      </c>
      <c r="O13" s="6"/>
      <c r="P13" s="6"/>
      <c r="Q13" s="6"/>
    </row>
    <row r="14" spans="1:17" x14ac:dyDescent="0.2">
      <c r="H14" s="66"/>
      <c r="O14" s="6"/>
      <c r="P14" s="6"/>
      <c r="Q14" s="6"/>
    </row>
    <row r="15" spans="1:17" x14ac:dyDescent="0.2">
      <c r="O15" s="6"/>
      <c r="P15" s="6"/>
      <c r="Q15" s="6"/>
    </row>
    <row r="16" spans="1:17" x14ac:dyDescent="0.2">
      <c r="O16" s="6"/>
      <c r="P16" s="6"/>
      <c r="Q16" s="6"/>
    </row>
    <row r="17" spans="1:17" x14ac:dyDescent="0.2">
      <c r="A17" s="65" t="s">
        <v>99</v>
      </c>
      <c r="B17" s="179" t="s">
        <v>102</v>
      </c>
      <c r="C17" s="179"/>
      <c r="D17" s="179"/>
      <c r="E17" s="179"/>
      <c r="F17" s="64" t="e">
        <f>#REF!+#REF!*'2. Past Proj &amp; Candidate Model'!#REF!</f>
        <v>#REF!</v>
      </c>
      <c r="G17" s="67" t="s">
        <v>103</v>
      </c>
      <c r="H17" s="2" t="e">
        <f>'2. Past Proj &amp; Candidate Model'!#REF!/'3. Improved Alpha Model'!F17-1</f>
        <v>#REF!</v>
      </c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B21" s="180" t="s">
        <v>153</v>
      </c>
      <c r="C21" s="180"/>
      <c r="D21" s="180"/>
      <c r="E21" s="3" t="e">
        <f>#REF!</f>
        <v>#REF!</v>
      </c>
      <c r="F21" t="s">
        <v>104</v>
      </c>
      <c r="G21" s="180" t="s">
        <v>105</v>
      </c>
      <c r="H21" s="180"/>
      <c r="I21" s="3" t="e">
        <f>#REF!</f>
        <v>#REF!</v>
      </c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A24" s="65" t="s">
        <v>101</v>
      </c>
      <c r="B24" t="s">
        <v>107</v>
      </c>
      <c r="O24" s="6"/>
      <c r="P24" s="6"/>
      <c r="Q24" s="6"/>
    </row>
    <row r="25" spans="1:17" x14ac:dyDescent="0.2">
      <c r="B25" t="s">
        <v>108</v>
      </c>
      <c r="O25" s="6"/>
      <c r="P25" s="6"/>
      <c r="Q25" s="6"/>
    </row>
    <row r="26" spans="1:17" x14ac:dyDescent="0.2">
      <c r="B26" t="s">
        <v>109</v>
      </c>
      <c r="O26" s="6"/>
      <c r="P26" s="6"/>
      <c r="Q26" s="6"/>
    </row>
    <row r="27" spans="1:17" x14ac:dyDescent="0.2">
      <c r="B27" t="s">
        <v>110</v>
      </c>
      <c r="O27" s="6"/>
      <c r="P27" s="6"/>
      <c r="Q27" s="6"/>
    </row>
    <row r="28" spans="1:17" x14ac:dyDescent="0.2">
      <c r="B28" t="s">
        <v>111</v>
      </c>
      <c r="O28" s="6"/>
      <c r="P28" s="6"/>
      <c r="Q28" s="6"/>
    </row>
    <row r="29" spans="1:17" x14ac:dyDescent="0.2">
      <c r="B29" t="s">
        <v>112</v>
      </c>
      <c r="O29" s="6"/>
      <c r="P29" s="6"/>
      <c r="Q29" s="6"/>
    </row>
    <row r="30" spans="1:17" x14ac:dyDescent="0.2">
      <c r="B30" t="s">
        <v>113</v>
      </c>
      <c r="O30" s="6"/>
      <c r="P30" s="6"/>
      <c r="Q30" s="6"/>
    </row>
    <row r="31" spans="1:17" x14ac:dyDescent="0.2">
      <c r="B31" t="s">
        <v>114</v>
      </c>
      <c r="O31" s="6"/>
      <c r="P31" s="6"/>
      <c r="Q31" s="6"/>
    </row>
    <row r="32" spans="1:17" x14ac:dyDescent="0.2">
      <c r="B32" t="s">
        <v>115</v>
      </c>
      <c r="O32" s="6"/>
      <c r="P32" s="6"/>
      <c r="Q32" s="6"/>
    </row>
    <row r="33" spans="2:17" x14ac:dyDescent="0.2">
      <c r="B33" t="s">
        <v>116</v>
      </c>
      <c r="O33" s="6"/>
      <c r="P33" s="6"/>
      <c r="Q33" s="6"/>
    </row>
    <row r="34" spans="2:17" x14ac:dyDescent="0.2">
      <c r="O34" s="6"/>
      <c r="P34" s="6"/>
      <c r="Q34" s="6"/>
    </row>
    <row r="35" spans="2:17" x14ac:dyDescent="0.2">
      <c r="O35" s="6"/>
      <c r="P35" s="6"/>
      <c r="Q35" s="6"/>
    </row>
    <row r="36" spans="2:17" x14ac:dyDescent="0.2">
      <c r="O36" s="6"/>
      <c r="P36" s="6"/>
    </row>
    <row r="37" spans="2:17" x14ac:dyDescent="0.2">
      <c r="O37" s="6"/>
      <c r="P37" s="6"/>
    </row>
  </sheetData>
  <mergeCells count="5">
    <mergeCell ref="D7:N7"/>
    <mergeCell ref="B7:C7"/>
    <mergeCell ref="B17:E17"/>
    <mergeCell ref="B21:D21"/>
    <mergeCell ref="G21:H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0"/>
  <sheetViews>
    <sheetView zoomScale="85" zoomScaleNormal="85" workbookViewId="0">
      <selection activeCell="B14" sqref="B14:Y22"/>
    </sheetView>
  </sheetViews>
  <sheetFormatPr defaultRowHeight="12.75" x14ac:dyDescent="0.2"/>
  <cols>
    <col min="1" max="1" width="9.140625" style="65"/>
    <col min="3" max="3" width="18.5703125" customWidth="1"/>
    <col min="4" max="13" width="14.7109375" customWidth="1"/>
    <col min="18" max="18" width="15.42578125" customWidth="1"/>
    <col min="23" max="23" width="22.5703125" customWidth="1"/>
  </cols>
  <sheetData>
    <row r="1" spans="1:25" x14ac:dyDescent="0.2">
      <c r="A1" s="65" t="s">
        <v>118</v>
      </c>
      <c r="B1" t="s">
        <v>78</v>
      </c>
    </row>
    <row r="2" spans="1:25" x14ac:dyDescent="0.2">
      <c r="A2" s="65" t="s">
        <v>93</v>
      </c>
      <c r="B2" s="73" t="s">
        <v>154</v>
      </c>
      <c r="C2" s="74" t="str">
        <f>F5</f>
        <v>LR_CON</v>
      </c>
      <c r="D2" t="s">
        <v>155</v>
      </c>
    </row>
    <row r="4" spans="1:25" x14ac:dyDescent="0.2">
      <c r="A4" s="65" t="s">
        <v>94</v>
      </c>
      <c r="B4" t="s">
        <v>117</v>
      </c>
    </row>
    <row r="5" spans="1:25" ht="15" x14ac:dyDescent="0.2">
      <c r="C5" s="69" t="s">
        <v>79</v>
      </c>
      <c r="D5" s="69" t="s">
        <v>80</v>
      </c>
      <c r="E5" s="69" t="s">
        <v>81</v>
      </c>
      <c r="F5" s="69" t="s">
        <v>82</v>
      </c>
      <c r="G5" s="69" t="s">
        <v>83</v>
      </c>
      <c r="H5" s="69" t="s">
        <v>84</v>
      </c>
      <c r="I5" s="69" t="s">
        <v>85</v>
      </c>
      <c r="J5" s="69" t="s">
        <v>86</v>
      </c>
      <c r="K5" s="69" t="s">
        <v>87</v>
      </c>
      <c r="L5" s="69" t="s">
        <v>88</v>
      </c>
      <c r="M5" s="69" t="s">
        <v>89</v>
      </c>
    </row>
    <row r="6" spans="1:25" ht="15" x14ac:dyDescent="0.2">
      <c r="B6" s="69" t="s">
        <v>90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25" ht="15" x14ac:dyDescent="0.2">
      <c r="B7" s="69" t="s">
        <v>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25" ht="15" x14ac:dyDescent="0.2">
      <c r="B8" s="69" t="s">
        <v>92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10" spans="1:25" ht="15" x14ac:dyDescent="0.2">
      <c r="A10" s="65" t="s">
        <v>95</v>
      </c>
      <c r="B10" s="70" t="s">
        <v>156</v>
      </c>
    </row>
    <row r="12" spans="1:25" x14ac:dyDescent="0.2">
      <c r="A12" s="65" t="s">
        <v>96</v>
      </c>
      <c r="B12" t="s">
        <v>132</v>
      </c>
    </row>
    <row r="13" spans="1:25" ht="15" x14ac:dyDescent="0.2">
      <c r="B13" s="69" t="s">
        <v>119</v>
      </c>
      <c r="C13" s="69" t="s">
        <v>120</v>
      </c>
      <c r="D13" s="69" t="s">
        <v>79</v>
      </c>
      <c r="E13" s="69" t="s">
        <v>80</v>
      </c>
      <c r="F13" s="69" t="s">
        <v>81</v>
      </c>
      <c r="G13" s="69" t="s">
        <v>82</v>
      </c>
      <c r="H13" s="69" t="s">
        <v>83</v>
      </c>
      <c r="I13" s="69" t="s">
        <v>84</v>
      </c>
      <c r="J13" s="69" t="s">
        <v>85</v>
      </c>
      <c r="K13" s="69" t="s">
        <v>86</v>
      </c>
      <c r="L13" s="69" t="s">
        <v>87</v>
      </c>
      <c r="M13" s="69" t="s">
        <v>88</v>
      </c>
      <c r="N13" s="69" t="s">
        <v>89</v>
      </c>
      <c r="O13" s="69" t="s">
        <v>121</v>
      </c>
      <c r="P13" s="69" t="s">
        <v>122</v>
      </c>
      <c r="Q13" s="69" t="s">
        <v>123</v>
      </c>
      <c r="R13" s="69" t="s">
        <v>124</v>
      </c>
      <c r="S13" s="69" t="s">
        <v>125</v>
      </c>
      <c r="T13" s="69" t="s">
        <v>126</v>
      </c>
      <c r="U13" s="69" t="s">
        <v>127</v>
      </c>
      <c r="V13" s="69" t="s">
        <v>128</v>
      </c>
      <c r="W13" s="69" t="s">
        <v>129</v>
      </c>
      <c r="X13" s="69" t="s">
        <v>130</v>
      </c>
      <c r="Y13" s="69" t="s">
        <v>131</v>
      </c>
    </row>
    <row r="14" spans="1:25" x14ac:dyDescent="0.2">
      <c r="O14" s="2"/>
      <c r="P14" s="2"/>
    </row>
    <row r="15" spans="1:25" x14ac:dyDescent="0.2">
      <c r="O15" s="2"/>
      <c r="P15" s="2"/>
    </row>
    <row r="16" spans="1:25" x14ac:dyDescent="0.2">
      <c r="O16" s="2"/>
      <c r="P16" s="2"/>
    </row>
    <row r="17" spans="1:25" x14ac:dyDescent="0.2">
      <c r="O17" s="2"/>
      <c r="P17" s="2"/>
    </row>
    <row r="18" spans="1:25" x14ac:dyDescent="0.2">
      <c r="O18" s="2"/>
      <c r="P18" s="2"/>
    </row>
    <row r="19" spans="1:25" x14ac:dyDescent="0.2"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B23" s="104" t="s">
        <v>142</v>
      </c>
      <c r="C23" s="104"/>
      <c r="D23" t="e">
        <f>$D$22/(1+O23)</f>
        <v>#DIV/0!</v>
      </c>
      <c r="E23" t="e">
        <f t="shared" ref="E23:E28" si="0">E$22/(1+P23)</f>
        <v>#DIV/0!</v>
      </c>
      <c r="L23" s="103" t="s">
        <v>135</v>
      </c>
      <c r="M23" s="103"/>
      <c r="N23" s="103"/>
      <c r="O23" s="107" t="e">
        <f>AVERAGE(O14:O21)</f>
        <v>#DIV/0!</v>
      </c>
      <c r="P23" s="3" t="e">
        <f>AVERAGE(P14:P21)</f>
        <v>#DIV/0!</v>
      </c>
    </row>
    <row r="24" spans="1:25" x14ac:dyDescent="0.2">
      <c r="B24" s="93" t="s">
        <v>143</v>
      </c>
      <c r="C24" s="93"/>
      <c r="D24" t="e">
        <f t="shared" ref="D24:D28" si="1">$D$22/(1+O24)</f>
        <v>#NUM!</v>
      </c>
      <c r="E24" t="e">
        <f t="shared" si="0"/>
        <v>#NUM!</v>
      </c>
      <c r="I24" s="3"/>
      <c r="L24" s="93" t="s">
        <v>137</v>
      </c>
      <c r="M24" s="93"/>
      <c r="N24" s="93"/>
      <c r="O24" s="108" t="e">
        <f>MEDIAN(O14:O21)</f>
        <v>#NUM!</v>
      </c>
      <c r="P24" s="1" t="e">
        <f>MEDIAN(P14:P22)</f>
        <v>#NUM!</v>
      </c>
    </row>
    <row r="25" spans="1:25" x14ac:dyDescent="0.2">
      <c r="B25" s="94" t="s">
        <v>144</v>
      </c>
      <c r="C25" s="94"/>
      <c r="D25" s="113" t="e">
        <f t="shared" si="1"/>
        <v>#DIV/0!</v>
      </c>
      <c r="E25" s="113" t="e">
        <f t="shared" si="0"/>
        <v>#DIV/0!</v>
      </c>
      <c r="L25" s="94" t="s">
        <v>136</v>
      </c>
      <c r="M25" s="94"/>
      <c r="N25" s="94"/>
      <c r="O25" s="109" t="e">
        <f>AVERAGE(O20:O21,O14:O16)</f>
        <v>#DIV/0!</v>
      </c>
      <c r="P25" s="1" t="e">
        <f>AVERAGE(P21:P22,P17,P14)</f>
        <v>#DIV/0!</v>
      </c>
    </row>
    <row r="26" spans="1:25" x14ac:dyDescent="0.2">
      <c r="B26" s="95" t="s">
        <v>145</v>
      </c>
      <c r="C26" s="95"/>
      <c r="D26" s="113" t="e">
        <f t="shared" si="1"/>
        <v>#NUM!</v>
      </c>
      <c r="E26" s="113" t="e">
        <f t="shared" si="0"/>
        <v>#NUM!</v>
      </c>
      <c r="H26" s="3"/>
      <c r="L26" s="95" t="s">
        <v>138</v>
      </c>
      <c r="M26" s="95"/>
      <c r="N26" s="95"/>
      <c r="O26" s="110" t="e">
        <f>MEDIAN(O20:O21,O14:O16)</f>
        <v>#NUM!</v>
      </c>
      <c r="P26" s="1" t="e">
        <f>MEDIAN(P21:P22,P17,P14)</f>
        <v>#NUM!</v>
      </c>
    </row>
    <row r="27" spans="1:25" x14ac:dyDescent="0.2">
      <c r="B27" s="96" t="s">
        <v>146</v>
      </c>
      <c r="C27" s="96"/>
      <c r="D27" t="e">
        <f t="shared" si="1"/>
        <v>#DIV/0!</v>
      </c>
      <c r="E27" t="e">
        <f t="shared" si="0"/>
        <v>#DIV/0!</v>
      </c>
      <c r="I27" s="100"/>
      <c r="L27" s="96" t="s">
        <v>139</v>
      </c>
      <c r="M27" s="96"/>
      <c r="N27" s="96"/>
      <c r="O27" s="111" t="e">
        <f>AVERAGE(O18:O19)</f>
        <v>#DIV/0!</v>
      </c>
      <c r="P27" s="1" t="e">
        <f>AVERAGE(P18:P20,P15:P16)</f>
        <v>#DIV/0!</v>
      </c>
    </row>
    <row r="28" spans="1:25" x14ac:dyDescent="0.2">
      <c r="B28" s="97" t="s">
        <v>147</v>
      </c>
      <c r="C28" s="97"/>
      <c r="D28" t="e">
        <f t="shared" si="1"/>
        <v>#NUM!</v>
      </c>
      <c r="E28" t="e">
        <f t="shared" si="0"/>
        <v>#NUM!</v>
      </c>
      <c r="L28" s="97" t="s">
        <v>140</v>
      </c>
      <c r="M28" s="97"/>
      <c r="N28" s="97"/>
      <c r="O28" s="112" t="e">
        <f>MEDIAN(O18:O19)</f>
        <v>#NUM!</v>
      </c>
      <c r="P28" s="1" t="e">
        <f>MEDIAN(P18:P20,P15:P16)</f>
        <v>#NUM!</v>
      </c>
    </row>
    <row r="30" spans="1:25" x14ac:dyDescent="0.2">
      <c r="A30" s="65" t="s">
        <v>97</v>
      </c>
      <c r="B30" t="s">
        <v>148</v>
      </c>
    </row>
    <row r="31" spans="1:25" x14ac:dyDescent="0.2">
      <c r="B31" t="s">
        <v>149</v>
      </c>
    </row>
    <row r="37" spans="1:4" x14ac:dyDescent="0.2">
      <c r="A37" s="65" t="s">
        <v>99</v>
      </c>
      <c r="B37" s="75" t="s">
        <v>150</v>
      </c>
      <c r="C37" s="76" t="e">
        <f>D27</f>
        <v>#DIV/0!</v>
      </c>
      <c r="D37" t="s">
        <v>160</v>
      </c>
    </row>
    <row r="39" spans="1:4" x14ac:dyDescent="0.2">
      <c r="B39" s="181" t="s">
        <v>158</v>
      </c>
      <c r="C39" s="181"/>
      <c r="D39" s="2" t="e">
        <f>C37/D22-1</f>
        <v>#DIV/0!</v>
      </c>
    </row>
    <row r="40" spans="1:4" x14ac:dyDescent="0.2">
      <c r="B40" s="169" t="s">
        <v>157</v>
      </c>
      <c r="C40" s="169"/>
      <c r="D40" s="2">
        <f>'1. Data &amp; Confidence Interval'!S25</f>
        <v>-1.9145268124489523E-2</v>
      </c>
    </row>
  </sheetData>
  <mergeCells count="2">
    <mergeCell ref="B40:C40"/>
    <mergeCell ref="B39:C39"/>
  </mergeCells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24:P28 S2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3:P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:W21 Q16:W1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2021-11-04T16:38:06Z</dcterms:modified>
</cp:coreProperties>
</file>