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NN\"/>
    </mc:Choice>
  </mc:AlternateContent>
  <xr:revisionPtr revIDLastSave="0" documentId="13_ncr:1_{11D02D8B-EE8D-4383-B317-B2B1AB967BE5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S25" i="1"/>
  <c r="S24" i="1"/>
  <c r="H31" i="4"/>
  <c r="R35" i="4"/>
  <c r="R34" i="4"/>
  <c r="G34" i="4" s="1"/>
  <c r="R33" i="4"/>
  <c r="G33" i="4" s="1"/>
  <c r="R32" i="4"/>
  <c r="G32" i="4" s="1"/>
  <c r="R31" i="4"/>
  <c r="G31" i="4" s="1"/>
  <c r="R30" i="4"/>
  <c r="G30" i="4" s="1"/>
  <c r="G35" i="4"/>
  <c r="C2" i="4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7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N7" i="2"/>
  <c r="M7" i="2"/>
  <c r="L7" i="2"/>
  <c r="K7" i="2"/>
  <c r="K8" i="2"/>
  <c r="L8" i="2"/>
  <c r="M8" i="2"/>
  <c r="N8" i="2"/>
  <c r="O8" i="2"/>
  <c r="K9" i="2"/>
  <c r="L9" i="2"/>
  <c r="M9" i="2"/>
  <c r="N9" i="2"/>
  <c r="O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K13" i="2"/>
  <c r="L13" i="2"/>
  <c r="M13" i="2"/>
  <c r="N13" i="2"/>
  <c r="O13" i="2"/>
  <c r="K14" i="2"/>
  <c r="L14" i="2"/>
  <c r="M14" i="2"/>
  <c r="N14" i="2"/>
  <c r="O14" i="2"/>
  <c r="K15" i="2"/>
  <c r="L15" i="2"/>
  <c r="M15" i="2"/>
  <c r="N15" i="2"/>
  <c r="O15" i="2"/>
  <c r="K16" i="2"/>
  <c r="L16" i="2"/>
  <c r="M16" i="2"/>
  <c r="N16" i="2"/>
  <c r="O16" i="2"/>
  <c r="K17" i="2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L20" i="2"/>
  <c r="M20" i="2"/>
  <c r="N20" i="2"/>
  <c r="O20" i="2"/>
  <c r="K21" i="2"/>
  <c r="L21" i="2"/>
  <c r="M21" i="2"/>
  <c r="N21" i="2"/>
  <c r="O21" i="2"/>
  <c r="K22" i="2"/>
  <c r="L22" i="2"/>
  <c r="M22" i="2"/>
  <c r="N22" i="2"/>
  <c r="O22" i="2"/>
  <c r="K23" i="2"/>
  <c r="L23" i="2"/>
  <c r="M23" i="2"/>
  <c r="N23" i="2"/>
  <c r="O23" i="2"/>
  <c r="O7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AK26" i="1" l="1"/>
  <c r="AK25" i="1"/>
  <c r="AK24" i="1"/>
  <c r="AK23" i="1"/>
  <c r="AK22" i="1"/>
  <c r="AK21" i="1"/>
  <c r="AK20" i="1"/>
  <c r="V24" i="1"/>
  <c r="V25" i="1"/>
  <c r="AK18" i="1"/>
  <c r="AJ18" i="1"/>
  <c r="R23" i="2"/>
  <c r="J28" i="2"/>
  <c r="J29" i="2"/>
  <c r="J30" i="2"/>
  <c r="J40" i="2"/>
  <c r="J41" i="2"/>
  <c r="J42" i="2"/>
  <c r="J39" i="2"/>
  <c r="AJ17" i="1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30" i="2"/>
  <c r="E29" i="2"/>
  <c r="E28" i="2"/>
  <c r="A28" i="2"/>
  <c r="B28" i="2"/>
  <c r="C28" i="2"/>
  <c r="D28" i="2"/>
  <c r="F28" i="2"/>
  <c r="G28" i="2"/>
  <c r="H28" i="2"/>
  <c r="I28" i="2"/>
  <c r="R28" i="2"/>
  <c r="A29" i="2"/>
  <c r="B29" i="2"/>
  <c r="C29" i="2"/>
  <c r="D29" i="2"/>
  <c r="F29" i="2"/>
  <c r="G29" i="2"/>
  <c r="H29" i="2"/>
  <c r="I29" i="2"/>
  <c r="L29" i="2"/>
  <c r="R29" i="2"/>
  <c r="A30" i="2"/>
  <c r="B30" i="2"/>
  <c r="C30" i="2"/>
  <c r="D30" i="2"/>
  <c r="F30" i="2"/>
  <c r="G30" i="2"/>
  <c r="H30" i="2"/>
  <c r="I30" i="2"/>
  <c r="K30" i="2"/>
  <c r="M30" i="2"/>
  <c r="N30" i="2"/>
  <c r="O30" i="2"/>
  <c r="P30" i="2"/>
  <c r="Q30" i="2"/>
  <c r="R30" i="2"/>
  <c r="R24" i="2"/>
  <c r="I24" i="2"/>
  <c r="H24" i="2"/>
  <c r="G24" i="2"/>
  <c r="F24" i="2"/>
  <c r="E24" i="2"/>
  <c r="L30" i="2"/>
  <c r="P24" i="2"/>
  <c r="K24" i="2"/>
  <c r="G40" i="2"/>
  <c r="H39" i="2"/>
  <c r="H40" i="2"/>
  <c r="G44" i="2"/>
  <c r="G43" i="2"/>
  <c r="G42" i="2"/>
  <c r="G41" i="2"/>
  <c r="G39" i="2"/>
  <c r="G37" i="2"/>
  <c r="G36" i="2"/>
  <c r="E39" i="2"/>
  <c r="E46" i="2" l="1" a="1"/>
  <c r="E46" i="2" s="1"/>
  <c r="E45" i="2" a="1"/>
  <c r="E45" i="2" s="1"/>
  <c r="J24" i="2"/>
  <c r="K29" i="2"/>
  <c r="O24" i="2"/>
  <c r="N24" i="2"/>
  <c r="L24" i="2"/>
  <c r="M24" i="2"/>
  <c r="P29" i="2"/>
  <c r="N29" i="2"/>
  <c r="O29" i="2"/>
  <c r="M29" i="2"/>
  <c r="AJ13" i="1"/>
  <c r="Q31" i="2"/>
  <c r="P31" i="2"/>
  <c r="O31" i="2"/>
  <c r="N31" i="2"/>
  <c r="M31" i="2"/>
  <c r="L31" i="2"/>
  <c r="K31" i="2"/>
  <c r="R31" i="2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Q24" i="2" l="1"/>
  <c r="Q29" i="2"/>
  <c r="F20" i="3"/>
  <c r="R44" i="2" l="1"/>
  <c r="R43" i="2"/>
  <c r="R42" i="2"/>
  <c r="R41" i="2"/>
  <c r="R39" i="2"/>
  <c r="R38" i="2"/>
  <c r="R37" i="2"/>
  <c r="R36" i="2"/>
  <c r="R35" i="2"/>
  <c r="R34" i="2"/>
  <c r="R33" i="2"/>
  <c r="R32" i="2"/>
  <c r="H20" i="3" l="1"/>
  <c r="R40" i="2" l="1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F42" i="2"/>
  <c r="H42" i="2"/>
  <c r="I42" i="2"/>
  <c r="F43" i="2"/>
  <c r="H43" i="2"/>
  <c r="I43" i="2"/>
  <c r="J43" i="2"/>
  <c r="F44" i="2"/>
  <c r="H44" i="2"/>
  <c r="I44" i="2"/>
  <c r="J44" i="2"/>
  <c r="G46" i="2" l="1" a="1"/>
  <c r="G46" i="2" s="1"/>
  <c r="G45" i="2" a="1"/>
  <c r="G45" i="2" s="1"/>
  <c r="Q46" i="2" a="1"/>
  <c r="Q46" i="2" s="1"/>
  <c r="Q45" i="2" a="1"/>
  <c r="Q45" i="2" s="1"/>
  <c r="O46" i="2" a="1"/>
  <c r="O46" i="2" s="1"/>
  <c r="O45" i="2" a="1"/>
  <c r="O45" i="2" s="1"/>
  <c r="P46" i="2" a="1"/>
  <c r="P46" i="2" s="1"/>
  <c r="P45" i="2" a="1"/>
  <c r="P45" i="2" s="1"/>
  <c r="N46" i="2" a="1"/>
  <c r="N46" i="2" s="1"/>
  <c r="N45" i="2" a="1"/>
  <c r="N45" i="2" s="1"/>
  <c r="M46" i="2" a="1"/>
  <c r="M46" i="2" s="1"/>
  <c r="M45" i="2" a="1"/>
  <c r="M45" i="2" s="1"/>
  <c r="H46" i="2" a="1"/>
  <c r="H46" i="2" s="1"/>
  <c r="H45" i="2" a="1"/>
  <c r="H45" i="2" s="1"/>
  <c r="F46" i="2" a="1"/>
  <c r="F46" i="2" s="1"/>
  <c r="F45" i="2" a="1"/>
  <c r="F45" i="2" s="1"/>
  <c r="L46" i="2" a="1"/>
  <c r="L46" i="2" s="1"/>
  <c r="L45" i="2" a="1"/>
  <c r="L45" i="2" s="1"/>
  <c r="K46" i="2" a="1"/>
  <c r="K46" i="2" s="1"/>
  <c r="K45" i="2" a="1"/>
  <c r="K45" i="2" s="1"/>
  <c r="J46" i="2" a="1"/>
  <c r="J46" i="2" s="1"/>
  <c r="J45" i="2" a="1"/>
  <c r="J45" i="2" s="1"/>
  <c r="R46" i="2" a="1"/>
  <c r="R46" i="2" s="1"/>
  <c r="R45" i="2" a="1"/>
  <c r="R45" i="2" s="1"/>
  <c r="I46" i="2" a="1"/>
  <c r="I46" i="2" s="1"/>
  <c r="I45" i="2" a="1"/>
  <c r="I45" i="2" s="1"/>
  <c r="D47" i="4"/>
  <c r="W22" i="1" l="1"/>
  <c r="X20" i="1"/>
  <c r="W20" i="1"/>
  <c r="Z20" i="1"/>
  <c r="Y20" i="1"/>
  <c r="AB22" i="1"/>
  <c r="Z22" i="1"/>
  <c r="V20" i="1"/>
  <c r="AB20" i="1"/>
  <c r="AA20" i="1"/>
  <c r="AF17" i="1"/>
  <c r="AD22" i="1"/>
  <c r="I17" i="1"/>
  <c r="I18" i="1"/>
  <c r="U22" i="1"/>
  <c r="S22" i="1"/>
  <c r="K18" i="1"/>
  <c r="K13" i="1"/>
  <c r="K17" i="1"/>
  <c r="H17" i="1"/>
  <c r="H18" i="1"/>
  <c r="U17" i="1"/>
  <c r="U18" i="1"/>
  <c r="U13" i="1"/>
  <c r="U20" i="1"/>
  <c r="Q17" i="1"/>
  <c r="Q18" i="1"/>
  <c r="Q13" i="1"/>
  <c r="AB18" i="1"/>
  <c r="AB13" i="1"/>
  <c r="AB17" i="1"/>
  <c r="L17" i="1"/>
  <c r="L13" i="1"/>
  <c r="L18" i="1"/>
  <c r="M17" i="1"/>
  <c r="M13" i="1"/>
  <c r="M18" i="1"/>
  <c r="Y18" i="1"/>
  <c r="Y22" i="1"/>
  <c r="Y13" i="1"/>
  <c r="Y17" i="1"/>
  <c r="R17" i="1"/>
  <c r="R18" i="1"/>
  <c r="R13" i="1"/>
  <c r="W17" i="1"/>
  <c r="W13" i="1"/>
  <c r="W18" i="1"/>
  <c r="AF20" i="1"/>
  <c r="AC17" i="1"/>
  <c r="AC20" i="1"/>
  <c r="AC18" i="1"/>
  <c r="AC13" i="1"/>
  <c r="AC22" i="1"/>
  <c r="J18" i="1"/>
  <c r="J13" i="1"/>
  <c r="J10" i="1" s="1"/>
  <c r="J17" i="1"/>
  <c r="AF13" i="1"/>
  <c r="AF22" i="1"/>
  <c r="N18" i="1"/>
  <c r="N13" i="1"/>
  <c r="N17" i="1"/>
  <c r="S17" i="1"/>
  <c r="S18" i="1"/>
  <c r="S13" i="1"/>
  <c r="S20" i="1"/>
  <c r="AA22" i="1"/>
  <c r="F18" i="1"/>
  <c r="F17" i="1"/>
  <c r="P17" i="1"/>
  <c r="P13" i="1"/>
  <c r="P18" i="1"/>
  <c r="G17" i="1"/>
  <c r="G18" i="1"/>
  <c r="T22" i="1"/>
  <c r="T20" i="1"/>
  <c r="T18" i="1"/>
  <c r="T13" i="1"/>
  <c r="T17" i="1"/>
  <c r="O18" i="1"/>
  <c r="O13" i="1"/>
  <c r="O17" i="1"/>
  <c r="AA17" i="1"/>
  <c r="AA13" i="1"/>
  <c r="AA18" i="1"/>
  <c r="AD20" i="1"/>
  <c r="AD13" i="1"/>
  <c r="AD17" i="1"/>
  <c r="V17" i="1"/>
  <c r="V22" i="1"/>
  <c r="V13" i="1"/>
  <c r="V18" i="1"/>
  <c r="Z17" i="1"/>
  <c r="Z13" i="1"/>
  <c r="Z18" i="1"/>
  <c r="X17" i="1"/>
  <c r="X18" i="1"/>
  <c r="X13" i="1"/>
  <c r="X22" i="1"/>
  <c r="AE17" i="1"/>
  <c r="AE22" i="1"/>
  <c r="AE13" i="1"/>
  <c r="AE20" i="1"/>
  <c r="AG22" i="1"/>
  <c r="AG20" i="1"/>
  <c r="AG17" i="1"/>
  <c r="AI22" i="1"/>
  <c r="AI18" i="1"/>
  <c r="AI20" i="1"/>
  <c r="AI13" i="1"/>
  <c r="AI17" i="1"/>
  <c r="AG13" i="1"/>
  <c r="AH22" i="1"/>
  <c r="AH18" i="1"/>
  <c r="AH20" i="1"/>
  <c r="AH17" i="1"/>
  <c r="AH13" i="1"/>
  <c r="Z21" i="1" l="1"/>
  <c r="AD23" i="1"/>
  <c r="B7" i="1"/>
  <c r="M2" i="1" s="1"/>
  <c r="AH21" i="1"/>
  <c r="AE21" i="1"/>
  <c r="W21" i="1"/>
  <c r="AH23" i="1"/>
  <c r="AI23" i="1"/>
  <c r="AJ10" i="1"/>
  <c r="AG21" i="1"/>
  <c r="AG23" i="1"/>
  <c r="AA21" i="1"/>
  <c r="V21" i="1"/>
  <c r="X23" i="1"/>
  <c r="AE23" i="1"/>
  <c r="W23" i="1"/>
  <c r="AF23" i="1"/>
  <c r="AA23" i="1"/>
  <c r="AI21" i="1"/>
  <c r="Y23" i="1"/>
  <c r="AF21" i="1"/>
  <c r="AC21" i="1"/>
  <c r="AC23" i="1"/>
  <c r="V23" i="1"/>
  <c r="Z23" i="1"/>
  <c r="X21" i="1"/>
  <c r="AD21" i="1"/>
  <c r="AB23" i="1"/>
  <c r="AB21" i="1"/>
  <c r="Y21" i="1"/>
  <c r="D48" i="4"/>
  <c r="C7" i="1" l="1"/>
  <c r="M3" i="1" s="1"/>
  <c r="N2" i="1"/>
  <c r="O2" i="1" s="1"/>
  <c r="N3" i="1" l="1"/>
  <c r="O3" i="1"/>
  <c r="P3" i="1" s="1"/>
  <c r="P2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<sst xmlns="http://schemas.openxmlformats.org/spreadsheetml/2006/main" count="312" uniqueCount="175">
  <si>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</si>
  <si>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</si>
  <si>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</si>
  <si>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</si>
  <si>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</si>
  <si>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</si>
  <si>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</si>
  <si>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</si>
  <si>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</si>
  <si>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</si>
  <si>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</si>
  <si>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</si>
  <si>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</si>
  <si>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</si>
  <si>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</si>
  <si>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</si>
  <si>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</si>
  <si>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</si>
  <si>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</si>
  <si>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</si>
  <si>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</si>
  <si>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</si>
  <si>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</si>
  <si>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</si>
  <si>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</si>
  <si>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</si>
  <si>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</si>
  <si>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</si>
  <si>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</si>
  <si>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</si>
  <si>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</si>
  <si>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</si>
  <si>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</si>
  <si>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</si>
  <si>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</si>
  <si>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</si>
  <si>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</si>
  <si>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</si>
  <si>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</si>
  <si>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</si>
  <si>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</si>
  <si>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</si>
  <si>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</si>
  <si>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</si>
  <si>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</si>
  <si>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</si>
  <si>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</si>
  <si>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</si>
  <si>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</si>
  <si>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</si>
  <si>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</si>
  <si>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</si>
  <si>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</si>
  <si>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</si>
  <si>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</si>
  <si>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</si>
  <si>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</si>
  <si>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</si>
  <si>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</si>
  <si>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</si>
  <si>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</si>
  <si>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</si>
  <si>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</si>
  <si>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</si>
  <si>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</si>
  <si>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</si>
  <si>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</si>
  <si>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</si>
  <si>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</si>
  <si>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</si>
  <si>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</si>
  <si>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</si>
  <si>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</si>
  <si>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</si>
  <si>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</si>
  <si>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</si>
  <si>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</si>
  <si>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</si>
  <si>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</si>
  <si>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</si>
  <si>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</si>
  <si>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</si>
  <si>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</si>
  <si>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</si>
  <si>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</si>
  <si>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</si>
  <si>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</si>
  <si>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</si>
  <si>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</si>
  <si>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</si>
  <si>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</si>
  <si>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</si>
  <si>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</si>
  <si>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</si>
  <si>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</si>
  <si>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</si>
  <si>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</si>
  <si>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</si>
  <si>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</si>
  <si>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</si>
  <si>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</si>
  <si>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</si>
  <si>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</si>
  <si>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</si>
  <si>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</si>
  <si>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</si>
  <si>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</si>
  <si>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</si>
  <si>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</si>
  <si>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</si>
  <si>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</si>
  <si>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</si>
  <si>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</si>
  <si>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</si>
  <si>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</si>
  <si>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</si>
  <si>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</si>
  <si>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</si>
  <si>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</si>
  <si>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</si>
  <si>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</si>
  <si>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</si>
  <si>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</si>
  <si>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</si>
  <si>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</si>
  <si>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</si>
  <si>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</si>
  <si>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</si>
  <si>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</si>
  <si>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</si>
  <si>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</si>
  <si>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</si>
  <si>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</si>
  <si>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</si>
  <si>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</si>
  <si>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</si>
  <si>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</si>
  <si>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</si>
  <si>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</si>
  <si>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</si>
  <si>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</si>
  <si>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</si>
  <si>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</si>
  <si>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</si>
  <si>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</si>
  <si>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</si>
  <si>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</si>
  <si>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</si>
  <si>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</si>
  <si>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</si>
  <si>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</si>
  <si>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</si>
  <si>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</si>
  <si>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</si>
  <si>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</si>
  <si>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</si>
  <si>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</si>
  <si>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</si>
  <si>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</si>
  <si>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</si>
  <si>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</si>
  <si>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</si>
  <si>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</si>
  <si>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</si>
  <si>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</si>
  <si>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</si>
  <si>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</si>
  <si>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</si>
  <si>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</si>
  <si>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</si>
  <si>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</si>
  <si>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CORRELATION</t>
  </si>
  <si>
    <t>SNN_AWM</t>
  </si>
  <si>
    <t>Advanced Wound Management Revenue</t>
  </si>
  <si>
    <t>NSS_LR_GR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</si>
</sst>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17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E1" zoomScale="70" zoomScaleNormal="70" workbookViewId="0">
      <selection activeCell="S25" sqref="S25"/>
    </sheetView>
  </sheetViews>
  <sheetFormatPr defaultRowHeight="12.75" x14ac:dyDescent="0.2"/>
  <cols>
    <col min="1" max="1" width="17.85546875" bestFit="1" customWidth="1"/>
    <col min="2" max="5" width="17.85546875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30" t="s">
        <v>172</v>
      </c>
      <c r="B1" s="131"/>
      <c r="C1" s="132"/>
      <c r="K1" s="139" t="s">
        <v>35</v>
      </c>
      <c r="L1" s="140"/>
      <c r="M1" s="61" t="s">
        <v>31</v>
      </c>
      <c r="N1" s="61" t="s">
        <v>32</v>
      </c>
      <c r="O1" s="4" t="s">
        <v>39</v>
      </c>
      <c r="P1" s="141" t="s">
        <v>41</v>
      </c>
      <c r="Q1" s="142"/>
    </row>
    <row r="2" spans="1:37" x14ac:dyDescent="0.2">
      <c r="A2" s="133"/>
      <c r="B2" s="134"/>
      <c r="C2" s="135"/>
      <c r="K2" s="59" t="s">
        <v>37</v>
      </c>
      <c r="L2" s="60"/>
      <c r="M2" s="62">
        <f>$B$7*($AK$25-2*$AK$26)</f>
        <v>180.88577799460529</v>
      </c>
      <c r="N2" s="62">
        <f>$B$7*($AK$25+2*$AK$26)</f>
        <v>192.51903258422635</v>
      </c>
      <c r="O2" s="64">
        <f>AVERAGE(M2:N2)</f>
        <v>186.70240528941582</v>
      </c>
      <c r="P2" s="143">
        <f>$O$2/AF14-1</f>
        <v>5.2076062262504497E-2</v>
      </c>
      <c r="Q2" s="144"/>
    </row>
    <row r="3" spans="1:37" x14ac:dyDescent="0.2">
      <c r="A3" s="136"/>
      <c r="B3" s="137"/>
      <c r="C3" s="138"/>
      <c r="K3" s="45" t="s">
        <v>38</v>
      </c>
      <c r="L3" s="19"/>
      <c r="M3" s="63">
        <f>$C$7*($AK$25-2*$AK$26)</f>
        <v>185.81902648536723</v>
      </c>
      <c r="N3" s="63">
        <f>$C$7*($AK$25+2*$AK$26)</f>
        <v>197.76955165470523</v>
      </c>
      <c r="O3" s="65">
        <f>AVERAGE(M3:N3)</f>
        <v>191.79428907003623</v>
      </c>
      <c r="P3" s="145">
        <f>$O$3/AF15-1</f>
        <v>8.0769045778754656E-2</v>
      </c>
      <c r="Q3" s="146"/>
    </row>
    <row r="4" spans="1:37" x14ac:dyDescent="0.2">
      <c r="A4" s="50"/>
      <c r="B4" s="50"/>
      <c r="C4" s="50"/>
      <c r="N4" s="4" t="s">
        <v>40</v>
      </c>
      <c r="O4" s="65">
        <f>AVERAGE(O2:O3)</f>
        <v>189.24834717972601</v>
      </c>
      <c r="P4" s="145">
        <f>$O$4/AF15-1</f>
        <v>6.6422554020629576E-2</v>
      </c>
      <c r="Q4" s="146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5016.2200000000012</v>
      </c>
      <c r="C6" s="57">
        <v>5153.0260000000007</v>
      </c>
    </row>
    <row r="7" spans="1:37" ht="14.25" x14ac:dyDescent="0.2">
      <c r="A7" s="53" t="s">
        <v>36</v>
      </c>
      <c r="B7" s="54">
        <f>B6*$AK$24</f>
        <v>730.36828914857131</v>
      </c>
      <c r="C7" s="55">
        <f>C6*$AK$24</f>
        <v>750.28742430716864</v>
      </c>
    </row>
    <row r="8" spans="1:37" x14ac:dyDescent="0.2">
      <c r="F8" s="50"/>
    </row>
    <row r="9" spans="1:37" x14ac:dyDescent="0.2">
      <c r="F9" s="50"/>
      <c r="G9" s="50"/>
      <c r="H9" s="50"/>
    </row>
    <row r="10" spans="1:37" x14ac:dyDescent="0.2">
      <c r="H10" s="114" t="s">
        <v>15</v>
      </c>
      <c r="I10" s="114"/>
      <c r="J10" s="35">
        <f>AVERAGE(F13:AJ13)</f>
        <v>1.0523402556689627</v>
      </c>
      <c r="AG10" s="114" t="s">
        <v>16</v>
      </c>
      <c r="AH10" s="114"/>
      <c r="AI10" s="114"/>
      <c r="AJ10" s="80">
        <f>AVERAGE(AG13:AJ13)</f>
        <v>1.1409314329282372</v>
      </c>
    </row>
    <row r="11" spans="1:37" x14ac:dyDescent="0.2">
      <c r="A11" s="51" t="s">
        <v>6</v>
      </c>
      <c r="B11" s="147">
        <v>2012</v>
      </c>
      <c r="C11" s="148"/>
      <c r="D11" s="148"/>
      <c r="E11" s="149"/>
      <c r="F11" s="120">
        <v>2014</v>
      </c>
      <c r="G11" s="120"/>
      <c r="H11" s="120"/>
      <c r="I11" s="121"/>
      <c r="J11" s="122">
        <v>2015</v>
      </c>
      <c r="K11" s="123"/>
      <c r="L11" s="123"/>
      <c r="M11" s="124"/>
      <c r="N11" s="122">
        <v>2016</v>
      </c>
      <c r="O11" s="123"/>
      <c r="P11" s="123"/>
      <c r="Q11" s="124"/>
      <c r="R11" s="156">
        <v>2017</v>
      </c>
      <c r="S11" s="157"/>
      <c r="T11" s="157"/>
      <c r="U11" s="158"/>
      <c r="V11" s="152">
        <v>2018</v>
      </c>
      <c r="W11" s="153"/>
      <c r="X11" s="153"/>
      <c r="Y11" s="154"/>
      <c r="Z11" s="116">
        <v>2019</v>
      </c>
      <c r="AA11" s="117"/>
      <c r="AB11" s="117"/>
      <c r="AC11" s="118"/>
      <c r="AD11" s="119">
        <v>2020</v>
      </c>
      <c r="AE11" s="120"/>
      <c r="AF11" s="120"/>
      <c r="AG11" s="121"/>
      <c r="AH11" s="122">
        <v>2021</v>
      </c>
      <c r="AI11" s="123"/>
      <c r="AJ11" s="123"/>
      <c r="AK11" s="124"/>
    </row>
    <row r="12" spans="1:37" x14ac:dyDescent="0.2">
      <c r="A12" s="14" t="s">
        <v>19</v>
      </c>
      <c r="B12" s="104" t="s">
        <v>20</v>
      </c>
      <c r="C12" s="104" t="s">
        <v>3</v>
      </c>
      <c r="D12" s="104" t="s">
        <v>4</v>
      </c>
      <c r="E12" s="104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B13" s="105"/>
      <c r="C13" s="105"/>
      <c r="D13" s="105"/>
      <c r="E13" s="105"/>
      <c r="F13" s="84"/>
      <c r="G13" s="84"/>
      <c r="H13" s="84"/>
      <c r="I13" s="84"/>
      <c r="J13" s="84">
        <f>J15/F15</f>
        <v>1.0131345653585933</v>
      </c>
      <c r="K13" s="84">
        <f t="shared" ref="K13:AI13" si="0">K15/G15</f>
        <v>1.0540987897660772</v>
      </c>
      <c r="L13" s="84">
        <f t="shared" si="0"/>
        <v>1.0497855297877472</v>
      </c>
      <c r="M13" s="84">
        <f t="shared" si="0"/>
        <v>1.1116447079038876</v>
      </c>
      <c r="N13" s="84">
        <f t="shared" si="0"/>
        <v>1.0467665128953367</v>
      </c>
      <c r="O13" s="84">
        <f t="shared" si="0"/>
        <v>1.0042977278018783</v>
      </c>
      <c r="P13" s="84">
        <f t="shared" si="0"/>
        <v>0.98981301354605178</v>
      </c>
      <c r="Q13" s="84">
        <f t="shared" si="0"/>
        <v>0.98804194882827723</v>
      </c>
      <c r="R13" s="84">
        <f t="shared" si="0"/>
        <v>1.0061303208173422</v>
      </c>
      <c r="S13" s="84">
        <f t="shared" si="0"/>
        <v>1.0460346277773316</v>
      </c>
      <c r="T13" s="84">
        <f t="shared" si="0"/>
        <v>1.0472503285914312</v>
      </c>
      <c r="U13" s="84">
        <f t="shared" si="0"/>
        <v>1.0330143338984192</v>
      </c>
      <c r="V13" s="84">
        <f t="shared" si="0"/>
        <v>0.97164803920278153</v>
      </c>
      <c r="W13" s="84">
        <f t="shared" si="0"/>
        <v>1.0065902203443819</v>
      </c>
      <c r="X13" s="84">
        <f t="shared" si="0"/>
        <v>1.0198837145594388</v>
      </c>
      <c r="Y13" s="84">
        <f t="shared" si="0"/>
        <v>1.0302840368875488</v>
      </c>
      <c r="Z13" s="84">
        <f t="shared" si="0"/>
        <v>1.0292097384081993</v>
      </c>
      <c r="AA13" s="84">
        <f t="shared" si="0"/>
        <v>1.1164735853045398</v>
      </c>
      <c r="AB13" s="84">
        <f t="shared" si="0"/>
        <v>1.1505285496118447</v>
      </c>
      <c r="AC13" s="84">
        <f t="shared" si="0"/>
        <v>1.1654169613872849</v>
      </c>
      <c r="AD13" s="84">
        <f t="shared" si="0"/>
        <v>1.1636981363835071</v>
      </c>
      <c r="AE13" s="84">
        <f t="shared" si="0"/>
        <v>0.81293166205428691</v>
      </c>
      <c r="AF13" s="84">
        <f t="shared" si="0"/>
        <v>0.99278412023285711</v>
      </c>
      <c r="AG13" s="84">
        <f t="shared" si="0"/>
        <v>0.98296522232041983</v>
      </c>
      <c r="AH13" s="84">
        <f t="shared" si="0"/>
        <v>1.1227149755393511</v>
      </c>
      <c r="AI13" s="84">
        <f t="shared" si="0"/>
        <v>1.3860392463027582</v>
      </c>
      <c r="AJ13" s="84">
        <f>AJ14/AF14</f>
        <v>1.0720062875504197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101">
        <v>127.50742106683457</v>
      </c>
      <c r="G14" s="101">
        <v>139.96850327565934</v>
      </c>
      <c r="H14" s="101">
        <v>139.98955984298001</v>
      </c>
      <c r="I14" s="101">
        <v>144.68011660018414</v>
      </c>
      <c r="J14" s="101">
        <v>129.18217562254259</v>
      </c>
      <c r="K14" s="101">
        <v>147.54062990824173</v>
      </c>
      <c r="L14" s="101">
        <v>146.95901424451631</v>
      </c>
      <c r="M14" s="101">
        <v>160.83288595751208</v>
      </c>
      <c r="N14" s="101">
        <v>135.22357550464187</v>
      </c>
      <c r="O14" s="101">
        <v>148.17471937530502</v>
      </c>
      <c r="P14" s="101">
        <v>145.46194475712184</v>
      </c>
      <c r="Q14" s="101">
        <v>158.90963807713629</v>
      </c>
      <c r="R14" s="101">
        <v>136.05253940455341</v>
      </c>
      <c r="S14" s="101">
        <v>154.99588742775774</v>
      </c>
      <c r="T14" s="101">
        <v>152.33506944444446</v>
      </c>
      <c r="U14" s="101">
        <v>164.15593392829183</v>
      </c>
      <c r="V14" s="101">
        <v>132.19518314099349</v>
      </c>
      <c r="W14" s="101">
        <v>156.01734447837967</v>
      </c>
      <c r="X14" s="101">
        <v>155.36405648267009</v>
      </c>
      <c r="Y14" s="101">
        <v>169.12723828668624</v>
      </c>
      <c r="Z14" s="101">
        <v>136.05656985936591</v>
      </c>
      <c r="AA14" s="101">
        <v>174.18924395946999</v>
      </c>
      <c r="AB14" s="101">
        <v>178.75078256681914</v>
      </c>
      <c r="AC14" s="101">
        <v>197.10375213189315</v>
      </c>
      <c r="AD14" s="101">
        <v>158.32877678807654</v>
      </c>
      <c r="AE14" s="101">
        <v>141.6039516039516</v>
      </c>
      <c r="AF14" s="101">
        <v>177.46093841153427</v>
      </c>
      <c r="AG14" s="101">
        <v>193.74613353451528</v>
      </c>
      <c r="AH14" s="101">
        <v>177.75808875880074</v>
      </c>
      <c r="AI14" s="101">
        <v>196.26863435463332</v>
      </c>
      <c r="AJ14" s="62">
        <v>190.23924177176252</v>
      </c>
      <c r="AK14" s="6">
        <v>176</v>
      </c>
    </row>
    <row r="15" spans="1:37" x14ac:dyDescent="0.2">
      <c r="A15" s="15" t="s">
        <v>1</v>
      </c>
      <c r="B15" s="6"/>
      <c r="C15" s="6"/>
      <c r="D15" s="6"/>
      <c r="E15" s="6"/>
      <c r="F15" s="101">
        <v>127.50742106683457</v>
      </c>
      <c r="G15" s="101">
        <v>139.96850327565934</v>
      </c>
      <c r="H15" s="101">
        <v>139.98955984298001</v>
      </c>
      <c r="I15" s="101">
        <v>144.68011660018414</v>
      </c>
      <c r="J15" s="101">
        <v>129.18217562254259</v>
      </c>
      <c r="K15" s="101">
        <v>147.54062990824173</v>
      </c>
      <c r="L15" s="101">
        <v>146.95901424451631</v>
      </c>
      <c r="M15" s="101">
        <v>160.83288595751208</v>
      </c>
      <c r="N15" s="101">
        <v>135.22357550464187</v>
      </c>
      <c r="O15" s="101">
        <v>148.17471937530502</v>
      </c>
      <c r="P15" s="101">
        <v>145.46194475712184</v>
      </c>
      <c r="Q15" s="101">
        <v>158.90963807713629</v>
      </c>
      <c r="R15" s="101">
        <v>136.05253940455341</v>
      </c>
      <c r="S15" s="101">
        <v>154.99588742775774</v>
      </c>
      <c r="T15" s="101">
        <v>152.33506944444446</v>
      </c>
      <c r="U15" s="101">
        <v>164.15593392829183</v>
      </c>
      <c r="V15" s="101">
        <v>132.19518314099349</v>
      </c>
      <c r="W15" s="101">
        <v>156.01734447837967</v>
      </c>
      <c r="X15" s="101">
        <v>155.36405648267009</v>
      </c>
      <c r="Y15" s="101">
        <v>169.12723828668624</v>
      </c>
      <c r="Z15" s="101">
        <v>136.05656985936591</v>
      </c>
      <c r="AA15" s="101">
        <v>174.18924395946999</v>
      </c>
      <c r="AB15" s="101">
        <v>178.75078256681914</v>
      </c>
      <c r="AC15" s="101">
        <v>197.10375213189315</v>
      </c>
      <c r="AD15" s="101">
        <v>158.32877678807654</v>
      </c>
      <c r="AE15" s="101">
        <v>141.6039516039516</v>
      </c>
      <c r="AF15" s="101">
        <v>177.46093841153427</v>
      </c>
      <c r="AG15" s="101">
        <v>193.74613353451528</v>
      </c>
      <c r="AH15" s="101">
        <v>177.75808875880074</v>
      </c>
      <c r="AI15" s="101">
        <v>196.26863435463332</v>
      </c>
      <c r="AJ15" s="101"/>
      <c r="AK15" s="10"/>
    </row>
    <row r="16" spans="1:37" x14ac:dyDescent="0.2">
      <c r="A16" s="15" t="s">
        <v>157</v>
      </c>
      <c r="B16" s="9"/>
      <c r="C16" s="9"/>
      <c r="D16" s="9"/>
      <c r="E16" s="9"/>
      <c r="F16" s="81">
        <v>1111.7</v>
      </c>
      <c r="G16" s="81">
        <v>1190.5999999999999</v>
      </c>
      <c r="H16" s="81">
        <v>1197.3</v>
      </c>
      <c r="I16" s="81">
        <v>1303.5999999999999</v>
      </c>
      <c r="J16" s="81">
        <v>1144.5</v>
      </c>
      <c r="K16" s="81">
        <v>1209.7</v>
      </c>
      <c r="L16" s="81">
        <v>1144.3</v>
      </c>
      <c r="M16" s="81">
        <v>1303.9000000000001</v>
      </c>
      <c r="N16" s="81">
        <v>1174.0999999999999</v>
      </c>
      <c r="O16" s="81">
        <v>1229.4000000000001</v>
      </c>
      <c r="P16" s="81">
        <v>1154.9000000000001</v>
      </c>
      <c r="Q16" s="81">
        <v>1262.7</v>
      </c>
      <c r="R16" s="81">
        <v>1142</v>
      </c>
      <c r="S16" s="81">
        <v>1193.9000000000001</v>
      </c>
      <c r="T16" s="81">
        <v>1152</v>
      </c>
      <c r="U16" s="81">
        <v>1277.4000000000001</v>
      </c>
      <c r="V16" s="81">
        <v>1195.8</v>
      </c>
      <c r="W16" s="81">
        <v>1244.2</v>
      </c>
      <c r="X16" s="81">
        <v>1168.5</v>
      </c>
      <c r="Y16" s="81">
        <v>1293.4000000000001</v>
      </c>
      <c r="Z16" s="81">
        <v>1201.7</v>
      </c>
      <c r="AA16" s="81">
        <v>1283</v>
      </c>
      <c r="AB16" s="81">
        <v>1245.9000000000001</v>
      </c>
      <c r="AC16" s="81">
        <v>1407.2</v>
      </c>
      <c r="AD16" s="81">
        <v>1133.9000000000001</v>
      </c>
      <c r="AE16">
        <v>900.9</v>
      </c>
      <c r="AF16" s="81">
        <v>1199.9000000000001</v>
      </c>
      <c r="AG16" s="81">
        <v>1325.5</v>
      </c>
      <c r="AH16" s="81">
        <v>1264.0999999999999</v>
      </c>
      <c r="AI16" s="81">
        <v>1334.9</v>
      </c>
      <c r="AJ16" s="81">
        <v>1300.4000000000001</v>
      </c>
      <c r="AK16" s="81"/>
    </row>
    <row r="17" spans="1:38" x14ac:dyDescent="0.2">
      <c r="A17" s="85" t="s">
        <v>18</v>
      </c>
      <c r="B17" s="86"/>
      <c r="C17" s="86"/>
      <c r="D17" s="86"/>
      <c r="E17" s="86"/>
      <c r="F17" s="86">
        <f t="shared" ref="F17:K17" si="1">F15/F16</f>
        <v>0.11469589013837776</v>
      </c>
      <c r="G17" s="86">
        <f t="shared" si="1"/>
        <v>0.11756131637465089</v>
      </c>
      <c r="H17" s="86">
        <f t="shared" si="1"/>
        <v>0.11692103887328156</v>
      </c>
      <c r="I17" s="86">
        <f t="shared" si="1"/>
        <v>0.11098505415785835</v>
      </c>
      <c r="J17" s="86">
        <f t="shared" si="1"/>
        <v>0.11287214995416565</v>
      </c>
      <c r="K17" s="86">
        <f t="shared" si="1"/>
        <v>0.12196464405079087</v>
      </c>
      <c r="L17" s="86">
        <f t="shared" ref="L17:X17" si="2">L15/L16</f>
        <v>0.12842699837849891</v>
      </c>
      <c r="M17" s="86">
        <f t="shared" si="2"/>
        <v>0.12334756189701056</v>
      </c>
      <c r="N17" s="86">
        <f t="shared" si="2"/>
        <v>0.11517211098257549</v>
      </c>
      <c r="O17" s="86">
        <f t="shared" si="2"/>
        <v>0.12052604471718319</v>
      </c>
      <c r="P17" s="86">
        <f t="shared" si="2"/>
        <v>0.12595198264535615</v>
      </c>
      <c r="Q17" s="86">
        <f t="shared" si="2"/>
        <v>0.12584908377059972</v>
      </c>
      <c r="R17" s="86">
        <f t="shared" si="2"/>
        <v>0.11913532347158792</v>
      </c>
      <c r="S17" s="86">
        <f t="shared" si="2"/>
        <v>0.12982317399091861</v>
      </c>
      <c r="T17" s="86">
        <f t="shared" si="2"/>
        <v>0.13223530333719136</v>
      </c>
      <c r="U17" s="86">
        <f t="shared" si="2"/>
        <v>0.12850785496186928</v>
      </c>
      <c r="V17" s="86">
        <f t="shared" si="2"/>
        <v>0.11054957613396345</v>
      </c>
      <c r="W17" s="86">
        <f t="shared" si="2"/>
        <v>0.12539571168492178</v>
      </c>
      <c r="X17" s="86">
        <f t="shared" si="2"/>
        <v>0.13296025372928549</v>
      </c>
      <c r="Y17" s="86">
        <f t="shared" ref="Y17:Z17" si="3">Y15/Y16</f>
        <v>0.13076174291532877</v>
      </c>
      <c r="Z17" s="86">
        <f t="shared" si="3"/>
        <v>0.1132200797697977</v>
      </c>
      <c r="AA17" s="86">
        <f>AA15/AA16</f>
        <v>0.13576714260286046</v>
      </c>
      <c r="AB17" s="86">
        <f>AB15/AB16</f>
        <v>0.1434712116275938</v>
      </c>
      <c r="AC17" s="86">
        <f>AC15/AC16</f>
        <v>0.14006804443710427</v>
      </c>
      <c r="AD17" s="86">
        <f>AD15/AD16</f>
        <v>0.13963204584890779</v>
      </c>
      <c r="AE17" s="86">
        <f t="shared" ref="AE17" si="4">AE15/AE16</f>
        <v>0.15718054346092974</v>
      </c>
      <c r="AF17" s="86">
        <f>AF15/AF16</f>
        <v>0.14789644004628241</v>
      </c>
      <c r="AG17" s="86">
        <f>AG15/AG16</f>
        <v>0.14616833914335367</v>
      </c>
      <c r="AH17" s="86">
        <f>AH15/AH16</f>
        <v>0.14062027431279231</v>
      </c>
      <c r="AI17" s="86">
        <f>AI15/AI16</f>
        <v>0.14702871702347239</v>
      </c>
      <c r="AJ17" s="87">
        <f>AJ14/AJ16</f>
        <v>0.14629286509671063</v>
      </c>
      <c r="AK17" s="88"/>
    </row>
    <row r="18" spans="1:38" x14ac:dyDescent="0.2">
      <c r="A18" s="85" t="s">
        <v>24</v>
      </c>
      <c r="B18" s="86"/>
      <c r="C18" s="86"/>
      <c r="D18" s="86"/>
      <c r="E18" s="89"/>
      <c r="F18" s="86">
        <f>F15/SUM(F15:I15)</f>
        <v>0.23093079232253585</v>
      </c>
      <c r="G18" s="86">
        <f>G15/SUM(F15:I15)</f>
        <v>0.25349926373857845</v>
      </c>
      <c r="H18" s="86">
        <f>H15/SUM(F15:I15)</f>
        <v>0.25353739963478172</v>
      </c>
      <c r="I18" s="89">
        <f>I15/SUM(F15:I15)</f>
        <v>0.26203254430410416</v>
      </c>
      <c r="J18" s="86">
        <f>J15/SUM(J15:M15)</f>
        <v>0.22100757150427111</v>
      </c>
      <c r="K18" s="86">
        <f>K15/SUM(J15:M15)</f>
        <v>0.25241559957549464</v>
      </c>
      <c r="L18" s="86">
        <f>L15/SUM(J15:M15)</f>
        <v>0.25142055931727525</v>
      </c>
      <c r="M18" s="89">
        <f>M15/SUM(J15:M15)</f>
        <v>0.27515626960295902</v>
      </c>
      <c r="N18" s="86">
        <f>N15/SUM(N15:Q15)</f>
        <v>0.23006210530984794</v>
      </c>
      <c r="O18" s="86">
        <f>O15/SUM(N15:Q15)</f>
        <v>0.25209648366388882</v>
      </c>
      <c r="P18" s="86">
        <f>P15/SUM(N15:Q15)</f>
        <v>0.24748111509697118</v>
      </c>
      <c r="Q18" s="89">
        <f>Q15/SUM(N15:Q15)</f>
        <v>0.27036029592929212</v>
      </c>
      <c r="R18" s="86">
        <f>R15/SUM(R15:U15)</f>
        <v>0.22394026237710207</v>
      </c>
      <c r="S18" s="86">
        <f>S15/SUM(R15:U15)</f>
        <v>0.2551207044708948</v>
      </c>
      <c r="T18" s="86">
        <f>T15/SUM(R15:U15)</f>
        <v>0.25074104143829917</v>
      </c>
      <c r="U18" s="89">
        <f>U15/SUM(R15:U15)</f>
        <v>0.27019799171370396</v>
      </c>
      <c r="V18" s="86">
        <f>V15/SUM(V15:Y15)</f>
        <v>0.21575707268416933</v>
      </c>
      <c r="W18" s="86">
        <f>W15/SUM(V15:Y15)</f>
        <v>0.25463745904198809</v>
      </c>
      <c r="X18" s="86">
        <f>X15/SUM(V15:Y15)</f>
        <v>0.25357122120922476</v>
      </c>
      <c r="Y18" s="89">
        <f>Y15/SUM(V15:Y15)</f>
        <v>0.27603424706461771</v>
      </c>
      <c r="Z18" s="86">
        <f>Z15/SUM(Z15:AC15)</f>
        <v>0.19830418415227791</v>
      </c>
      <c r="AA18" s="86">
        <f>AA15/SUM(Z15:AC15)</f>
        <v>0.25388304252554217</v>
      </c>
      <c r="AB18" s="86">
        <f>AB15/SUM(Z15:AC15)</f>
        <v>0.26053154316718335</v>
      </c>
      <c r="AC18" s="89">
        <f>AC15/SUM(Z15:AC15)</f>
        <v>0.28728123015499663</v>
      </c>
      <c r="AD18" s="86"/>
      <c r="AE18" s="86"/>
      <c r="AF18" s="86"/>
      <c r="AG18" s="89"/>
      <c r="AH18" s="86">
        <f>AH15/SUM(AH15:AI15,AJ14:AK14)</f>
        <v>0.24012732881264937</v>
      </c>
      <c r="AI18" s="86">
        <f>AI15/SUM(AH15:AI15,AJ14:AK14)</f>
        <v>0.26513259242584719</v>
      </c>
      <c r="AJ18" s="86">
        <f>AJ14/SUM(AH15:AI15,AJ14:AK14)</f>
        <v>0.25698769198617094</v>
      </c>
      <c r="AK18" s="89">
        <f>AK14/SUM(AH15:AI15,AJ14:AK14)</f>
        <v>0.23775238677533256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13"/>
      <c r="N19" s="9"/>
      <c r="O19" s="12"/>
      <c r="P19" s="12"/>
      <c r="Q19" s="6"/>
      <c r="R19" s="82"/>
      <c r="S19" s="101">
        <v>155.07576848982325</v>
      </c>
      <c r="T19" s="101">
        <v>157.81354166666668</v>
      </c>
      <c r="U19" s="101">
        <v>172.78602630342883</v>
      </c>
      <c r="V19" s="101">
        <v>142.93861849807661</v>
      </c>
      <c r="W19" s="101">
        <v>161.91227294647157</v>
      </c>
      <c r="X19" s="101">
        <v>149.90406504065044</v>
      </c>
      <c r="Y19" s="101">
        <v>161.65156950672645</v>
      </c>
      <c r="Z19" s="101">
        <v>138.90654905550471</v>
      </c>
      <c r="AA19" s="101">
        <v>165.84879189399845</v>
      </c>
      <c r="AB19" s="101">
        <v>173.56586403403159</v>
      </c>
      <c r="AC19" s="101">
        <v>186.97632177373509</v>
      </c>
      <c r="AD19" s="101">
        <v>170.31925213863656</v>
      </c>
      <c r="AE19" s="101">
        <v>127.53690753690753</v>
      </c>
      <c r="AF19" s="101">
        <v>163.03413617801482</v>
      </c>
      <c r="AG19" s="101">
        <v>209.19517163334589</v>
      </c>
      <c r="AH19" s="101">
        <v>153.14970334625426</v>
      </c>
      <c r="AI19" s="101">
        <v>180.09169226159264</v>
      </c>
      <c r="AJ19" s="83"/>
      <c r="AK19" s="13"/>
    </row>
    <row r="20" spans="1:38" x14ac:dyDescent="0.2">
      <c r="I20" s="7"/>
      <c r="J20" s="7"/>
      <c r="K20" s="7"/>
      <c r="N20" s="7"/>
      <c r="O20" s="7"/>
      <c r="P20" s="7"/>
      <c r="Q20" s="125" t="s">
        <v>7</v>
      </c>
      <c r="R20" s="126"/>
      <c r="S20" s="7">
        <f t="shared" ref="S20:AH20" si="5">IF(S15&gt;S19,1,0)</f>
        <v>0</v>
      </c>
      <c r="T20" s="7">
        <f t="shared" si="5"/>
        <v>0</v>
      </c>
      <c r="U20" s="7">
        <f t="shared" si="5"/>
        <v>0</v>
      </c>
      <c r="V20" s="7">
        <f t="shared" si="5"/>
        <v>0</v>
      </c>
      <c r="W20" s="7">
        <f t="shared" si="5"/>
        <v>0</v>
      </c>
      <c r="X20" s="7">
        <f t="shared" si="5"/>
        <v>1</v>
      </c>
      <c r="Y20" s="7">
        <f t="shared" si="5"/>
        <v>1</v>
      </c>
      <c r="Z20" s="7">
        <f t="shared" si="5"/>
        <v>0</v>
      </c>
      <c r="AA20" s="7">
        <f t="shared" si="5"/>
        <v>1</v>
      </c>
      <c r="AB20" s="7">
        <f t="shared" si="5"/>
        <v>1</v>
      </c>
      <c r="AC20" s="7">
        <f t="shared" si="5"/>
        <v>1</v>
      </c>
      <c r="AD20" s="7">
        <f t="shared" si="5"/>
        <v>0</v>
      </c>
      <c r="AE20" s="7">
        <f t="shared" si="5"/>
        <v>1</v>
      </c>
      <c r="AF20" s="7">
        <f t="shared" si="5"/>
        <v>1</v>
      </c>
      <c r="AG20" s="7">
        <f t="shared" si="5"/>
        <v>0</v>
      </c>
      <c r="AH20" s="7">
        <f t="shared" si="5"/>
        <v>1</v>
      </c>
      <c r="AI20" s="8">
        <f>IF(AI15&gt;AI19,1,0)</f>
        <v>1</v>
      </c>
      <c r="AJ20" s="45" t="s">
        <v>8</v>
      </c>
      <c r="AK20" s="42">
        <f>AVERAGE(S20:AI20)</f>
        <v>0.52941176470588236</v>
      </c>
    </row>
    <row r="21" spans="1:38" x14ac:dyDescent="0.2">
      <c r="N21" s="6"/>
      <c r="O21" s="6"/>
      <c r="P21" s="6"/>
      <c r="Q21" s="150" t="s">
        <v>9</v>
      </c>
      <c r="R21" s="151"/>
      <c r="S21" s="6"/>
      <c r="T21" s="6"/>
      <c r="U21" s="6"/>
      <c r="V21" s="6">
        <f t="shared" ref="V21:AI21" si="6">AVERAGE(S20:V20)</f>
        <v>0</v>
      </c>
      <c r="W21" s="6">
        <f t="shared" si="6"/>
        <v>0</v>
      </c>
      <c r="X21" s="6">
        <f t="shared" si="6"/>
        <v>0.25</v>
      </c>
      <c r="Y21" s="6">
        <f t="shared" si="6"/>
        <v>0.5</v>
      </c>
      <c r="Z21" s="6">
        <f t="shared" si="6"/>
        <v>0.5</v>
      </c>
      <c r="AA21" s="6">
        <f t="shared" si="6"/>
        <v>0.75</v>
      </c>
      <c r="AB21" s="6">
        <f t="shared" si="6"/>
        <v>0.75</v>
      </c>
      <c r="AC21" s="6">
        <f t="shared" si="6"/>
        <v>0.75</v>
      </c>
      <c r="AD21" s="6">
        <f t="shared" si="6"/>
        <v>0.75</v>
      </c>
      <c r="AE21" s="6">
        <f t="shared" si="6"/>
        <v>0.75</v>
      </c>
      <c r="AF21" s="6">
        <f t="shared" si="6"/>
        <v>0.75</v>
      </c>
      <c r="AG21" s="6">
        <f t="shared" si="6"/>
        <v>0.5</v>
      </c>
      <c r="AH21" s="6">
        <f>AVERAGE(AE20:AH20)</f>
        <v>0.75</v>
      </c>
      <c r="AI21" s="10">
        <f t="shared" si="6"/>
        <v>0.75</v>
      </c>
      <c r="AJ21" s="41" t="s">
        <v>10</v>
      </c>
      <c r="AK21" s="42">
        <f>AVERAGE(V21:AI21)</f>
        <v>0.5535714285714286</v>
      </c>
    </row>
    <row r="22" spans="1:38" x14ac:dyDescent="0.2">
      <c r="I22" s="18"/>
      <c r="J22" s="18"/>
      <c r="K22" s="18"/>
      <c r="N22" s="18"/>
      <c r="O22" s="18"/>
      <c r="P22" s="18"/>
      <c r="Q22" s="110" t="s">
        <v>11</v>
      </c>
      <c r="R22" s="155"/>
      <c r="S22" s="18">
        <f t="shared" ref="S22:AI22" si="7">S15/S19-1</f>
        <v>-5.1510989010994379E-4</v>
      </c>
      <c r="T22" s="18">
        <f t="shared" si="7"/>
        <v>-3.4714842366276977E-2</v>
      </c>
      <c r="U22" s="18">
        <f t="shared" si="7"/>
        <v>-4.9946703213034849E-2</v>
      </c>
      <c r="V22" s="18">
        <f t="shared" si="7"/>
        <v>-7.5161180861893384E-2</v>
      </c>
      <c r="W22" s="18">
        <f t="shared" si="7"/>
        <v>-3.6408163265305826E-2</v>
      </c>
      <c r="X22" s="18">
        <f t="shared" si="7"/>
        <v>3.6423238025860227E-2</v>
      </c>
      <c r="Y22" s="18">
        <f t="shared" si="7"/>
        <v>4.6245568804382797E-2</v>
      </c>
      <c r="Z22" s="18">
        <f t="shared" si="7"/>
        <v>-2.0517241379310325E-2</v>
      </c>
      <c r="AA22" s="18">
        <f t="shared" si="7"/>
        <v>5.0289495450785759E-2</v>
      </c>
      <c r="AB22" s="18">
        <f t="shared" si="7"/>
        <v>2.9872916322825516E-2</v>
      </c>
      <c r="AC22" s="18">
        <f t="shared" si="7"/>
        <v>5.4164239953407245E-2</v>
      </c>
      <c r="AD22" s="18">
        <f t="shared" si="7"/>
        <v>-7.0400000000000018E-2</v>
      </c>
      <c r="AE22" s="18">
        <f t="shared" si="7"/>
        <v>0.11029782937910149</v>
      </c>
      <c r="AF22" s="18">
        <f t="shared" si="7"/>
        <v>8.8489457310749975E-2</v>
      </c>
      <c r="AG22" s="18">
        <f t="shared" si="7"/>
        <v>-7.384987893462458E-2</v>
      </c>
      <c r="AH22" s="18">
        <f t="shared" si="7"/>
        <v>0.16068190061661225</v>
      </c>
      <c r="AI22" s="40">
        <f t="shared" si="7"/>
        <v>8.9826142949130716E-2</v>
      </c>
      <c r="AJ22" s="41" t="s">
        <v>13</v>
      </c>
      <c r="AK22" s="43">
        <f>MEDIAN(S22:AI22)</f>
        <v>2.9872916322825516E-2</v>
      </c>
    </row>
    <row r="23" spans="1:38" x14ac:dyDescent="0.2">
      <c r="N23" s="32"/>
      <c r="O23" s="32"/>
      <c r="P23" s="32"/>
      <c r="Q23" s="150" t="s">
        <v>12</v>
      </c>
      <c r="R23" s="151"/>
      <c r="S23" s="32"/>
      <c r="T23" s="32"/>
      <c r="U23" s="32"/>
      <c r="V23" s="32">
        <f t="shared" ref="V23:AI23" si="8">AVERAGE(S22:V22)</f>
        <v>-4.0084459082828788E-2</v>
      </c>
      <c r="W23" s="32">
        <f t="shared" si="8"/>
        <v>-4.9057722426627759E-2</v>
      </c>
      <c r="X23" s="32">
        <f t="shared" si="8"/>
        <v>-3.1273202328593458E-2</v>
      </c>
      <c r="Y23" s="32">
        <f t="shared" si="8"/>
        <v>-7.2251343242390464E-3</v>
      </c>
      <c r="Z23" s="32">
        <f t="shared" si="8"/>
        <v>6.4358505464067184E-3</v>
      </c>
      <c r="AA23" s="32">
        <f t="shared" si="8"/>
        <v>2.8110265225429615E-2</v>
      </c>
      <c r="AB23" s="32">
        <f t="shared" si="8"/>
        <v>2.6472684799670937E-2</v>
      </c>
      <c r="AC23" s="32">
        <f t="shared" si="8"/>
        <v>2.8452352586927049E-2</v>
      </c>
      <c r="AD23" s="32">
        <f t="shared" si="8"/>
        <v>1.5981662931754625E-2</v>
      </c>
      <c r="AE23" s="32">
        <f t="shared" si="8"/>
        <v>3.0983746413833557E-2</v>
      </c>
      <c r="AF23" s="32">
        <f t="shared" si="8"/>
        <v>4.5637881660814672E-2</v>
      </c>
      <c r="AG23" s="32">
        <f t="shared" si="8"/>
        <v>1.3634351938806716E-2</v>
      </c>
      <c r="AH23" s="32">
        <f t="shared" si="8"/>
        <v>7.1404827092959783E-2</v>
      </c>
      <c r="AI23" s="33">
        <f t="shared" si="8"/>
        <v>6.628690548546709E-2</v>
      </c>
      <c r="AJ23" s="19" t="s">
        <v>14</v>
      </c>
      <c r="AK23" s="33">
        <f>MEDIAN(V23:AI23)</f>
        <v>2.1227173865712781E-2</v>
      </c>
    </row>
    <row r="24" spans="1:38" x14ac:dyDescent="0.2">
      <c r="Q24" s="125" t="s">
        <v>25</v>
      </c>
      <c r="R24" s="126"/>
      <c r="S24" s="100">
        <f>AVERAGE(X22:Y22,AA22:AC22,AE22:AF22,AH22:AI22)</f>
        <v>7.4032309868095114E-2</v>
      </c>
      <c r="T24" s="110" t="s">
        <v>29</v>
      </c>
      <c r="U24" s="111"/>
      <c r="V24" s="46">
        <f>MEDIAN(X22:Y22,AA22:AC22,AE22:AF22,AH22:AI22)</f>
        <v>5.4164239953407245E-2</v>
      </c>
      <c r="AF24" s="3"/>
      <c r="AG24" s="127" t="s">
        <v>23</v>
      </c>
      <c r="AH24" s="128"/>
      <c r="AI24" s="128"/>
      <c r="AJ24" s="129"/>
      <c r="AK24" s="44">
        <f>AVERAGE(AF17:AJ17)</f>
        <v>0.14560132712452228</v>
      </c>
    </row>
    <row r="25" spans="1:38" x14ac:dyDescent="0.2">
      <c r="Q25" s="112" t="s">
        <v>26</v>
      </c>
      <c r="R25" s="115"/>
      <c r="S25" s="99">
        <f>AVERAGE(S22:W22,Z22,AD22,AG22)</f>
        <v>-4.5189139988819488E-2</v>
      </c>
      <c r="T25" s="112" t="s">
        <v>30</v>
      </c>
      <c r="U25" s="113"/>
      <c r="V25" s="33">
        <f>MEDIAN(S22:W22,Z22,AD22,AG22)</f>
        <v>-4.3177433239170337E-2</v>
      </c>
      <c r="AG25" s="106" t="s">
        <v>27</v>
      </c>
      <c r="AH25" s="107"/>
      <c r="AI25" s="107"/>
      <c r="AJ25" s="107"/>
      <c r="AK25" s="46">
        <f>AVERAGE(AJ18,AB18,X18,L18)</f>
        <v>0.25562775391996362</v>
      </c>
    </row>
    <row r="26" spans="1:38" x14ac:dyDescent="0.2">
      <c r="AG26" s="108" t="s">
        <v>28</v>
      </c>
      <c r="AH26" s="109"/>
      <c r="AI26" s="109"/>
      <c r="AJ26" s="109"/>
      <c r="AK26" s="47">
        <f>_xlfn.STDEV.S(AJ18,P18,L18,X18)</f>
        <v>3.9819823650827403E-3</v>
      </c>
    </row>
    <row r="29" spans="1:38" ht="18" customHeight="1" x14ac:dyDescent="0.2"/>
  </sheetData>
  <mergeCells count="28">
    <mergeCell ref="P4:Q4"/>
    <mergeCell ref="B11:E11"/>
    <mergeCell ref="Q21:R21"/>
    <mergeCell ref="V11:Y11"/>
    <mergeCell ref="Q24:R24"/>
    <mergeCell ref="Q23:R23"/>
    <mergeCell ref="Q22:R22"/>
    <mergeCell ref="F11:I11"/>
    <mergeCell ref="J11:M11"/>
    <mergeCell ref="N11:Q11"/>
    <mergeCell ref="R11:U11"/>
    <mergeCell ref="A1:C3"/>
    <mergeCell ref="K1:L1"/>
    <mergeCell ref="P1:Q1"/>
    <mergeCell ref="P2:Q2"/>
    <mergeCell ref="P3:Q3"/>
    <mergeCell ref="AG25:AJ25"/>
    <mergeCell ref="AG26:AJ26"/>
    <mergeCell ref="T24:U24"/>
    <mergeCell ref="T25:U25"/>
    <mergeCell ref="H10:I10"/>
    <mergeCell ref="AG10:AI10"/>
    <mergeCell ref="Q25:R25"/>
    <mergeCell ref="Z11:AC11"/>
    <mergeCell ref="AD11:AG11"/>
    <mergeCell ref="AH11:AK11"/>
    <mergeCell ref="Q20:R20"/>
    <mergeCell ref="AG24:AJ24"/>
  </mergeCells>
  <conditionalFormatting sqref="I20:K20 N20:P20 S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P21 S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K22 N22:P22 S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P23 S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I22:K22 N22:P22 S22:AI22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N23:P23 S23:AI23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O7" sqref="O7:O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1" t="s">
        <v>75</v>
      </c>
      <c r="B4" s="161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172</v>
      </c>
      <c r="B6" t="s">
        <v>173</v>
      </c>
      <c r="C6" t="s">
        <v>169</v>
      </c>
      <c r="D6">
        <v>20170720</v>
      </c>
      <c r="E6">
        <v>175.427345</v>
      </c>
      <c r="F6">
        <v>173.74398299999999</v>
      </c>
      <c r="G6">
        <v>155.808964</v>
      </c>
      <c r="H6">
        <v>168.16468699999999</v>
      </c>
      <c r="I6">
        <v>24.898755999999999</v>
      </c>
      <c r="J6">
        <f t="shared" ref="J6:J21" si="0">AVERAGE(E6:H6)</f>
        <v>168.28624475000001</v>
      </c>
      <c r="R6">
        <v>146.9</v>
      </c>
      <c r="S6">
        <v>142.80000000000001</v>
      </c>
    </row>
    <row r="7" spans="1:21" x14ac:dyDescent="0.2">
      <c r="A7" t="s">
        <v>172</v>
      </c>
      <c r="B7" t="s">
        <v>173</v>
      </c>
      <c r="C7" t="s">
        <v>170</v>
      </c>
      <c r="D7">
        <v>20171026</v>
      </c>
      <c r="E7">
        <v>207.841207</v>
      </c>
      <c r="F7">
        <v>204.35136</v>
      </c>
      <c r="G7">
        <v>191.72962799999999</v>
      </c>
      <c r="H7">
        <v>164.48973699999999</v>
      </c>
      <c r="I7">
        <v>25.963287000000001</v>
      </c>
      <c r="J7">
        <f t="shared" si="0"/>
        <v>192.10298299999999</v>
      </c>
      <c r="K7">
        <f>(E7/E6)*$S6</f>
        <v>169.18527929382958</v>
      </c>
      <c r="L7">
        <f>(F7/F6)*$S6</f>
        <v>167.95617151242587</v>
      </c>
      <c r="M7">
        <f>(G7/G6)*$S6</f>
        <v>175.72153857848642</v>
      </c>
      <c r="N7">
        <f>(H7/H6)*$S6</f>
        <v>139.67935160846224</v>
      </c>
      <c r="O7">
        <f t="shared" ref="L7:P7" si="1">(I7/I6)*$S6</f>
        <v>148.90532617774161</v>
      </c>
      <c r="P7">
        <f t="shared" si="1"/>
        <v>163.00979330278864</v>
      </c>
      <c r="Q7">
        <f>AVERAGE(K7:P7)</f>
        <v>160.7429100789557</v>
      </c>
      <c r="R7">
        <v>140.6</v>
      </c>
      <c r="S7">
        <v>136.5</v>
      </c>
      <c r="T7" s="91"/>
      <c r="U7" s="90"/>
    </row>
    <row r="8" spans="1:21" x14ac:dyDescent="0.2">
      <c r="A8" t="s">
        <v>172</v>
      </c>
      <c r="B8" t="s">
        <v>173</v>
      </c>
      <c r="C8" t="s">
        <v>167</v>
      </c>
      <c r="D8">
        <v>20180201</v>
      </c>
      <c r="E8">
        <v>199.55405099999999</v>
      </c>
      <c r="F8">
        <v>201.46060700000001</v>
      </c>
      <c r="G8">
        <v>190.77641499999999</v>
      </c>
      <c r="H8">
        <v>175.16757200000001</v>
      </c>
      <c r="I8">
        <v>28.451626000000001</v>
      </c>
      <c r="J8">
        <f t="shared" si="0"/>
        <v>191.73966124999998</v>
      </c>
      <c r="K8">
        <f t="shared" ref="K8:K23" si="2">(E8/E7)*$S7</f>
        <v>131.05739884151075</v>
      </c>
      <c r="L8">
        <f t="shared" ref="L8:L23" si="3">(F8/F7)*$S7</f>
        <v>134.56907189411413</v>
      </c>
      <c r="M8">
        <f t="shared" ref="M8:M23" si="4">(G8/G7)*$S7</f>
        <v>135.82136949381658</v>
      </c>
      <c r="N8">
        <f t="shared" ref="N8:N23" si="5">(H8/H7)*$S7</f>
        <v>145.36088399241589</v>
      </c>
      <c r="O8">
        <f t="shared" ref="O8:O23" si="6">(I8/I7)*$S7</f>
        <v>149.58225239354326</v>
      </c>
      <c r="P8">
        <f t="shared" ref="P8:P23" si="7">(J8/J7)*$S7</f>
        <v>136.24183941289968</v>
      </c>
      <c r="Q8">
        <f t="shared" ref="Q8:Q23" si="8">AVERAGE(K8:P8)</f>
        <v>138.77213600471671</v>
      </c>
      <c r="R8">
        <v>150.69999999999999</v>
      </c>
      <c r="S8">
        <v>149.80000000000001</v>
      </c>
      <c r="T8" s="91"/>
      <c r="U8" s="90"/>
    </row>
    <row r="9" spans="1:21" x14ac:dyDescent="0.2">
      <c r="A9" t="s">
        <v>172</v>
      </c>
      <c r="B9" t="s">
        <v>173</v>
      </c>
      <c r="C9" t="s">
        <v>42</v>
      </c>
      <c r="D9">
        <v>20180426</v>
      </c>
      <c r="E9">
        <v>170.53931900000001</v>
      </c>
      <c r="F9">
        <v>169.713875</v>
      </c>
      <c r="G9">
        <v>159.98293200000001</v>
      </c>
      <c r="H9">
        <v>148.08239800000001</v>
      </c>
      <c r="I9">
        <v>25.386275000000001</v>
      </c>
      <c r="J9">
        <f t="shared" si="0"/>
        <v>162.07963100000001</v>
      </c>
      <c r="K9">
        <f t="shared" si="2"/>
        <v>128.01940054927778</v>
      </c>
      <c r="L9">
        <f t="shared" si="3"/>
        <v>126.19409250067434</v>
      </c>
      <c r="M9">
        <f t="shared" si="4"/>
        <v>125.62057638833397</v>
      </c>
      <c r="N9">
        <f t="shared" si="5"/>
        <v>126.63727062678019</v>
      </c>
      <c r="O9">
        <f t="shared" si="6"/>
        <v>133.66069113238029</v>
      </c>
      <c r="P9">
        <f t="shared" si="7"/>
        <v>126.62757702561657</v>
      </c>
      <c r="Q9">
        <f t="shared" si="8"/>
        <v>127.7932680371772</v>
      </c>
      <c r="R9">
        <v>138.30000000000001</v>
      </c>
      <c r="S9">
        <v>141.5</v>
      </c>
      <c r="T9" s="9"/>
      <c r="U9" s="62"/>
    </row>
    <row r="10" spans="1:21" x14ac:dyDescent="0.2">
      <c r="A10" t="s">
        <v>172</v>
      </c>
      <c r="B10" t="s">
        <v>173</v>
      </c>
      <c r="C10" t="s">
        <v>43</v>
      </c>
      <c r="D10">
        <v>20180719</v>
      </c>
      <c r="E10">
        <v>182.60517100000001</v>
      </c>
      <c r="F10">
        <v>181.94537299999999</v>
      </c>
      <c r="G10">
        <v>168.196665</v>
      </c>
      <c r="H10">
        <v>151.93174200000001</v>
      </c>
      <c r="I10">
        <v>27.507201999999999</v>
      </c>
      <c r="J10">
        <f t="shared" si="0"/>
        <v>171.16973775</v>
      </c>
      <c r="K10">
        <f t="shared" si="2"/>
        <v>151.51128694550493</v>
      </c>
      <c r="L10">
        <f t="shared" si="3"/>
        <v>151.69808761658408</v>
      </c>
      <c r="M10">
        <f t="shared" si="4"/>
        <v>148.76479509389162</v>
      </c>
      <c r="N10">
        <f t="shared" si="5"/>
        <v>145.1782371392986</v>
      </c>
      <c r="O10">
        <f t="shared" si="6"/>
        <v>153.32178836792713</v>
      </c>
      <c r="P10">
        <f t="shared" si="7"/>
        <v>149.43591456982645</v>
      </c>
      <c r="Q10">
        <f t="shared" si="8"/>
        <v>149.9850182888388</v>
      </c>
      <c r="R10">
        <v>144.1</v>
      </c>
      <c r="S10">
        <v>150.80000000000001</v>
      </c>
      <c r="T10" s="9"/>
      <c r="U10" s="62"/>
    </row>
    <row r="11" spans="1:21" x14ac:dyDescent="0.2">
      <c r="A11" t="s">
        <v>172</v>
      </c>
      <c r="B11" t="s">
        <v>173</v>
      </c>
      <c r="C11" t="s">
        <v>44</v>
      </c>
      <c r="D11">
        <v>20181025</v>
      </c>
      <c r="E11">
        <v>182.97691499999999</v>
      </c>
      <c r="F11">
        <v>183.23632699999999</v>
      </c>
      <c r="G11">
        <v>170.173945</v>
      </c>
      <c r="H11">
        <v>161.002906</v>
      </c>
      <c r="I11">
        <v>29.923638</v>
      </c>
      <c r="J11">
        <f t="shared" si="0"/>
        <v>174.34752324999999</v>
      </c>
      <c r="K11">
        <f t="shared" si="2"/>
        <v>151.10699566114698</v>
      </c>
      <c r="L11">
        <f t="shared" si="3"/>
        <v>151.86996874935645</v>
      </c>
      <c r="M11">
        <f t="shared" si="4"/>
        <v>152.57276894283248</v>
      </c>
      <c r="N11">
        <f t="shared" si="5"/>
        <v>159.80359275285608</v>
      </c>
      <c r="O11">
        <f t="shared" si="6"/>
        <v>164.04738694978863</v>
      </c>
      <c r="P11">
        <f t="shared" si="7"/>
        <v>153.59961901968853</v>
      </c>
      <c r="Q11">
        <f t="shared" si="8"/>
        <v>155.50005534594484</v>
      </c>
      <c r="R11">
        <v>139.4</v>
      </c>
      <c r="S11">
        <v>146.1</v>
      </c>
      <c r="T11" s="9"/>
      <c r="U11" s="62"/>
    </row>
    <row r="12" spans="1:21" x14ac:dyDescent="0.2">
      <c r="A12" t="s">
        <v>172</v>
      </c>
      <c r="B12" t="s">
        <v>173</v>
      </c>
      <c r="C12" t="s">
        <v>45</v>
      </c>
      <c r="D12">
        <v>20190131</v>
      </c>
      <c r="E12">
        <v>180.345685</v>
      </c>
      <c r="F12">
        <v>180.62650199999999</v>
      </c>
      <c r="G12">
        <v>170.73116200000001</v>
      </c>
      <c r="H12">
        <v>164.33146199999999</v>
      </c>
      <c r="I12">
        <v>30.901361000000001</v>
      </c>
      <c r="J12">
        <f t="shared" si="0"/>
        <v>174.00870275</v>
      </c>
      <c r="K12">
        <f t="shared" si="2"/>
        <v>143.99906446395164</v>
      </c>
      <c r="L12">
        <f t="shared" si="3"/>
        <v>144.01910567766402</v>
      </c>
      <c r="M12">
        <f t="shared" si="4"/>
        <v>146.57838935449254</v>
      </c>
      <c r="N12">
        <f t="shared" si="5"/>
        <v>149.12045499476883</v>
      </c>
      <c r="O12">
        <f t="shared" si="6"/>
        <v>150.87366188897221</v>
      </c>
      <c r="P12">
        <f t="shared" si="7"/>
        <v>145.81607468734146</v>
      </c>
      <c r="Q12">
        <f t="shared" si="8"/>
        <v>146.73445851119843</v>
      </c>
      <c r="R12">
        <v>157.19999999999999</v>
      </c>
      <c r="S12">
        <v>156.6</v>
      </c>
      <c r="T12" s="9"/>
      <c r="U12" s="62"/>
    </row>
    <row r="13" spans="1:21" x14ac:dyDescent="0.2">
      <c r="A13" t="s">
        <v>172</v>
      </c>
      <c r="B13" t="s">
        <v>173</v>
      </c>
      <c r="C13" t="s">
        <v>46</v>
      </c>
      <c r="D13">
        <v>20190425</v>
      </c>
      <c r="E13">
        <v>175.06901300000001</v>
      </c>
      <c r="F13">
        <v>174.26839200000001</v>
      </c>
      <c r="G13">
        <v>166.23732200000001</v>
      </c>
      <c r="H13">
        <v>159.16388799999999</v>
      </c>
      <c r="I13">
        <v>30.816140999999998</v>
      </c>
      <c r="J13">
        <f t="shared" si="0"/>
        <v>168.68465375</v>
      </c>
      <c r="K13">
        <f t="shared" si="2"/>
        <v>152.01809478169662</v>
      </c>
      <c r="L13">
        <f t="shared" si="3"/>
        <v>151.08763046964174</v>
      </c>
      <c r="M13">
        <f t="shared" si="4"/>
        <v>152.47810839124963</v>
      </c>
      <c r="N13">
        <f t="shared" si="5"/>
        <v>151.67554987613997</v>
      </c>
      <c r="O13">
        <f t="shared" si="6"/>
        <v>156.16812737147723</v>
      </c>
      <c r="P13">
        <f t="shared" si="7"/>
        <v>151.80859554594892</v>
      </c>
      <c r="Q13">
        <f t="shared" si="8"/>
        <v>152.53935107269237</v>
      </c>
      <c r="R13">
        <v>145.1</v>
      </c>
      <c r="S13">
        <v>147.80000000000001</v>
      </c>
      <c r="T13" s="9"/>
      <c r="U13" s="62"/>
    </row>
    <row r="14" spans="1:21" x14ac:dyDescent="0.2">
      <c r="A14" t="s">
        <v>172</v>
      </c>
      <c r="B14" t="s">
        <v>173</v>
      </c>
      <c r="C14" t="s">
        <v>47</v>
      </c>
      <c r="D14">
        <v>20190725</v>
      </c>
      <c r="E14">
        <v>166.74946600000001</v>
      </c>
      <c r="F14">
        <v>165.76130000000001</v>
      </c>
      <c r="G14">
        <v>159.93766099999999</v>
      </c>
      <c r="H14">
        <v>152.762507</v>
      </c>
      <c r="I14">
        <v>30.730682999999999</v>
      </c>
      <c r="J14">
        <f t="shared" si="0"/>
        <v>161.30273349999999</v>
      </c>
      <c r="K14">
        <f t="shared" si="2"/>
        <v>140.77631816431159</v>
      </c>
      <c r="L14">
        <f t="shared" si="3"/>
        <v>140.58498996192034</v>
      </c>
      <c r="M14">
        <f t="shared" si="4"/>
        <v>142.19903215115556</v>
      </c>
      <c r="N14">
        <f t="shared" si="5"/>
        <v>141.85566096877454</v>
      </c>
      <c r="O14">
        <f t="shared" si="6"/>
        <v>147.39012738162123</v>
      </c>
      <c r="P14">
        <f t="shared" si="7"/>
        <v>141.33202684005272</v>
      </c>
      <c r="Q14">
        <f t="shared" si="8"/>
        <v>142.35635924463932</v>
      </c>
      <c r="R14">
        <v>153.9</v>
      </c>
      <c r="S14">
        <v>160.19999999999999</v>
      </c>
      <c r="T14" s="9"/>
      <c r="U14" s="62"/>
    </row>
    <row r="15" spans="1:21" x14ac:dyDescent="0.2">
      <c r="A15" t="s">
        <v>172</v>
      </c>
      <c r="B15" t="s">
        <v>173</v>
      </c>
      <c r="C15" t="s">
        <v>48</v>
      </c>
      <c r="D15">
        <v>20191024</v>
      </c>
      <c r="E15">
        <v>177.94017500000001</v>
      </c>
      <c r="F15">
        <v>180.48958200000001</v>
      </c>
      <c r="G15">
        <v>176.28348800000001</v>
      </c>
      <c r="H15">
        <v>166.80095299999999</v>
      </c>
      <c r="I15">
        <v>33.952879000000003</v>
      </c>
      <c r="J15">
        <f t="shared" si="0"/>
        <v>175.37854950000002</v>
      </c>
      <c r="K15">
        <f t="shared" si="2"/>
        <v>170.95116835336671</v>
      </c>
      <c r="L15">
        <f t="shared" si="3"/>
        <v>174.43414739387299</v>
      </c>
      <c r="M15">
        <f t="shared" si="4"/>
        <v>176.57263837064616</v>
      </c>
      <c r="N15">
        <f t="shared" si="5"/>
        <v>174.92193074967011</v>
      </c>
      <c r="O15">
        <f t="shared" si="6"/>
        <v>176.9974073078688</v>
      </c>
      <c r="P15">
        <f t="shared" si="7"/>
        <v>174.17958778671289</v>
      </c>
      <c r="Q15">
        <f t="shared" si="8"/>
        <v>174.67614666035627</v>
      </c>
      <c r="R15">
        <v>150.4</v>
      </c>
      <c r="S15">
        <v>160</v>
      </c>
      <c r="T15" s="9"/>
      <c r="U15" s="62"/>
    </row>
    <row r="16" spans="1:21" x14ac:dyDescent="0.2">
      <c r="A16" t="s">
        <v>172</v>
      </c>
      <c r="B16" t="s">
        <v>173</v>
      </c>
      <c r="C16" t="s">
        <v>49</v>
      </c>
      <c r="D16">
        <v>20200213</v>
      </c>
      <c r="E16">
        <v>179.06634</v>
      </c>
      <c r="F16">
        <v>177.800421</v>
      </c>
      <c r="G16">
        <v>171.72613100000001</v>
      </c>
      <c r="H16">
        <v>187.553235</v>
      </c>
      <c r="I16">
        <v>37.664850999999999</v>
      </c>
      <c r="J16">
        <f t="shared" si="0"/>
        <v>179.03653174999999</v>
      </c>
      <c r="K16">
        <f t="shared" si="2"/>
        <v>161.01262348426934</v>
      </c>
      <c r="L16">
        <f t="shared" si="3"/>
        <v>157.61611858572533</v>
      </c>
      <c r="M16">
        <f t="shared" si="4"/>
        <v>155.86361077675068</v>
      </c>
      <c r="N16">
        <f t="shared" si="5"/>
        <v>179.90615197504297</v>
      </c>
      <c r="O16">
        <f t="shared" si="6"/>
        <v>177.49234637804938</v>
      </c>
      <c r="P16">
        <f t="shared" si="7"/>
        <v>163.33722203581115</v>
      </c>
      <c r="Q16">
        <f t="shared" si="8"/>
        <v>165.87134553927481</v>
      </c>
      <c r="R16">
        <v>165.9</v>
      </c>
      <c r="S16">
        <v>168.9</v>
      </c>
      <c r="T16" s="9"/>
      <c r="U16" s="62"/>
    </row>
    <row r="17" spans="1:21" x14ac:dyDescent="0.2">
      <c r="A17" t="s">
        <v>172</v>
      </c>
      <c r="B17" t="s">
        <v>173</v>
      </c>
      <c r="C17" t="s">
        <v>50</v>
      </c>
      <c r="D17">
        <v>20200430</v>
      </c>
      <c r="E17">
        <v>185.61720800000001</v>
      </c>
      <c r="F17">
        <v>185.68196</v>
      </c>
      <c r="G17">
        <v>174.985739</v>
      </c>
      <c r="H17">
        <v>174.34814499999999</v>
      </c>
      <c r="I17">
        <v>36.457751999999999</v>
      </c>
      <c r="J17">
        <f t="shared" si="0"/>
        <v>180.15826299999998</v>
      </c>
      <c r="K17">
        <f t="shared" si="2"/>
        <v>175.07894800999452</v>
      </c>
      <c r="L17">
        <f t="shared" si="3"/>
        <v>176.38700104090307</v>
      </c>
      <c r="M17">
        <f t="shared" si="4"/>
        <v>172.10596398459592</v>
      </c>
      <c r="N17">
        <f t="shared" si="5"/>
        <v>157.00823123898661</v>
      </c>
      <c r="O17">
        <f t="shared" si="6"/>
        <v>163.48702170094873</v>
      </c>
      <c r="P17">
        <f t="shared" si="7"/>
        <v>169.95822206380512</v>
      </c>
      <c r="Q17">
        <f t="shared" si="8"/>
        <v>169.00423133987232</v>
      </c>
      <c r="R17">
        <v>151.80000000000001</v>
      </c>
      <c r="S17">
        <v>138.5</v>
      </c>
      <c r="T17" s="9"/>
      <c r="U17" s="62"/>
    </row>
    <row r="18" spans="1:21" x14ac:dyDescent="0.2">
      <c r="A18" t="s">
        <v>172</v>
      </c>
      <c r="B18" t="s">
        <v>173</v>
      </c>
      <c r="C18" t="s">
        <v>51</v>
      </c>
      <c r="D18">
        <v>20200723</v>
      </c>
      <c r="E18">
        <v>167.203709</v>
      </c>
      <c r="F18">
        <v>167.59881200000001</v>
      </c>
      <c r="G18">
        <v>149.67208500000001</v>
      </c>
      <c r="H18">
        <v>159.90919199999999</v>
      </c>
      <c r="I18">
        <v>32.161647000000002</v>
      </c>
      <c r="J18">
        <f t="shared" si="0"/>
        <v>161.09594949999999</v>
      </c>
      <c r="K18">
        <f t="shared" si="2"/>
        <v>124.76059706975012</v>
      </c>
      <c r="L18">
        <f t="shared" si="3"/>
        <v>125.01179684876226</v>
      </c>
      <c r="M18">
        <f t="shared" si="4"/>
        <v>118.46441824896371</v>
      </c>
      <c r="N18">
        <f t="shared" si="5"/>
        <v>127.02987515009121</v>
      </c>
      <c r="O18">
        <f t="shared" si="6"/>
        <v>122.17945060079404</v>
      </c>
      <c r="P18">
        <f t="shared" si="7"/>
        <v>123.84549359109884</v>
      </c>
      <c r="Q18">
        <f t="shared" si="8"/>
        <v>123.54860525157669</v>
      </c>
      <c r="R18">
        <v>87.3</v>
      </c>
      <c r="S18">
        <v>113.8</v>
      </c>
      <c r="T18" s="9"/>
      <c r="U18" s="62"/>
    </row>
    <row r="19" spans="1:21" x14ac:dyDescent="0.2">
      <c r="A19" t="s">
        <v>172</v>
      </c>
      <c r="B19" t="s">
        <v>173</v>
      </c>
      <c r="C19" t="s">
        <v>52</v>
      </c>
      <c r="D19">
        <v>20201022</v>
      </c>
      <c r="E19">
        <v>173.328204</v>
      </c>
      <c r="F19">
        <v>175.66510700000001</v>
      </c>
      <c r="G19">
        <v>170.668667</v>
      </c>
      <c r="H19">
        <v>168.440699</v>
      </c>
      <c r="I19">
        <v>36.949159000000002</v>
      </c>
      <c r="J19">
        <f t="shared" si="0"/>
        <v>172.02566924999999</v>
      </c>
      <c r="K19">
        <f t="shared" si="2"/>
        <v>117.96837362740558</v>
      </c>
      <c r="L19">
        <f t="shared" si="3"/>
        <v>119.27703387658856</v>
      </c>
      <c r="M19">
        <f t="shared" si="4"/>
        <v>129.76430644765856</v>
      </c>
      <c r="N19">
        <f t="shared" si="5"/>
        <v>119.8714802223502</v>
      </c>
      <c r="O19">
        <f t="shared" si="6"/>
        <v>130.74001758056733</v>
      </c>
      <c r="P19">
        <f t="shared" si="7"/>
        <v>121.5208775975463</v>
      </c>
      <c r="Q19">
        <f t="shared" si="8"/>
        <v>123.19034822535275</v>
      </c>
      <c r="R19">
        <v>143</v>
      </c>
      <c r="S19">
        <v>161.19999999999999</v>
      </c>
      <c r="T19" s="9"/>
      <c r="U19" s="62"/>
    </row>
    <row r="20" spans="1:21" x14ac:dyDescent="0.2">
      <c r="A20" t="s">
        <v>172</v>
      </c>
      <c r="B20" t="s">
        <v>173</v>
      </c>
      <c r="C20" t="s">
        <v>53</v>
      </c>
      <c r="D20">
        <v>20210211</v>
      </c>
      <c r="E20">
        <v>180.10805500000001</v>
      </c>
      <c r="F20">
        <v>180.879391</v>
      </c>
      <c r="G20">
        <v>185.640433</v>
      </c>
      <c r="H20">
        <v>176.155056</v>
      </c>
      <c r="I20">
        <v>37.457990000000002</v>
      </c>
      <c r="J20">
        <f t="shared" si="0"/>
        <v>180.69573374999999</v>
      </c>
      <c r="K20">
        <f t="shared" si="2"/>
        <v>167.505448022758</v>
      </c>
      <c r="L20">
        <f t="shared" si="3"/>
        <v>165.98491485961407</v>
      </c>
      <c r="M20">
        <f t="shared" si="4"/>
        <v>175.34113511064101</v>
      </c>
      <c r="N20">
        <f t="shared" si="5"/>
        <v>168.58274274437673</v>
      </c>
      <c r="O20">
        <f t="shared" si="6"/>
        <v>163.41990322431965</v>
      </c>
      <c r="P20">
        <f t="shared" si="7"/>
        <v>169.32445260927241</v>
      </c>
      <c r="Q20">
        <f t="shared" si="8"/>
        <v>168.35976609516365</v>
      </c>
      <c r="R20">
        <v>162.80000000000001</v>
      </c>
      <c r="S20" s="10">
        <v>155.19999999999999</v>
      </c>
    </row>
    <row r="21" spans="1:21" x14ac:dyDescent="0.2">
      <c r="A21" t="s">
        <v>172</v>
      </c>
      <c r="B21" t="s">
        <v>173</v>
      </c>
      <c r="C21" t="s">
        <v>54</v>
      </c>
      <c r="D21">
        <v>20210422</v>
      </c>
      <c r="E21">
        <v>179.318679</v>
      </c>
      <c r="F21">
        <v>174.736456</v>
      </c>
      <c r="G21">
        <v>170.70233999999999</v>
      </c>
      <c r="H21">
        <v>181.87392700000001</v>
      </c>
      <c r="I21">
        <v>39.155822000000001</v>
      </c>
      <c r="J21">
        <f t="shared" si="0"/>
        <v>176.6578505</v>
      </c>
      <c r="K21">
        <f t="shared" si="2"/>
        <v>154.51979080447012</v>
      </c>
      <c r="L21">
        <f t="shared" si="3"/>
        <v>149.92917557534236</v>
      </c>
      <c r="M21">
        <f t="shared" si="4"/>
        <v>142.71138425969949</v>
      </c>
      <c r="N21">
        <f t="shared" si="5"/>
        <v>160.2385654511103</v>
      </c>
      <c r="O21">
        <f t="shared" si="6"/>
        <v>162.234641378248</v>
      </c>
      <c r="P21">
        <f t="shared" si="7"/>
        <v>151.73185237197112</v>
      </c>
      <c r="Q21">
        <f t="shared" si="8"/>
        <v>153.56090164014026</v>
      </c>
      <c r="R21">
        <v>137.6</v>
      </c>
      <c r="S21" s="10">
        <v>145.30000000000001</v>
      </c>
    </row>
    <row r="22" spans="1:21" x14ac:dyDescent="0.2">
      <c r="A22" t="s">
        <v>172</v>
      </c>
      <c r="B22" t="s">
        <v>173</v>
      </c>
      <c r="C22" t="s">
        <v>55</v>
      </c>
      <c r="D22">
        <v>20210722</v>
      </c>
      <c r="E22">
        <v>193.50230999999999</v>
      </c>
      <c r="F22">
        <v>191.373491</v>
      </c>
      <c r="G22">
        <v>182.36143100000001</v>
      </c>
      <c r="H22">
        <v>194.48491300000001</v>
      </c>
      <c r="I22">
        <v>40.458643000000002</v>
      </c>
      <c r="J22">
        <f>AVERAGE(E22:H22)</f>
        <v>190.43053625000002</v>
      </c>
      <c r="K22">
        <f t="shared" si="2"/>
        <v>156.79284388995526</v>
      </c>
      <c r="L22">
        <f t="shared" si="3"/>
        <v>159.13432650997572</v>
      </c>
      <c r="M22">
        <f t="shared" si="4"/>
        <v>155.22409314541326</v>
      </c>
      <c r="N22">
        <f t="shared" si="5"/>
        <v>155.37498048799486</v>
      </c>
      <c r="O22">
        <f t="shared" si="6"/>
        <v>150.13452732265461</v>
      </c>
      <c r="P22">
        <f t="shared" si="7"/>
        <v>156.62794967113564</v>
      </c>
      <c r="Q22">
        <f t="shared" si="8"/>
        <v>155.54812017118823</v>
      </c>
      <c r="R22">
        <v>154.5</v>
      </c>
      <c r="S22" s="10">
        <v>160.1</v>
      </c>
    </row>
    <row r="23" spans="1:21" x14ac:dyDescent="0.2">
      <c r="A23" t="s">
        <v>172</v>
      </c>
      <c r="B23" t="s">
        <v>173</v>
      </c>
      <c r="C23" t="s">
        <v>71</v>
      </c>
      <c r="D23">
        <v>20211028</v>
      </c>
      <c r="E23">
        <v>209.95309</v>
      </c>
      <c r="F23">
        <v>207.413601</v>
      </c>
      <c r="G23">
        <v>196.29433</v>
      </c>
      <c r="H23">
        <v>213.27505400000001</v>
      </c>
      <c r="I23">
        <v>43.046052000000003</v>
      </c>
      <c r="K23">
        <f t="shared" si="2"/>
        <v>173.71105135127328</v>
      </c>
      <c r="L23">
        <f t="shared" si="3"/>
        <v>173.51889933439108</v>
      </c>
      <c r="M23">
        <f t="shared" si="4"/>
        <v>172.33206638414677</v>
      </c>
      <c r="N23">
        <f t="shared" si="5"/>
        <v>175.56804596662982</v>
      </c>
      <c r="O23">
        <f t="shared" si="6"/>
        <v>170.33870674308082</v>
      </c>
      <c r="P23">
        <f t="shared" si="7"/>
        <v>0</v>
      </c>
      <c r="Q23">
        <f t="shared" si="8"/>
        <v>144.24479496325361</v>
      </c>
      <c r="R23" s="6">
        <f>'1. Data &amp; Confidence Interval'!AJ14</f>
        <v>190.23924177176252</v>
      </c>
      <c r="S23" s="10"/>
    </row>
    <row r="24" spans="1:21" x14ac:dyDescent="0.2">
      <c r="A24" s="159" t="s">
        <v>171</v>
      </c>
      <c r="B24" s="160"/>
      <c r="C24" s="160"/>
      <c r="D24" s="160"/>
      <c r="E24" s="102">
        <f t="shared" ref="E24:R24" si="9">CORREL(E6:E22,$S6:$S22)</f>
        <v>1.9186364032403914E-2</v>
      </c>
      <c r="F24" s="102">
        <f t="shared" si="9"/>
        <v>5.0595355244118241E-2</v>
      </c>
      <c r="G24" s="102">
        <f t="shared" si="9"/>
        <v>0.33682007242729456</v>
      </c>
      <c r="H24" s="102">
        <f t="shared" si="9"/>
        <v>0.34535480396251161</v>
      </c>
      <c r="I24" s="103">
        <f t="shared" si="9"/>
        <v>0.37398147312517355</v>
      </c>
      <c r="J24" s="102">
        <f>CORREL(J6:J22,$S6:$S22)</f>
        <v>0.22936180683935228</v>
      </c>
      <c r="K24" s="102">
        <f t="shared" si="9"/>
        <v>0.17757800598378015</v>
      </c>
      <c r="L24" s="102">
        <f t="shared" si="9"/>
        <v>0.18638422265262858</v>
      </c>
      <c r="M24" s="102">
        <f t="shared" si="9"/>
        <v>0.28133386373570995</v>
      </c>
      <c r="N24" s="102">
        <f t="shared" si="9"/>
        <v>0.45754604288412448</v>
      </c>
      <c r="O24" s="103">
        <f t="shared" si="9"/>
        <v>0.50772812552112656</v>
      </c>
      <c r="P24" s="102">
        <f t="shared" si="9"/>
        <v>0.28910325681775478</v>
      </c>
      <c r="Q24" s="102">
        <f t="shared" si="9"/>
        <v>0.32981307993904074</v>
      </c>
      <c r="R24" s="103">
        <f t="shared" si="9"/>
        <v>0.84306939492524102</v>
      </c>
      <c r="S24" s="5"/>
    </row>
    <row r="26" spans="1:21" x14ac:dyDescent="0.2">
      <c r="A26" s="162" t="s">
        <v>76</v>
      </c>
      <c r="B26" s="163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10">A6</f>
        <v>SNN_AWM</v>
      </c>
      <c r="B28" s="9" t="str">
        <f t="shared" si="10"/>
        <v>Advanced Wound Management Revenue</v>
      </c>
      <c r="C28" s="9" t="str">
        <f t="shared" si="10"/>
        <v>2017Q2</v>
      </c>
      <c r="D28" s="9">
        <f t="shared" si="10"/>
        <v>20170720</v>
      </c>
      <c r="E28" s="18">
        <f t="shared" ref="E28:E38" si="11">$S6/E6-1</f>
        <v>-0.18598779454822156</v>
      </c>
      <c r="F28" s="18">
        <f t="shared" ref="E28:R39" si="12">$S6/F6-1</f>
        <v>-0.17810103386429199</v>
      </c>
      <c r="G28" s="18">
        <f t="shared" si="12"/>
        <v>-8.3493039591740037E-2</v>
      </c>
      <c r="H28" s="18">
        <f t="shared" si="12"/>
        <v>-0.15083242179138345</v>
      </c>
      <c r="I28" s="18">
        <f t="shared" si="12"/>
        <v>4.7352262900202735</v>
      </c>
      <c r="J28" s="18">
        <f t="shared" si="12"/>
        <v>-0.1514457987214668</v>
      </c>
      <c r="K28" s="18"/>
      <c r="L28" s="18"/>
      <c r="M28" s="18"/>
      <c r="N28" s="18"/>
      <c r="O28" s="18"/>
      <c r="P28" s="18"/>
      <c r="Q28" s="18"/>
      <c r="R28" s="40">
        <f t="shared" si="12"/>
        <v>-2.7910142954390649E-2</v>
      </c>
    </row>
    <row r="29" spans="1:21" x14ac:dyDescent="0.2">
      <c r="A29" s="9" t="str">
        <f t="shared" si="10"/>
        <v>SNN_AWM</v>
      </c>
      <c r="B29" s="9" t="str">
        <f t="shared" si="10"/>
        <v>Advanced Wound Management Revenue</v>
      </c>
      <c r="C29" s="9" t="str">
        <f t="shared" si="10"/>
        <v>2017Q3</v>
      </c>
      <c r="D29" s="9">
        <f t="shared" si="10"/>
        <v>20171026</v>
      </c>
      <c r="E29" s="18">
        <f t="shared" si="11"/>
        <v>-0.3432486176814783</v>
      </c>
      <c r="F29" s="18">
        <f t="shared" si="12"/>
        <v>-0.33203282816419721</v>
      </c>
      <c r="G29" s="18">
        <f t="shared" si="12"/>
        <v>-0.2880599549277798</v>
      </c>
      <c r="H29" s="18">
        <f t="shared" si="12"/>
        <v>-0.17016099308372046</v>
      </c>
      <c r="I29" s="18">
        <f t="shared" si="12"/>
        <v>4.257423684451048</v>
      </c>
      <c r="J29" s="18">
        <f t="shared" si="12"/>
        <v>-0.28944362097698395</v>
      </c>
      <c r="K29" s="18">
        <f t="shared" si="12"/>
        <v>-0.19319221761051675</v>
      </c>
      <c r="L29" s="18">
        <f t="shared" si="12"/>
        <v>-0.18728797655463736</v>
      </c>
      <c r="M29" s="18">
        <f t="shared" si="12"/>
        <v>-0.22320279514834795</v>
      </c>
      <c r="N29" s="18">
        <f t="shared" si="12"/>
        <v>-2.2761786705413289E-2</v>
      </c>
      <c r="O29" s="18">
        <f t="shared" si="12"/>
        <v>-8.3310157508630245E-2</v>
      </c>
      <c r="P29" s="18">
        <f t="shared" si="12"/>
        <v>-0.16262699783654733</v>
      </c>
      <c r="Q29" s="18">
        <f t="shared" si="12"/>
        <v>-0.15081791207492612</v>
      </c>
      <c r="R29" s="40">
        <f t="shared" si="12"/>
        <v>-2.9160739687055459E-2</v>
      </c>
    </row>
    <row r="30" spans="1:21" x14ac:dyDescent="0.2">
      <c r="A30" s="9" t="str">
        <f t="shared" ref="A30:D30" si="13">A8</f>
        <v>SNN_AWM</v>
      </c>
      <c r="B30" s="9" t="str">
        <f t="shared" si="13"/>
        <v>Advanced Wound Management Revenue</v>
      </c>
      <c r="C30" s="9" t="str">
        <f t="shared" si="13"/>
        <v>2017Q4</v>
      </c>
      <c r="D30" s="9">
        <f t="shared" si="13"/>
        <v>20180201</v>
      </c>
      <c r="E30" s="18">
        <f t="shared" si="11"/>
        <v>-0.24932618882289681</v>
      </c>
      <c r="F30" s="18">
        <f t="shared" si="12"/>
        <v>-0.25643031543134387</v>
      </c>
      <c r="G30" s="18">
        <f t="shared" si="12"/>
        <v>-0.21478763504388099</v>
      </c>
      <c r="H30" s="18">
        <f t="shared" si="12"/>
        <v>-0.14481888234427309</v>
      </c>
      <c r="I30" s="18">
        <f t="shared" si="12"/>
        <v>4.2650769414725191</v>
      </c>
      <c r="J30" s="18">
        <f t="shared" si="12"/>
        <v>-0.21873232161037826</v>
      </c>
      <c r="K30" s="18">
        <f t="shared" si="12"/>
        <v>0.14301062987794322</v>
      </c>
      <c r="L30" s="18">
        <f t="shared" si="12"/>
        <v>0.11318297653022658</v>
      </c>
      <c r="M30" s="18">
        <f t="shared" si="12"/>
        <v>0.10291922808818255</v>
      </c>
      <c r="N30" s="18">
        <f t="shared" si="12"/>
        <v>3.0538587037044485E-2</v>
      </c>
      <c r="O30" s="18">
        <f t="shared" si="12"/>
        <v>1.4557048244190351E-3</v>
      </c>
      <c r="P30" s="18">
        <f t="shared" si="12"/>
        <v>9.951539589839542E-2</v>
      </c>
      <c r="Q30" s="18">
        <f t="shared" si="12"/>
        <v>7.9467422731811732E-2</v>
      </c>
      <c r="R30" s="40">
        <f t="shared" si="12"/>
        <v>-5.9721300597211924E-3</v>
      </c>
    </row>
    <row r="31" spans="1:21" x14ac:dyDescent="0.2">
      <c r="A31" s="9" t="str">
        <f>A9</f>
        <v>SNN_AWM</v>
      </c>
      <c r="B31" s="9" t="str">
        <f t="shared" ref="B31:D31" si="14">B9</f>
        <v>Advanced Wound Management Revenue</v>
      </c>
      <c r="C31" s="9" t="str">
        <f t="shared" si="14"/>
        <v>2018Q1</v>
      </c>
      <c r="D31" s="9">
        <f t="shared" si="14"/>
        <v>20180426</v>
      </c>
      <c r="E31" s="18">
        <f t="shared" si="11"/>
        <v>-0.1702793184016409</v>
      </c>
      <c r="F31" s="18">
        <f t="shared" ref="F31:J31" si="15">$S9/F9-1</f>
        <v>-0.16624377352765063</v>
      </c>
      <c r="G31" s="18">
        <f t="shared" si="15"/>
        <v>-0.11553064923200684</v>
      </c>
      <c r="H31" s="18">
        <f t="shared" si="15"/>
        <v>-4.4450914415905207E-2</v>
      </c>
      <c r="I31" s="18">
        <f t="shared" si="15"/>
        <v>4.5738780108542905</v>
      </c>
      <c r="J31" s="18">
        <f t="shared" si="15"/>
        <v>-0.12697234608092123</v>
      </c>
      <c r="K31" s="18">
        <f t="shared" ref="K31:Q31" si="16">$S9/K9-1</f>
        <v>0.10530122304027834</v>
      </c>
      <c r="L31" s="18">
        <f t="shared" si="16"/>
        <v>0.12128862132943241</v>
      </c>
      <c r="M31" s="18">
        <f t="shared" si="16"/>
        <v>0.12640782321024835</v>
      </c>
      <c r="N31" s="18">
        <f t="shared" si="16"/>
        <v>0.11736457442313797</v>
      </c>
      <c r="O31" s="18">
        <f t="shared" si="16"/>
        <v>5.8650817986983794E-2</v>
      </c>
      <c r="P31" s="18">
        <f t="shared" si="16"/>
        <v>0.11745011097681157</v>
      </c>
      <c r="Q31" s="18">
        <f t="shared" si="16"/>
        <v>0.10725707365770853</v>
      </c>
      <c r="R31" s="40">
        <f>$S9/R9-1</f>
        <v>2.3138105567606537E-2</v>
      </c>
    </row>
    <row r="32" spans="1:21" x14ac:dyDescent="0.2">
      <c r="A32" s="9" t="str">
        <f t="shared" ref="A32:D32" si="17">A10</f>
        <v>SNN_AWM</v>
      </c>
      <c r="B32" s="9" t="str">
        <f t="shared" si="17"/>
        <v>Advanced Wound Management Revenue</v>
      </c>
      <c r="C32" s="9" t="str">
        <f t="shared" si="17"/>
        <v>2018Q2</v>
      </c>
      <c r="D32" s="9">
        <f t="shared" si="17"/>
        <v>20180719</v>
      </c>
      <c r="E32" s="18">
        <f t="shared" si="11"/>
        <v>-0.17417453638265257</v>
      </c>
      <c r="F32" s="18">
        <f t="shared" ref="F32:J32" si="18">$S10/F10-1</f>
        <v>-0.17117980241245256</v>
      </c>
      <c r="G32" s="18">
        <f t="shared" si="18"/>
        <v>-0.10343049905299839</v>
      </c>
      <c r="H32" s="18">
        <f t="shared" si="18"/>
        <v>-7.4490161509501718E-3</v>
      </c>
      <c r="I32" s="18">
        <f t="shared" si="18"/>
        <v>4.4822006251308295</v>
      </c>
      <c r="J32" s="18">
        <f t="shared" si="18"/>
        <v>-0.11900314867427542</v>
      </c>
      <c r="K32" s="18">
        <f t="shared" ref="K32:Q32" si="19">$S10/K10-1</f>
        <v>-4.6946135818960455E-3</v>
      </c>
      <c r="L32" s="18">
        <f t="shared" si="19"/>
        <v>-5.9202303120259314E-3</v>
      </c>
      <c r="M32" s="18">
        <f t="shared" si="19"/>
        <v>1.3680689069103247E-2</v>
      </c>
      <c r="N32" s="18">
        <f t="shared" si="19"/>
        <v>3.8723178979693351E-2</v>
      </c>
      <c r="O32" s="18">
        <f t="shared" si="19"/>
        <v>-1.6447684277433372E-2</v>
      </c>
      <c r="P32" s="18">
        <f t="shared" si="19"/>
        <v>9.1282302122637216E-3</v>
      </c>
      <c r="Q32" s="18">
        <f t="shared" si="19"/>
        <v>5.4337541206397333E-3</v>
      </c>
      <c r="R32" s="40">
        <f t="shared" ref="R32:R39" si="20">$S10/R10-1</f>
        <v>4.6495489243580934E-2</v>
      </c>
    </row>
    <row r="33" spans="1:18" x14ac:dyDescent="0.2">
      <c r="A33" s="9" t="str">
        <f t="shared" ref="A33:D33" si="21">A11</f>
        <v>SNN_AWM</v>
      </c>
      <c r="B33" s="9" t="str">
        <f t="shared" si="21"/>
        <v>Advanced Wound Management Revenue</v>
      </c>
      <c r="C33" s="9" t="str">
        <f t="shared" si="21"/>
        <v>2018Q3</v>
      </c>
      <c r="D33" s="9">
        <f t="shared" si="21"/>
        <v>20181025</v>
      </c>
      <c r="E33" s="18">
        <f t="shared" si="11"/>
        <v>-0.20153862032267844</v>
      </c>
      <c r="F33" s="18">
        <f t="shared" ref="F33:J33" si="22">$S11/F11-1</f>
        <v>-0.20266902097420891</v>
      </c>
      <c r="G33" s="18">
        <f t="shared" si="22"/>
        <v>-0.14146669162544245</v>
      </c>
      <c r="H33" s="18">
        <f t="shared" si="22"/>
        <v>-9.2562962807640314E-2</v>
      </c>
      <c r="I33" s="18">
        <f t="shared" si="22"/>
        <v>3.8824277315478817</v>
      </c>
      <c r="J33" s="18">
        <f t="shared" si="22"/>
        <v>-0.16201849457589013</v>
      </c>
      <c r="K33" s="18">
        <f t="shared" ref="K33:Q33" si="23">$S11/K11-1</f>
        <v>-3.3135432540628562E-2</v>
      </c>
      <c r="L33" s="18">
        <f t="shared" si="23"/>
        <v>-3.7992822391891723E-2</v>
      </c>
      <c r="M33" s="18">
        <f t="shared" si="23"/>
        <v>-4.242414283808249E-2</v>
      </c>
      <c r="N33" s="18">
        <f t="shared" si="23"/>
        <v>-8.5752720053355436E-2</v>
      </c>
      <c r="O33" s="18">
        <f t="shared" si="23"/>
        <v>-0.10940367465457979</v>
      </c>
      <c r="P33" s="18">
        <f t="shared" si="23"/>
        <v>-4.8825765763958251E-2</v>
      </c>
      <c r="Q33" s="18">
        <f t="shared" si="23"/>
        <v>-6.0450495178489216E-2</v>
      </c>
      <c r="R33" s="40">
        <f t="shared" si="20"/>
        <v>4.8063127690100238E-2</v>
      </c>
    </row>
    <row r="34" spans="1:18" x14ac:dyDescent="0.2">
      <c r="A34" s="9" t="str">
        <f t="shared" ref="A34:D34" si="24">A12</f>
        <v>SNN_AWM</v>
      </c>
      <c r="B34" s="9" t="str">
        <f t="shared" si="24"/>
        <v>Advanced Wound Management Revenue</v>
      </c>
      <c r="C34" s="9" t="str">
        <f t="shared" si="24"/>
        <v>2018Q4</v>
      </c>
      <c r="D34" s="9">
        <f t="shared" si="24"/>
        <v>20190131</v>
      </c>
      <c r="E34" s="18">
        <f t="shared" si="11"/>
        <v>-0.13166760823803469</v>
      </c>
      <c r="F34" s="18">
        <f t="shared" ref="F34:J34" si="25">$S12/F12-1</f>
        <v>-0.13301759007656577</v>
      </c>
      <c r="G34" s="18">
        <f t="shared" si="25"/>
        <v>-8.2768498934014278E-2</v>
      </c>
      <c r="H34" s="18">
        <f t="shared" si="25"/>
        <v>-4.7047971860677551E-2</v>
      </c>
      <c r="I34" s="18">
        <f t="shared" si="25"/>
        <v>4.0677379549722739</v>
      </c>
      <c r="J34" s="18">
        <f t="shared" si="25"/>
        <v>-0.10004501197282789</v>
      </c>
      <c r="K34" s="18">
        <f t="shared" ref="K34:Q34" si="26">$S12/K12-1</f>
        <v>8.7507065292100172E-2</v>
      </c>
      <c r="L34" s="18">
        <f t="shared" si="26"/>
        <v>8.735573147144704E-2</v>
      </c>
      <c r="M34" s="18">
        <f t="shared" si="26"/>
        <v>6.8370314953254629E-2</v>
      </c>
      <c r="N34" s="18">
        <f t="shared" si="26"/>
        <v>5.0157739965945858E-2</v>
      </c>
      <c r="O34" s="18">
        <f t="shared" si="26"/>
        <v>3.7954524595829042E-2</v>
      </c>
      <c r="P34" s="18">
        <f t="shared" si="26"/>
        <v>7.3955668713352907E-2</v>
      </c>
      <c r="Q34" s="18">
        <f t="shared" si="26"/>
        <v>6.7233978909246206E-2</v>
      </c>
      <c r="R34" s="40">
        <f t="shared" si="20"/>
        <v>-3.8167938931297218E-3</v>
      </c>
    </row>
    <row r="35" spans="1:18" x14ac:dyDescent="0.2">
      <c r="A35" s="9" t="str">
        <f t="shared" ref="A35:D35" si="27">A13</f>
        <v>SNN_AWM</v>
      </c>
      <c r="B35" s="9" t="str">
        <f t="shared" si="27"/>
        <v>Advanced Wound Management Revenue</v>
      </c>
      <c r="C35" s="9" t="str">
        <f t="shared" si="27"/>
        <v>2019Q1</v>
      </c>
      <c r="D35" s="9">
        <f t="shared" si="27"/>
        <v>20190425</v>
      </c>
      <c r="E35" s="18">
        <f t="shared" si="11"/>
        <v>-0.15576150532133293</v>
      </c>
      <c r="F35" s="18">
        <f t="shared" ref="F35:J35" si="28">$S13/F13-1</f>
        <v>-0.15188291861900005</v>
      </c>
      <c r="G35" s="18">
        <f t="shared" si="28"/>
        <v>-0.11090964278166127</v>
      </c>
      <c r="H35" s="18">
        <f t="shared" si="28"/>
        <v>-7.1397401400498439E-2</v>
      </c>
      <c r="I35" s="18">
        <f t="shared" si="28"/>
        <v>3.7961878159890308</v>
      </c>
      <c r="J35" s="18">
        <f t="shared" si="28"/>
        <v>-0.12380885448508072</v>
      </c>
      <c r="K35" s="18">
        <f t="shared" ref="K35:Q35" si="29">$S13/K13-1</f>
        <v>-2.7747320394680308E-2</v>
      </c>
      <c r="L35" s="18">
        <f t="shared" si="29"/>
        <v>-2.1759759282890534E-2</v>
      </c>
      <c r="M35" s="18">
        <f t="shared" si="29"/>
        <v>-3.0680524834724943E-2</v>
      </c>
      <c r="N35" s="18">
        <f t="shared" si="29"/>
        <v>-2.5551579534768609E-2</v>
      </c>
      <c r="O35" s="18">
        <f t="shared" si="29"/>
        <v>-5.3584092428616614E-2</v>
      </c>
      <c r="P35" s="18">
        <f t="shared" si="29"/>
        <v>-2.6405590088840469E-2</v>
      </c>
      <c r="Q35" s="18">
        <f t="shared" si="29"/>
        <v>-3.1069694733615538E-2</v>
      </c>
      <c r="R35" s="40">
        <f t="shared" si="20"/>
        <v>1.8607856650585841E-2</v>
      </c>
    </row>
    <row r="36" spans="1:18" x14ac:dyDescent="0.2">
      <c r="A36" s="9" t="str">
        <f t="shared" ref="A36:D36" si="30">A14</f>
        <v>SNN_AWM</v>
      </c>
      <c r="B36" s="9" t="str">
        <f t="shared" si="30"/>
        <v>Advanced Wound Management Revenue</v>
      </c>
      <c r="C36" s="9" t="str">
        <f t="shared" si="30"/>
        <v>2019Q2</v>
      </c>
      <c r="D36" s="9">
        <f t="shared" si="30"/>
        <v>20190725</v>
      </c>
      <c r="E36" s="18">
        <f t="shared" si="11"/>
        <v>-3.9277283202814095E-2</v>
      </c>
      <c r="F36" s="18">
        <f t="shared" ref="F36:J36" si="31">$S14/F14-1</f>
        <v>-3.3550050584786772E-2</v>
      </c>
      <c r="G36" s="18">
        <f>$S14/G14-1</f>
        <v>1.6402578252034949E-3</v>
      </c>
      <c r="H36" s="18">
        <f t="shared" si="31"/>
        <v>4.8686638796782811E-2</v>
      </c>
      <c r="I36" s="18">
        <f t="shared" si="31"/>
        <v>4.2130308981417688</v>
      </c>
      <c r="J36" s="18">
        <f t="shared" si="31"/>
        <v>-6.8364216530775179E-3</v>
      </c>
      <c r="K36" s="18">
        <f t="shared" ref="K36:Q36" si="32">$S14/K14-1</f>
        <v>0.13797549253289487</v>
      </c>
      <c r="L36" s="18">
        <f t="shared" si="32"/>
        <v>0.13952421267300785</v>
      </c>
      <c r="M36" s="18">
        <f t="shared" si="32"/>
        <v>0.12658994633458298</v>
      </c>
      <c r="N36" s="18">
        <f t="shared" si="32"/>
        <v>0.12931693318367765</v>
      </c>
      <c r="O36" s="18">
        <f t="shared" si="32"/>
        <v>8.6911334198195966E-2</v>
      </c>
      <c r="P36" s="18">
        <f t="shared" si="32"/>
        <v>0.13350104418512587</v>
      </c>
      <c r="Q36" s="18">
        <f t="shared" si="32"/>
        <v>0.12534487991995058</v>
      </c>
      <c r="R36" s="40">
        <f t="shared" si="20"/>
        <v>4.0935672514619714E-2</v>
      </c>
    </row>
    <row r="37" spans="1:18" x14ac:dyDescent="0.2">
      <c r="A37" s="9" t="str">
        <f t="shared" ref="A37:D37" si="33">A15</f>
        <v>SNN_AWM</v>
      </c>
      <c r="B37" s="9" t="str">
        <f t="shared" si="33"/>
        <v>Advanced Wound Management Revenue</v>
      </c>
      <c r="C37" s="9" t="str">
        <f t="shared" si="33"/>
        <v>2019Q3</v>
      </c>
      <c r="D37" s="9">
        <f t="shared" si="33"/>
        <v>20191024</v>
      </c>
      <c r="E37" s="18">
        <f t="shared" si="11"/>
        <v>-0.10082138561457532</v>
      </c>
      <c r="F37" s="18">
        <f t="shared" ref="F37:J37" si="34">$S15/F15-1</f>
        <v>-0.11352224196519001</v>
      </c>
      <c r="G37" s="18">
        <f>$S15/G15-1</f>
        <v>-9.2371033638726341E-2</v>
      </c>
      <c r="H37" s="18">
        <f t="shared" si="34"/>
        <v>-4.0772866567494903E-2</v>
      </c>
      <c r="I37" s="18">
        <f t="shared" si="34"/>
        <v>3.7124133420320549</v>
      </c>
      <c r="J37" s="18">
        <f t="shared" si="34"/>
        <v>-8.7687744845899807E-2</v>
      </c>
      <c r="K37" s="18">
        <f t="shared" ref="K37:Q37" si="35">$S15/K15-1</f>
        <v>-6.4060213561863311E-2</v>
      </c>
      <c r="L37" s="18">
        <f t="shared" si="35"/>
        <v>-8.2748404538479647E-2</v>
      </c>
      <c r="M37" s="18">
        <f t="shared" si="35"/>
        <v>-9.3857341225531798E-2</v>
      </c>
      <c r="N37" s="18">
        <f t="shared" si="35"/>
        <v>-8.5306231675574273E-2</v>
      </c>
      <c r="O37" s="18">
        <f t="shared" si="35"/>
        <v>-9.6031956435969401E-2</v>
      </c>
      <c r="P37" s="18">
        <f t="shared" si="35"/>
        <v>-8.1407861661012437E-2</v>
      </c>
      <c r="Q37" s="18">
        <f t="shared" si="35"/>
        <v>-8.4019180299945928E-2</v>
      </c>
      <c r="R37" s="40">
        <f t="shared" si="20"/>
        <v>6.3829787234042534E-2</v>
      </c>
    </row>
    <row r="38" spans="1:18" x14ac:dyDescent="0.2">
      <c r="A38" s="9" t="str">
        <f t="shared" ref="A38:D38" si="36">A16</f>
        <v>SNN_AWM</v>
      </c>
      <c r="B38" s="9" t="str">
        <f t="shared" si="36"/>
        <v>Advanced Wound Management Revenue</v>
      </c>
      <c r="C38" s="9" t="str">
        <f t="shared" si="36"/>
        <v>2019Q4</v>
      </c>
      <c r="D38" s="9">
        <f t="shared" si="36"/>
        <v>20200213</v>
      </c>
      <c r="E38" s="18">
        <f t="shared" si="11"/>
        <v>-5.6774154204525473E-2</v>
      </c>
      <c r="F38" s="18">
        <f t="shared" ref="F38:J38" si="37">$S16/F16-1</f>
        <v>-5.0058492268699406E-2</v>
      </c>
      <c r="G38" s="18">
        <f t="shared" si="37"/>
        <v>-1.6457198351484403E-2</v>
      </c>
      <c r="H38" s="18">
        <f t="shared" si="37"/>
        <v>-9.94556825426125E-2</v>
      </c>
      <c r="I38" s="18">
        <f t="shared" si="37"/>
        <v>3.4842869549649889</v>
      </c>
      <c r="J38" s="18">
        <f t="shared" si="37"/>
        <v>-5.6617114121459089E-2</v>
      </c>
      <c r="K38" s="18">
        <f t="shared" ref="K38:Q38" si="38">$S16/K16-1</f>
        <v>4.8986075408561147E-2</v>
      </c>
      <c r="L38" s="18">
        <f t="shared" si="38"/>
        <v>7.1590910342951508E-2</v>
      </c>
      <c r="M38" s="18">
        <f t="shared" si="38"/>
        <v>8.3639722949327977E-2</v>
      </c>
      <c r="N38" s="18">
        <f t="shared" si="38"/>
        <v>-6.1177185183582616E-2</v>
      </c>
      <c r="O38" s="18">
        <f t="shared" si="38"/>
        <v>-4.8409672604970422E-2</v>
      </c>
      <c r="P38" s="18">
        <f t="shared" si="38"/>
        <v>3.4057013428140825E-2</v>
      </c>
      <c r="Q38" s="18">
        <f t="shared" si="38"/>
        <v>1.8259057650244159E-2</v>
      </c>
      <c r="R38" s="40">
        <f t="shared" si="20"/>
        <v>1.8083182640144635E-2</v>
      </c>
    </row>
    <row r="39" spans="1:18" x14ac:dyDescent="0.2">
      <c r="A39" s="9" t="str">
        <f t="shared" ref="A39:D39" si="39">A17</f>
        <v>SNN_AWM</v>
      </c>
      <c r="B39" s="9" t="str">
        <f t="shared" si="39"/>
        <v>Advanced Wound Management Revenue</v>
      </c>
      <c r="C39" s="9" t="str">
        <f t="shared" si="39"/>
        <v>2020Q1</v>
      </c>
      <c r="D39" s="9">
        <f t="shared" si="39"/>
        <v>20200430</v>
      </c>
      <c r="E39" s="18">
        <f t="shared" si="12"/>
        <v>-0.25384073226659032</v>
      </c>
      <c r="F39" s="18">
        <f t="shared" ref="F39:J39" si="40">$S17/F17-1</f>
        <v>-0.25410093689230773</v>
      </c>
      <c r="G39" s="18">
        <f t="shared" ref="G39:G44" si="41">$S17/G17-1</f>
        <v>-0.20850692867034148</v>
      </c>
      <c r="H39" s="18">
        <f t="shared" si="40"/>
        <v>-0.2056124256441042</v>
      </c>
      <c r="I39" s="18">
        <f t="shared" si="40"/>
        <v>2.7989177171428454</v>
      </c>
      <c r="J39" s="18">
        <f t="shared" si="40"/>
        <v>-0.23123148672897664</v>
      </c>
      <c r="K39" s="18">
        <f t="shared" ref="K39:Q39" si="42">$S17/K17-1</f>
        <v>-0.20892830592006062</v>
      </c>
      <c r="L39" s="18">
        <f t="shared" si="42"/>
        <v>-0.21479474574272794</v>
      </c>
      <c r="M39" s="18">
        <f t="shared" si="42"/>
        <v>-0.19526321579189299</v>
      </c>
      <c r="N39" s="18">
        <f t="shared" si="42"/>
        <v>-0.11788064289963696</v>
      </c>
      <c r="O39" s="18">
        <f t="shared" si="42"/>
        <v>-0.15283795276823331</v>
      </c>
      <c r="P39" s="18">
        <f t="shared" si="42"/>
        <v>-0.18509385237035014</v>
      </c>
      <c r="Q39" s="18">
        <f t="shared" si="42"/>
        <v>-0.18049389117676851</v>
      </c>
      <c r="R39" s="40">
        <f t="shared" si="20"/>
        <v>-8.7615283267457267E-2</v>
      </c>
    </row>
    <row r="40" spans="1:18" x14ac:dyDescent="0.2">
      <c r="A40" s="9" t="str">
        <f t="shared" ref="A40:D40" si="43">A18</f>
        <v>SNN_AWM</v>
      </c>
      <c r="B40" s="9" t="str">
        <f t="shared" si="43"/>
        <v>Advanced Wound Management Revenue</v>
      </c>
      <c r="C40" s="9" t="str">
        <f t="shared" si="43"/>
        <v>2020Q2</v>
      </c>
      <c r="D40" s="9">
        <f t="shared" si="43"/>
        <v>20200723</v>
      </c>
      <c r="E40" s="18">
        <f>$S18/E18-1</f>
        <v>-0.31939308834351277</v>
      </c>
      <c r="F40" s="18">
        <f t="shared" ref="F40:J40" si="44">$S18/F18-1</f>
        <v>-0.32099757365821902</v>
      </c>
      <c r="G40" s="18">
        <f t="shared" si="41"/>
        <v>-0.23967117849664488</v>
      </c>
      <c r="H40" s="18">
        <f t="shared" si="44"/>
        <v>-0.28834610082952572</v>
      </c>
      <c r="I40" s="18">
        <f t="shared" si="44"/>
        <v>2.5383760041890886</v>
      </c>
      <c r="J40" s="18">
        <f t="shared" si="44"/>
        <v>-0.29358869448173175</v>
      </c>
      <c r="K40" s="18">
        <f t="shared" ref="K40:Q40" si="45">$S18/K18-1</f>
        <v>-8.7853034749604153E-2</v>
      </c>
      <c r="L40" s="18">
        <f t="shared" si="45"/>
        <v>-8.9685910701100879E-2</v>
      </c>
      <c r="M40" s="18">
        <f t="shared" si="45"/>
        <v>-3.9374002066688174E-2</v>
      </c>
      <c r="N40" s="18">
        <f t="shared" si="45"/>
        <v>-0.10414774583112485</v>
      </c>
      <c r="O40" s="18">
        <f t="shared" si="45"/>
        <v>-6.8583141924355551E-2</v>
      </c>
      <c r="P40" s="18">
        <f t="shared" si="45"/>
        <v>-8.1113113604812215E-2</v>
      </c>
      <c r="Q40" s="18">
        <f t="shared" si="45"/>
        <v>-7.8905020673653348E-2</v>
      </c>
      <c r="R40" s="40">
        <f t="shared" ref="R40" si="46">$S18/R18-1</f>
        <v>0.30355097365406647</v>
      </c>
    </row>
    <row r="41" spans="1:18" x14ac:dyDescent="0.2">
      <c r="A41" s="9" t="str">
        <f t="shared" ref="A41:D41" si="47">A19</f>
        <v>SNN_AWM</v>
      </c>
      <c r="B41" s="9" t="str">
        <f t="shared" si="47"/>
        <v>Advanced Wound Management Revenue</v>
      </c>
      <c r="C41" s="9" t="str">
        <f t="shared" si="47"/>
        <v>2020Q3</v>
      </c>
      <c r="D41" s="9">
        <f t="shared" si="47"/>
        <v>20201022</v>
      </c>
      <c r="E41" s="18">
        <f>$S19/E19-1</f>
        <v>-6.9972478339416777E-2</v>
      </c>
      <c r="F41" s="18">
        <f t="shared" ref="F41:I41" si="48">$S19/F19-1</f>
        <v>-8.234479372161263E-2</v>
      </c>
      <c r="G41" s="18">
        <f t="shared" si="41"/>
        <v>-5.5479820440620276E-2</v>
      </c>
      <c r="H41" s="18">
        <f t="shared" si="48"/>
        <v>-4.2986635907988013E-2</v>
      </c>
      <c r="I41" s="18">
        <f t="shared" si="48"/>
        <v>3.3627515310970946</v>
      </c>
      <c r="J41" s="18">
        <f>$S19/J19-1</f>
        <v>-6.2930545756327616E-2</v>
      </c>
      <c r="K41" s="18">
        <f t="shared" ref="K41:Q41" si="49">$S19/K19-1</f>
        <v>0.3664679357972529</v>
      </c>
      <c r="L41" s="18">
        <f t="shared" si="49"/>
        <v>0.35147559224844183</v>
      </c>
      <c r="M41" s="18">
        <f t="shared" si="49"/>
        <v>0.2422522372515532</v>
      </c>
      <c r="N41" s="18">
        <f t="shared" si="49"/>
        <v>0.34477358334934483</v>
      </c>
      <c r="O41" s="18">
        <f t="shared" si="49"/>
        <v>0.2329813241814962</v>
      </c>
      <c r="P41" s="18">
        <f t="shared" si="49"/>
        <v>0.32652103232716345</v>
      </c>
      <c r="Q41" s="18">
        <f t="shared" si="49"/>
        <v>0.30854407282879004</v>
      </c>
      <c r="R41" s="40">
        <f>$S19/R19-1</f>
        <v>0.1272727272727272</v>
      </c>
    </row>
    <row r="42" spans="1:18" x14ac:dyDescent="0.2">
      <c r="A42" s="9" t="str">
        <f t="shared" ref="A42:D42" si="50">A20</f>
        <v>SNN_AWM</v>
      </c>
      <c r="B42" s="9" t="str">
        <f t="shared" si="50"/>
        <v>Advanced Wound Management Revenue</v>
      </c>
      <c r="C42" s="9" t="str">
        <f t="shared" si="50"/>
        <v>2020Q4</v>
      </c>
      <c r="D42" s="9">
        <f t="shared" si="50"/>
        <v>20210211</v>
      </c>
      <c r="E42" s="18">
        <f>$S20/E20-1</f>
        <v>-0.13829506403808545</v>
      </c>
      <c r="F42" s="18">
        <f t="shared" ref="F42:I42" si="51">$S20/F20-1</f>
        <v>-0.14196968962594536</v>
      </c>
      <c r="G42" s="18">
        <f t="shared" si="41"/>
        <v>-0.16397523162424432</v>
      </c>
      <c r="H42" s="18">
        <f t="shared" si="51"/>
        <v>-0.11895801616957291</v>
      </c>
      <c r="I42" s="18">
        <f t="shared" si="51"/>
        <v>3.1433082768189102</v>
      </c>
      <c r="J42" s="18">
        <f>$S20/J20-1</f>
        <v>-0.14109759661107657</v>
      </c>
      <c r="K42" s="18">
        <f t="shared" ref="K42:Q42" si="52">$S20/K20-1</f>
        <v>-7.3462971909344366E-2</v>
      </c>
      <c r="L42" s="18">
        <f t="shared" si="52"/>
        <v>-6.4975271209047447E-2</v>
      </c>
      <c r="M42" s="18">
        <f t="shared" si="52"/>
        <v>-0.11486828289284123</v>
      </c>
      <c r="N42" s="18">
        <f t="shared" si="52"/>
        <v>-7.9383823791911445E-2</v>
      </c>
      <c r="O42" s="18">
        <f t="shared" si="52"/>
        <v>-5.0299278497531241E-2</v>
      </c>
      <c r="P42" s="18">
        <f t="shared" si="52"/>
        <v>-8.3416496504881921E-2</v>
      </c>
      <c r="Q42" s="18">
        <f t="shared" si="52"/>
        <v>-7.8164554396715213E-2</v>
      </c>
      <c r="R42" s="40">
        <f>$S20/R20-1</f>
        <v>-4.6683046683046792E-2</v>
      </c>
    </row>
    <row r="43" spans="1:18" x14ac:dyDescent="0.2">
      <c r="A43" s="9" t="str">
        <f t="shared" ref="A43:D43" si="53">A21</f>
        <v>SNN_AWM</v>
      </c>
      <c r="B43" s="9" t="str">
        <f t="shared" si="53"/>
        <v>Advanced Wound Management Revenue</v>
      </c>
      <c r="C43" s="9" t="str">
        <f t="shared" si="53"/>
        <v>2021Q1</v>
      </c>
      <c r="D43" s="9">
        <f t="shared" si="53"/>
        <v>20210422</v>
      </c>
      <c r="E43" s="18">
        <f>$S21/E21-1</f>
        <v>-0.18971073838883223</v>
      </c>
      <c r="F43" s="18">
        <f t="shared" ref="F43:J43" si="54">$S21/F21-1</f>
        <v>-0.16846201802330241</v>
      </c>
      <c r="G43" s="18">
        <f t="shared" si="41"/>
        <v>-0.14881073100696796</v>
      </c>
      <c r="H43" s="18">
        <f t="shared" si="54"/>
        <v>-0.20109494309209031</v>
      </c>
      <c r="I43" s="18">
        <f t="shared" si="54"/>
        <v>2.7108147033664625</v>
      </c>
      <c r="J43" s="18">
        <f t="shared" si="54"/>
        <v>-0.17750612503914731</v>
      </c>
      <c r="K43" s="18">
        <f t="shared" ref="K43:Q43" si="55">$S21/K21-1</f>
        <v>-5.9667378246304192E-2</v>
      </c>
      <c r="L43" s="18">
        <f t="shared" si="55"/>
        <v>-3.0875748883285814E-2</v>
      </c>
      <c r="M43" s="18">
        <f t="shared" si="55"/>
        <v>1.8138817402190366E-2</v>
      </c>
      <c r="N43" s="18">
        <f t="shared" si="55"/>
        <v>-9.3227029392422556E-2</v>
      </c>
      <c r="O43" s="18">
        <f t="shared" si="55"/>
        <v>-0.10438363369488446</v>
      </c>
      <c r="P43" s="18">
        <f t="shared" si="55"/>
        <v>-4.238959896306671E-2</v>
      </c>
      <c r="Q43" s="18">
        <f t="shared" si="55"/>
        <v>-5.3795605208799335E-2</v>
      </c>
      <c r="R43" s="40">
        <f>$S21/R21-1</f>
        <v>5.595930232558155E-2</v>
      </c>
    </row>
    <row r="44" spans="1:18" x14ac:dyDescent="0.2">
      <c r="A44" s="9" t="str">
        <f t="shared" ref="A44:D44" si="56">A22</f>
        <v>SNN_AWM</v>
      </c>
      <c r="B44" s="9" t="str">
        <f t="shared" si="56"/>
        <v>Advanced Wound Management Revenue</v>
      </c>
      <c r="C44" s="9" t="str">
        <f t="shared" si="56"/>
        <v>2021Q2</v>
      </c>
      <c r="D44" s="9">
        <f t="shared" si="56"/>
        <v>20210722</v>
      </c>
      <c r="E44" s="18">
        <f>$S22/E22-1</f>
        <v>-0.17261969637468411</v>
      </c>
      <c r="F44" s="18">
        <f t="shared" ref="F44:J44" si="57">$S22/F22-1</f>
        <v>-0.16341600310776594</v>
      </c>
      <c r="G44" s="18">
        <f t="shared" si="41"/>
        <v>-0.12207313179068013</v>
      </c>
      <c r="H44" s="18">
        <f t="shared" si="57"/>
        <v>-0.17679989912636573</v>
      </c>
      <c r="I44" s="18">
        <f t="shared" si="57"/>
        <v>2.9571272818023084</v>
      </c>
      <c r="J44" s="18">
        <f t="shared" si="57"/>
        <v>-0.1592734907293526</v>
      </c>
      <c r="K44" s="18">
        <f t="shared" ref="K44:Q44" si="58">$S22/K22-1</f>
        <v>2.1092519454305236E-2</v>
      </c>
      <c r="L44" s="18">
        <f t="shared" si="58"/>
        <v>6.0682915572194407E-3</v>
      </c>
      <c r="M44" s="18">
        <f t="shared" si="58"/>
        <v>3.1412049223692451E-2</v>
      </c>
      <c r="N44" s="18">
        <f t="shared" si="58"/>
        <v>3.0410427065959977E-2</v>
      </c>
      <c r="O44" s="18">
        <f t="shared" si="58"/>
        <v>6.6376954422539658E-2</v>
      </c>
      <c r="P44" s="18">
        <f t="shared" si="58"/>
        <v>2.2167501625057762E-2</v>
      </c>
      <c r="Q44" s="18">
        <f t="shared" si="58"/>
        <v>2.9263483376090971E-2</v>
      </c>
      <c r="R44" s="40">
        <f>$S22/R22-1</f>
        <v>3.6245954692556648E-2</v>
      </c>
    </row>
    <row r="45" spans="1:18" x14ac:dyDescent="0.2">
      <c r="A45" s="168" t="s">
        <v>77</v>
      </c>
      <c r="B45" s="168"/>
      <c r="C45" s="164"/>
      <c r="D45" s="165"/>
      <c r="E45" s="73" cm="1">
        <f t="array" ref="E45">SUM(ABS(E28:E44))/COUNT(E28:E44)</f>
        <v>0.17368757708776311</v>
      </c>
      <c r="F45" s="73" cm="1">
        <f t="array" ref="F45">SUM(ABS(F28:F44))/COUNT(F28:F44)</f>
        <v>0.17176347546573764</v>
      </c>
      <c r="G45" s="73" cm="1">
        <f t="array" ref="G45">SUM(ABS(G28:G44))/COUNT(G28:G44)</f>
        <v>0.12879012488437869</v>
      </c>
      <c r="H45" s="73" cm="1">
        <f t="array" ref="H45">SUM(ABS(H28:H44))/COUNT(H28:H44)</f>
        <v>0.11479022191362269</v>
      </c>
      <c r="I45" s="73" cm="1">
        <f t="array" ref="I45">SUM(ABS(I28:I44))/COUNT(I28:I44)</f>
        <v>3.7047756331760979</v>
      </c>
      <c r="J45" s="73" cm="1">
        <f t="array" ref="J45">SUM(ABS(J28:J44))/COUNT(J28:J44)</f>
        <v>0.14754345982734546</v>
      </c>
      <c r="K45" s="73" cm="1">
        <f t="array" ref="K45">SUM(ABS(K28:K44))/COUNT(K28:K44)</f>
        <v>0.10394265186988963</v>
      </c>
      <c r="L45" s="73" cm="1">
        <f t="array" ref="L45">SUM(ABS(L28:L44))/COUNT(L28:L44)</f>
        <v>0.10165795036055086</v>
      </c>
      <c r="M45" s="73" cm="1">
        <f t="array" ref="M45">SUM(ABS(M28:M44))/COUNT(M28:M44)</f>
        <v>9.706757083001534E-2</v>
      </c>
      <c r="N45" s="73" cm="1">
        <f t="array" ref="N45">SUM(ABS(N28:N44))/COUNT(N28:N44)</f>
        <v>8.8529610567037134E-2</v>
      </c>
      <c r="O45" s="75" cm="1">
        <f t="array" ref="O45">SUM(ABS(O28:O44))/COUNT(O28:O44)</f>
        <v>7.9226369062791763E-2</v>
      </c>
      <c r="P45" s="73" cm="1">
        <f t="array" ref="P45">SUM(ABS(P28:P44))/COUNT(P28:P44)</f>
        <v>9.5473454634986313E-2</v>
      </c>
      <c r="Q45" s="73" cm="1">
        <f t="array" ref="Q45">SUM(ABS(Q28:Q44))/COUNT(Q28:Q44)</f>
        <v>9.1157504808587211E-2</v>
      </c>
      <c r="R45" s="75" cm="1">
        <f t="array" ref="R45">SUM(ABS(R28:R44))/COUNT(R28:R44)</f>
        <v>5.7843548001789022E-2</v>
      </c>
    </row>
    <row r="46" spans="1:18" x14ac:dyDescent="0.2">
      <c r="A46" s="169" t="s">
        <v>78</v>
      </c>
      <c r="B46" s="169"/>
      <c r="C46" s="166"/>
      <c r="D46" s="167"/>
      <c r="E46" s="74" cm="1">
        <f t="array" ref="E46">SQRT(SUM(POWER(E28:E44,2))/COUNT(E28:E44))</f>
        <v>0.19209520894152715</v>
      </c>
      <c r="F46" s="74" cm="1">
        <f t="array" ref="F46">SQRT(SUM(POWER(F28:F44,2))/COUNT(F28:F44))</f>
        <v>0.18983652704471901</v>
      </c>
      <c r="G46" s="74" cm="1">
        <f t="array" ref="G46">SQRT(SUM(POWER(G28:G44,2))/COUNT(G28:G44))</f>
        <v>0.14872569927835191</v>
      </c>
      <c r="H46" s="74" cm="1">
        <f t="array" ref="H46">SQRT(SUM(POWER(H28:H44,2))/COUNT(H28:H44))</f>
        <v>0.13668953629197311</v>
      </c>
      <c r="I46" s="74" cm="1">
        <f t="array" ref="I46">SQRT(SUM(POWER(I28:I44,2))/COUNT(I28:I44))</f>
        <v>3.7652510356257736</v>
      </c>
      <c r="J46" s="74" cm="1">
        <f t="array" ref="J46">SQRT(SUM(POWER(J28:J44,2))/COUNT(J28:J44))</f>
        <v>0.16588046284186442</v>
      </c>
      <c r="K46" s="74" cm="1">
        <f t="array" ref="K46">SQRT(SUM(POWER(K28:K44,2))/COUNT(K28:K44))</f>
        <v>0.13670713216492314</v>
      </c>
      <c r="L46" s="74" cm="1">
        <f t="array" ref="L46">SQRT(SUM(POWER(L28:L44,2))/COUNT(L28:L44))</f>
        <v>0.13382545504087925</v>
      </c>
      <c r="M46" s="74" cm="1">
        <f t="array" ref="M46">SQRT(SUM(POWER(M28:M44,2))/COUNT(M28:M44))</f>
        <v>0.11955595262061429</v>
      </c>
      <c r="N46" s="74" cm="1">
        <f t="array" ref="N46">SQRT(SUM(POWER(N28:N44,2))/COUNT(N28:N44))</f>
        <v>0.11579043593727459</v>
      </c>
      <c r="O46" s="76" cm="1">
        <f t="array" ref="O46">SQRT(SUM(POWER(O28:O44,2))/COUNT(O28:O44))</f>
        <v>9.5599610762069576E-2</v>
      </c>
      <c r="P46" s="74" cm="1">
        <f t="array" ref="P46">SQRT(SUM(POWER(P28:P44,2))/COUNT(P28:P44))</f>
        <v>0.12275245722659445</v>
      </c>
      <c r="Q46" s="74" cm="1">
        <f t="array" ref="Q46">SQRT(SUM(POWER(Q28:Q44,2))/COUNT(Q28:Q44))</f>
        <v>0.11637820309155425</v>
      </c>
      <c r="R46" s="76" cm="1">
        <f t="array" ref="R46">SQRT(SUM(POWER(R28:R44,2))/COUNT(R28:R44))</f>
        <v>8.9361311796669798E-2</v>
      </c>
    </row>
    <row r="47" spans="1:18" x14ac:dyDescent="0.2">
      <c r="G47" s="3"/>
      <c r="J47" s="3"/>
    </row>
    <row r="48" spans="1:18" x14ac:dyDescent="0.2">
      <c r="B48" t="s">
        <v>158</v>
      </c>
      <c r="G48" s="3"/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O20" sqref="O20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0" t="s">
        <v>82</v>
      </c>
      <c r="C7" s="170"/>
      <c r="D7" s="170" t="s">
        <v>112</v>
      </c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6"/>
      <c r="P7" s="6"/>
      <c r="Q7" s="6"/>
    </row>
    <row r="8" spans="1:17" ht="15" x14ac:dyDescent="0.2">
      <c r="A8" s="67" t="s">
        <v>174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5.3469876121558582E-2</v>
      </c>
      <c r="D9" s="2">
        <v>9.9423705798191556E-2</v>
      </c>
      <c r="E9" s="2">
        <v>6.488571183317024E-2</v>
      </c>
      <c r="F9" s="2">
        <v>4.5039950664281243E-2</v>
      </c>
      <c r="G9" s="2">
        <v>4.8659402683465178E-2</v>
      </c>
      <c r="H9" s="2">
        <v>6.4844528658324088E-2</v>
      </c>
      <c r="I9" s="2">
        <v>6.6977951579898484E-2</v>
      </c>
      <c r="J9" s="2">
        <v>4.8376682468667893E-2</v>
      </c>
      <c r="K9" s="2">
        <v>5.1435433824941507E-2</v>
      </c>
      <c r="L9" s="2">
        <v>7.5654103990685576E-2</v>
      </c>
      <c r="M9" s="2">
        <v>6.9336890004803517E-2</v>
      </c>
      <c r="O9" s="6"/>
      <c r="P9" s="6"/>
      <c r="Q9" s="6"/>
    </row>
    <row r="10" spans="1:17" ht="15" x14ac:dyDescent="0.2">
      <c r="B10" s="71" t="s">
        <v>96</v>
      </c>
      <c r="C10" s="2">
        <v>6.1638908580643838E-2</v>
      </c>
      <c r="D10" s="2">
        <v>0.11154962084455999</v>
      </c>
      <c r="E10" s="2">
        <v>7.6224011283921964E-2</v>
      </c>
      <c r="F10" s="2">
        <v>5.9166898971902811E-2</v>
      </c>
      <c r="G10" s="2">
        <v>6.3468288384682339E-2</v>
      </c>
      <c r="H10" s="2">
        <v>7.6145935846908902E-2</v>
      </c>
      <c r="I10" s="2">
        <v>7.7816474867634156E-2</v>
      </c>
      <c r="J10" s="2">
        <v>6.3367516464489473E-2</v>
      </c>
      <c r="K10" s="2">
        <v>6.4617017814131705E-2</v>
      </c>
      <c r="L10" s="2">
        <v>9.0318703804631362E-2</v>
      </c>
      <c r="M10" s="2">
        <v>8.3283027467388152E-2</v>
      </c>
      <c r="O10" s="6"/>
      <c r="P10" s="6"/>
      <c r="Q10" s="6"/>
    </row>
    <row r="11" spans="1:17" ht="15" x14ac:dyDescent="0.2">
      <c r="B11" s="71" t="s">
        <v>97</v>
      </c>
      <c r="C11" s="2">
        <v>-3.4978138663335427E-2</v>
      </c>
      <c r="D11" s="2">
        <v>5.2963293814433099E-2</v>
      </c>
      <c r="E11" s="2">
        <v>-4.7788597071256378E-2</v>
      </c>
      <c r="F11" s="2">
        <v>-1.214442085754364E-2</v>
      </c>
      <c r="G11" s="2">
        <v>-2.1046981378521231E-2</v>
      </c>
      <c r="H11" s="2">
        <v>-4.8223156074758237E-2</v>
      </c>
      <c r="I11" s="2">
        <v>-6.03735290600661E-2</v>
      </c>
      <c r="J11" s="2">
        <v>-1.987782698031226E-2</v>
      </c>
      <c r="K11" s="2">
        <v>-2.1018060017899961E-2</v>
      </c>
      <c r="L11" s="2">
        <v>-6.904842511040743E-2</v>
      </c>
      <c r="M11" s="2">
        <v>-4.5720073298296082E-2</v>
      </c>
      <c r="O11" s="6"/>
      <c r="P11" s="6"/>
      <c r="Q11" s="6"/>
    </row>
    <row r="12" spans="1:17" ht="15" x14ac:dyDescent="0.2">
      <c r="B12" s="9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71" t="s">
        <v>108</v>
      </c>
      <c r="C20" s="171"/>
      <c r="D20" s="171"/>
      <c r="E20" s="171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2" t="s">
        <v>159</v>
      </c>
      <c r="C24" s="172"/>
      <c r="D24" s="172"/>
      <c r="E24" s="3">
        <f>C9</f>
        <v>5.3469876121558582E-2</v>
      </c>
      <c r="F24" t="s">
        <v>110</v>
      </c>
      <c r="G24" s="172" t="s">
        <v>111</v>
      </c>
      <c r="H24" s="172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C45" sqref="C45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174">
        <f>F6</f>
        <v>4.5528074589982301E-2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174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4.8122888509402717E-2</v>
      </c>
      <c r="D6" s="2">
        <v>9.9942129170085908E-2</v>
      </c>
      <c r="E6" s="2">
        <v>7.7427474668938553E-2</v>
      </c>
      <c r="F6" s="2">
        <v>4.5528074589982301E-2</v>
      </c>
      <c r="G6" s="2">
        <v>4.8366682010675309E-2</v>
      </c>
      <c r="H6" s="2">
        <v>7.7394915948578141E-2</v>
      </c>
      <c r="I6" s="2">
        <v>7.9310970922416513E-2</v>
      </c>
      <c r="J6" s="2">
        <v>4.8274078545930757E-2</v>
      </c>
      <c r="K6" s="2">
        <v>5.3601179308685062E-2</v>
      </c>
      <c r="L6" s="2">
        <v>8.6378603463097128E-2</v>
      </c>
      <c r="M6" s="2">
        <v>8.2578901727049681E-2</v>
      </c>
    </row>
    <row r="7" spans="1:25" ht="15" x14ac:dyDescent="0.2">
      <c r="B7" s="71" t="s">
        <v>96</v>
      </c>
      <c r="C7" s="2">
        <v>5.8475803080519313E-2</v>
      </c>
      <c r="D7" s="2">
        <v>0.11087501170466969</v>
      </c>
      <c r="E7" s="2">
        <v>9.4077765892743664E-2</v>
      </c>
      <c r="F7" s="2">
        <v>5.8308337833212057E-2</v>
      </c>
      <c r="G7" s="2">
        <v>6.1923700165000768E-2</v>
      </c>
      <c r="H7" s="2">
        <v>9.4029966441975449E-2</v>
      </c>
      <c r="I7" s="2">
        <v>9.5244854928074899E-2</v>
      </c>
      <c r="J7" s="2">
        <v>6.1952451687774739E-2</v>
      </c>
      <c r="K7" s="2">
        <v>6.5513968963677477E-2</v>
      </c>
      <c r="L7" s="2">
        <v>0.1033776061936167</v>
      </c>
      <c r="M7" s="2">
        <v>0.1015531653581051</v>
      </c>
    </row>
    <row r="8" spans="1:25" ht="15" x14ac:dyDescent="0.2">
      <c r="B8" s="71" t="s">
        <v>97</v>
      </c>
      <c r="C8" s="2">
        <v>-2.6623034148988482E-2</v>
      </c>
      <c r="D8" s="2">
        <v>5.1917841104966667E-2</v>
      </c>
      <c r="E8" s="2">
        <v>-5.4082036828881019E-2</v>
      </c>
      <c r="F8" s="2">
        <v>-2.1122881940278341E-2</v>
      </c>
      <c r="G8" s="2">
        <v>-2.4046893452157821E-2</v>
      </c>
      <c r="H8" s="2">
        <v>-5.4288157285554188E-2</v>
      </c>
      <c r="I8" s="2">
        <v>-6.5250699396490697E-2</v>
      </c>
      <c r="J8" s="2">
        <v>-2.3665265237549749E-2</v>
      </c>
      <c r="K8" s="2">
        <v>-2.6932301340021669E-2</v>
      </c>
      <c r="L8" s="2">
        <v>-7.3791159095518533E-2</v>
      </c>
      <c r="M8" s="2">
        <v>-5.5460400044986757E-2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170</v>
      </c>
      <c r="C14">
        <v>136.5</v>
      </c>
      <c r="D14">
        <v>140.6</v>
      </c>
      <c r="E14">
        <v>148.90532619999999</v>
      </c>
    </row>
    <row r="15" spans="1:25" x14ac:dyDescent="0.2">
      <c r="B15" t="s">
        <v>167</v>
      </c>
      <c r="C15">
        <v>149.80000000000001</v>
      </c>
      <c r="D15">
        <v>150.69999999999999</v>
      </c>
      <c r="E15">
        <v>149.58225239999999</v>
      </c>
    </row>
    <row r="16" spans="1:25" x14ac:dyDescent="0.2">
      <c r="B16" t="s">
        <v>42</v>
      </c>
      <c r="C16">
        <v>141.5</v>
      </c>
      <c r="D16">
        <v>138.30000000000001</v>
      </c>
      <c r="E16">
        <v>133.66069110000001</v>
      </c>
    </row>
    <row r="17" spans="2:25" x14ac:dyDescent="0.2">
      <c r="B17" t="s">
        <v>43</v>
      </c>
      <c r="C17">
        <v>150.80000000000001</v>
      </c>
      <c r="D17">
        <v>144.1</v>
      </c>
      <c r="E17">
        <v>153.3217884</v>
      </c>
    </row>
    <row r="18" spans="2:25" x14ac:dyDescent="0.2">
      <c r="B18" t="s">
        <v>44</v>
      </c>
      <c r="C18">
        <v>146.1</v>
      </c>
      <c r="D18">
        <v>139.4</v>
      </c>
      <c r="E18">
        <v>164.04738689999999</v>
      </c>
    </row>
    <row r="19" spans="2:25" x14ac:dyDescent="0.2">
      <c r="B19" t="s">
        <v>45</v>
      </c>
      <c r="C19">
        <v>156.6</v>
      </c>
      <c r="D19">
        <v>157.19999999999999</v>
      </c>
      <c r="E19">
        <v>150.8736619</v>
      </c>
    </row>
    <row r="20" spans="2:25" x14ac:dyDescent="0.2">
      <c r="B20" t="s">
        <v>46</v>
      </c>
      <c r="C20">
        <v>147.80000000000001</v>
      </c>
      <c r="D20">
        <v>145.1</v>
      </c>
      <c r="E20">
        <v>156.1681274</v>
      </c>
      <c r="F20">
        <v>148.27155244501731</v>
      </c>
      <c r="G20">
        <v>146.92254067126339</v>
      </c>
      <c r="H20">
        <v>147.91217697509271</v>
      </c>
      <c r="I20">
        <v>148.243100954271</v>
      </c>
      <c r="J20">
        <v>147.50537230697441</v>
      </c>
      <c r="K20">
        <v>147.90399093666181</v>
      </c>
      <c r="L20">
        <v>147.35880912555149</v>
      </c>
      <c r="M20">
        <v>148.6496445123673</v>
      </c>
      <c r="N20">
        <v>159.40419607939111</v>
      </c>
      <c r="O20" s="2">
        <v>-1.8267929634641519E-2</v>
      </c>
      <c r="P20" s="2">
        <v>5.6617912043301688E-2</v>
      </c>
      <c r="Q20" s="2">
        <v>3.190476623933014E-3</v>
      </c>
      <c r="R20" s="2">
        <v>-5.9368019535627203E-3</v>
      </c>
      <c r="S20" s="2">
        <v>7.5897818059988964E-4</v>
      </c>
      <c r="T20" s="2">
        <v>2.9979766865426689E-3</v>
      </c>
      <c r="U20" s="2">
        <v>-1.99342146837389E-3</v>
      </c>
      <c r="V20" s="2">
        <v>7.035922642883996E-4</v>
      </c>
      <c r="W20" s="2">
        <v>-2.985053277730243E-3</v>
      </c>
      <c r="X20" s="2">
        <v>5.7486096912537921E-3</v>
      </c>
      <c r="Y20" s="2">
        <v>7.8512828683295677E-2</v>
      </c>
    </row>
    <row r="21" spans="2:25" x14ac:dyDescent="0.2">
      <c r="B21" t="s">
        <v>47</v>
      </c>
      <c r="C21">
        <v>160.19999999999999</v>
      </c>
      <c r="D21">
        <v>153.9</v>
      </c>
      <c r="E21">
        <v>147.39012740000001</v>
      </c>
      <c r="F21">
        <v>146.22465764815919</v>
      </c>
      <c r="G21">
        <v>153.9495807958192</v>
      </c>
      <c r="H21">
        <v>153.16665261516491</v>
      </c>
      <c r="I21">
        <v>146.23984625177351</v>
      </c>
      <c r="J21">
        <v>146.71160061903029</v>
      </c>
      <c r="K21">
        <v>152.93809757236929</v>
      </c>
      <c r="L21">
        <v>153.09556254452531</v>
      </c>
      <c r="M21">
        <v>147.6188703284831</v>
      </c>
      <c r="N21">
        <v>144.171569687529</v>
      </c>
      <c r="O21" s="2">
        <v>-3.9325842696629087E-2</v>
      </c>
      <c r="P21" s="2">
        <v>-7.9961751560549188E-2</v>
      </c>
      <c r="Q21" s="2">
        <v>-8.7236843644449613E-2</v>
      </c>
      <c r="R21" s="2">
        <v>-3.9016349589143462E-2</v>
      </c>
      <c r="S21" s="2">
        <v>-4.3903541728058992E-2</v>
      </c>
      <c r="T21" s="2">
        <v>-8.7142033384684958E-2</v>
      </c>
      <c r="U21" s="2">
        <v>-8.4197249569099242E-2</v>
      </c>
      <c r="V21" s="2">
        <v>-4.533022738845649E-2</v>
      </c>
      <c r="W21" s="2">
        <v>-4.4347299971752019E-2</v>
      </c>
      <c r="X21" s="2">
        <v>-7.8533893080629635E-2</v>
      </c>
      <c r="Y21" s="2">
        <v>-0.1000526236733522</v>
      </c>
    </row>
    <row r="22" spans="2:25" x14ac:dyDescent="0.2">
      <c r="B22" t="s">
        <v>48</v>
      </c>
      <c r="C22">
        <v>160</v>
      </c>
      <c r="D22">
        <v>150.4</v>
      </c>
      <c r="E22">
        <v>176.99740729999999</v>
      </c>
      <c r="F22">
        <v>152.35382446859899</v>
      </c>
      <c r="G22">
        <v>152.57792631271079</v>
      </c>
      <c r="H22">
        <v>155.6079113015773</v>
      </c>
      <c r="I22">
        <v>152.28429502803871</v>
      </c>
      <c r="J22">
        <v>148.66249999999999</v>
      </c>
      <c r="K22">
        <v>155.45906386045891</v>
      </c>
      <c r="L22">
        <v>151.59958617252931</v>
      </c>
      <c r="M22">
        <v>130.5256100357764</v>
      </c>
      <c r="N22">
        <v>157.0404068956577</v>
      </c>
      <c r="O22" s="2">
        <v>-5.9999999999999942E-2</v>
      </c>
      <c r="P22" s="2">
        <v>0.1062337956249999</v>
      </c>
      <c r="Q22" s="2">
        <v>-4.7788597071256378E-2</v>
      </c>
      <c r="R22" s="2">
        <v>-4.6387960545557272E-2</v>
      </c>
      <c r="S22" s="2">
        <v>-2.7450554365141659E-2</v>
      </c>
      <c r="T22" s="2">
        <v>-4.8223156074758237E-2</v>
      </c>
      <c r="U22" s="2">
        <v>-7.0859374999999836E-2</v>
      </c>
      <c r="V22" s="2">
        <v>-2.8380850872131599E-2</v>
      </c>
      <c r="W22" s="2">
        <v>-5.2502586421692143E-2</v>
      </c>
      <c r="X22" s="2">
        <v>-0.18421493727639771</v>
      </c>
      <c r="Y22" s="2">
        <v>-1.849745690213922E-2</v>
      </c>
    </row>
    <row r="23" spans="2:25" x14ac:dyDescent="0.2">
      <c r="B23" t="s">
        <v>49</v>
      </c>
      <c r="C23">
        <v>168.9</v>
      </c>
      <c r="D23">
        <v>165.9</v>
      </c>
      <c r="E23">
        <v>177.4923464</v>
      </c>
      <c r="F23">
        <v>157.0572938612296</v>
      </c>
      <c r="G23">
        <v>169.21194447512801</v>
      </c>
      <c r="H23">
        <v>172.88048763032299</v>
      </c>
      <c r="I23">
        <v>157.0572315343432</v>
      </c>
      <c r="J23">
        <v>157.05540280211059</v>
      </c>
      <c r="K23">
        <v>172.40899660437739</v>
      </c>
      <c r="L23">
        <v>172.8747462017443</v>
      </c>
      <c r="M23">
        <v>157.23772099885221</v>
      </c>
      <c r="N23">
        <v>161.1778796199178</v>
      </c>
      <c r="O23" s="2">
        <v>-1.7761989342806369E-2</v>
      </c>
      <c r="P23" s="2">
        <v>5.0872388395500227E-2</v>
      </c>
      <c r="Q23" s="2">
        <v>-7.0116673408942676E-2</v>
      </c>
      <c r="R23" s="2">
        <v>1.846918147590193E-3</v>
      </c>
      <c r="S23" s="2">
        <v>2.3567126289656851E-2</v>
      </c>
      <c r="T23" s="2">
        <v>-7.0117042425439924E-2</v>
      </c>
      <c r="U23" s="2">
        <v>-7.0127869732915293E-2</v>
      </c>
      <c r="V23" s="2">
        <v>2.077558676363167E-2</v>
      </c>
      <c r="W23" s="2">
        <v>2.353313322524753E-2</v>
      </c>
      <c r="X23" s="2">
        <v>-6.904842511040743E-2</v>
      </c>
      <c r="Y23" s="2">
        <v>-4.5720073298296082E-2</v>
      </c>
    </row>
    <row r="24" spans="2:25" x14ac:dyDescent="0.2">
      <c r="B24" t="s">
        <v>50</v>
      </c>
      <c r="C24">
        <v>138.5</v>
      </c>
      <c r="D24">
        <v>151.80000000000001</v>
      </c>
      <c r="E24">
        <v>163.48702170000001</v>
      </c>
      <c r="F24">
        <v>155.26369768739701</v>
      </c>
      <c r="G24">
        <v>155.03870417291489</v>
      </c>
      <c r="H24">
        <v>155.9546808810201</v>
      </c>
      <c r="I24">
        <v>155.24316493533149</v>
      </c>
      <c r="J24">
        <v>155.26323878115079</v>
      </c>
      <c r="K24">
        <v>155.93440678495909</v>
      </c>
      <c r="L24">
        <v>155.95418838098129</v>
      </c>
      <c r="M24">
        <v>154.25344900961991</v>
      </c>
      <c r="N24">
        <v>146.1055405997522</v>
      </c>
      <c r="O24" s="2">
        <v>9.6028880866426025E-2</v>
      </c>
      <c r="P24" s="2">
        <v>0.18041170902527079</v>
      </c>
      <c r="Q24" s="2">
        <v>0.1210375284288594</v>
      </c>
      <c r="R24" s="2">
        <v>0.1194130265192412</v>
      </c>
      <c r="S24" s="2">
        <v>0.12602657675826759</v>
      </c>
      <c r="T24" s="2">
        <v>0.1208892775114188</v>
      </c>
      <c r="U24" s="2">
        <v>0.12103421502635919</v>
      </c>
      <c r="V24" s="2">
        <v>0.12588019339320661</v>
      </c>
      <c r="W24" s="2">
        <v>0.12602302080130889</v>
      </c>
      <c r="X24" s="2">
        <v>0.11374331414887991</v>
      </c>
      <c r="Y24" s="2">
        <v>5.4913650539727188E-2</v>
      </c>
    </row>
    <row r="25" spans="2:25" x14ac:dyDescent="0.2">
      <c r="B25" t="s">
        <v>52</v>
      </c>
      <c r="C25">
        <v>161.19999999999999</v>
      </c>
      <c r="D25">
        <v>143</v>
      </c>
      <c r="E25">
        <v>130.74001759999999</v>
      </c>
      <c r="F25">
        <v>140.7336656448912</v>
      </c>
      <c r="G25">
        <v>145.19713443648391</v>
      </c>
      <c r="H25">
        <v>142.77860832765339</v>
      </c>
      <c r="I25">
        <v>140.79073805486149</v>
      </c>
      <c r="J25">
        <v>140.73531689541269</v>
      </c>
      <c r="K25">
        <v>142.76005657113001</v>
      </c>
      <c r="L25">
        <v>143.05362208428829</v>
      </c>
      <c r="M25">
        <v>147.8682430517039</v>
      </c>
      <c r="N25">
        <v>132.44762400723269</v>
      </c>
      <c r="O25" s="2">
        <v>-0.1129032258064515</v>
      </c>
      <c r="P25" s="2">
        <v>-0.18895770719602981</v>
      </c>
      <c r="Q25" s="2">
        <v>-0.12696237192995541</v>
      </c>
      <c r="R25" s="2">
        <v>-9.9273359575162146E-2</v>
      </c>
      <c r="S25" s="2">
        <v>-0.1142766232775846</v>
      </c>
      <c r="T25" s="2">
        <v>-0.1266083247217028</v>
      </c>
      <c r="U25" s="2">
        <v>-0.1269521284403676</v>
      </c>
      <c r="V25" s="2">
        <v>-0.1143917086158187</v>
      </c>
      <c r="W25" s="2">
        <v>-0.11257058260367039</v>
      </c>
      <c r="X25" s="2">
        <v>-8.2703206875285762E-2</v>
      </c>
      <c r="Y25" s="2">
        <v>-0.17836461533974771</v>
      </c>
    </row>
    <row r="26" spans="2:25" x14ac:dyDescent="0.2">
      <c r="B26" t="s">
        <v>53</v>
      </c>
      <c r="C26">
        <v>155.19999999999999</v>
      </c>
      <c r="D26">
        <v>162.80000000000001</v>
      </c>
      <c r="E26">
        <v>163.41990319999999</v>
      </c>
      <c r="F26">
        <v>153.07161368549291</v>
      </c>
      <c r="G26">
        <v>163.1523511191497</v>
      </c>
      <c r="H26">
        <v>163.5586741677015</v>
      </c>
      <c r="I26">
        <v>153.0648648118557</v>
      </c>
      <c r="J26">
        <v>153.0711483113912</v>
      </c>
      <c r="K26">
        <v>163.36312461952269</v>
      </c>
      <c r="L26">
        <v>162.5087754687581</v>
      </c>
      <c r="M26">
        <v>150.49750856377671</v>
      </c>
      <c r="N26">
        <v>145.08084720193159</v>
      </c>
      <c r="O26" s="2">
        <v>4.8969072164948502E-2</v>
      </c>
      <c r="P26" s="2">
        <v>5.2963293814433099E-2</v>
      </c>
      <c r="Q26" s="2">
        <v>-1.371382934605059E-2</v>
      </c>
      <c r="R26" s="2">
        <v>5.1239375767717421E-2</v>
      </c>
      <c r="S26" s="2">
        <v>5.3857436647561492E-2</v>
      </c>
      <c r="T26" s="2">
        <v>-1.375731435659977E-2</v>
      </c>
      <c r="U26" s="2">
        <v>-1.371682789052076E-2</v>
      </c>
      <c r="V26" s="2">
        <v>5.2597452445378057E-2</v>
      </c>
      <c r="W26" s="2">
        <v>4.7092625443029057E-2</v>
      </c>
      <c r="X26" s="2">
        <v>-3.029955822308816E-2</v>
      </c>
      <c r="Y26" s="2">
        <v>-6.5200726791677432E-2</v>
      </c>
    </row>
    <row r="27" spans="2:25" x14ac:dyDescent="0.2">
      <c r="B27" t="s">
        <v>54</v>
      </c>
      <c r="C27">
        <v>145.30000000000001</v>
      </c>
      <c r="D27">
        <v>137.6</v>
      </c>
      <c r="E27">
        <v>162.23464139999999</v>
      </c>
      <c r="F27">
        <v>153.08075825433161</v>
      </c>
      <c r="G27">
        <v>143.53541564939891</v>
      </c>
      <c r="H27">
        <v>142.2418736057009</v>
      </c>
      <c r="I27">
        <v>153.07536251105611</v>
      </c>
      <c r="J27">
        <v>153.08037154896019</v>
      </c>
      <c r="K27">
        <v>142.4117517397606</v>
      </c>
      <c r="L27">
        <v>142.24607587939909</v>
      </c>
      <c r="M27">
        <v>150.48744712811151</v>
      </c>
      <c r="N27">
        <v>147.59277976246361</v>
      </c>
      <c r="O27" s="2">
        <v>-5.2993805918788772E-2</v>
      </c>
      <c r="P27" s="2">
        <v>0.116549493461803</v>
      </c>
      <c r="Q27" s="2">
        <v>5.354960945857945E-2</v>
      </c>
      <c r="R27" s="2">
        <v>-1.214442085754364E-2</v>
      </c>
      <c r="S27" s="2">
        <v>-2.1046981378521231E-2</v>
      </c>
      <c r="T27" s="2">
        <v>5.3512474267419563E-2</v>
      </c>
      <c r="U27" s="2">
        <v>5.3546948031384378E-2</v>
      </c>
      <c r="V27" s="2">
        <v>-1.987782698031226E-2</v>
      </c>
      <c r="W27" s="2">
        <v>-2.1018060017899961E-2</v>
      </c>
      <c r="X27" s="2">
        <v>3.5701631989755622E-2</v>
      </c>
      <c r="Y27" s="2">
        <v>1.57796267203274E-2</v>
      </c>
    </row>
    <row r="28" spans="2:25" x14ac:dyDescent="0.2">
      <c r="B28" t="s">
        <v>55</v>
      </c>
      <c r="C28">
        <v>160.1</v>
      </c>
      <c r="D28">
        <v>154.5</v>
      </c>
      <c r="E28">
        <v>150.1345273</v>
      </c>
      <c r="F28">
        <v>150.4338861985004</v>
      </c>
      <c r="G28">
        <v>155.2807749820156</v>
      </c>
      <c r="H28">
        <v>155.76980643532031</v>
      </c>
      <c r="I28">
        <v>150.43745932473431</v>
      </c>
      <c r="J28">
        <v>150.43419799748341</v>
      </c>
      <c r="K28">
        <v>155.70482217048459</v>
      </c>
      <c r="L28">
        <v>154.84126851979079</v>
      </c>
      <c r="M28">
        <v>147.1489731407724</v>
      </c>
      <c r="N28">
        <v>149.3748356640435</v>
      </c>
      <c r="O28" s="2">
        <v>-3.4978138663335427E-2</v>
      </c>
      <c r="P28" s="2">
        <v>-6.2245301061836338E-2</v>
      </c>
      <c r="Q28" s="2">
        <v>-6.0375476586505661E-2</v>
      </c>
      <c r="R28" s="2">
        <v>-3.0101343023013039E-2</v>
      </c>
      <c r="S28" s="2">
        <v>-2.7046805525794419E-2</v>
      </c>
      <c r="T28" s="2">
        <v>-6.0353158496350152E-2</v>
      </c>
      <c r="U28" s="2">
        <v>-6.03735290600661E-2</v>
      </c>
      <c r="V28" s="2">
        <v>-2.745270349478723E-2</v>
      </c>
      <c r="W28" s="2">
        <v>-3.2846542662143367E-2</v>
      </c>
      <c r="X28" s="2">
        <v>-8.0893359520472163E-2</v>
      </c>
      <c r="Y28" s="2">
        <v>-6.6990408094668719E-2</v>
      </c>
    </row>
    <row r="29" spans="2:25" x14ac:dyDescent="0.2">
      <c r="B29" t="s">
        <v>71</v>
      </c>
      <c r="C29">
        <v>190.2392418</v>
      </c>
      <c r="D29">
        <v>190.2392418</v>
      </c>
      <c r="E29">
        <v>170.33870669999999</v>
      </c>
      <c r="F29">
        <v>154.03607865008459</v>
      </c>
      <c r="G29">
        <v>180.7422724796196</v>
      </c>
      <c r="H29">
        <v>181.53918351556399</v>
      </c>
      <c r="I29">
        <v>154.02750620921921</v>
      </c>
      <c r="J29">
        <v>154.03516458586941</v>
      </c>
      <c r="K29">
        <v>181.23129133103339</v>
      </c>
      <c r="L29">
        <v>176.33410607989759</v>
      </c>
      <c r="M29">
        <v>155.4446559345929</v>
      </c>
      <c r="N29">
        <v>151.85714171724791</v>
      </c>
      <c r="O29" s="2">
        <v>0</v>
      </c>
      <c r="P29" s="2">
        <v>-0.104607939517135</v>
      </c>
      <c r="Q29" s="2">
        <v>-0.1903033401908534</v>
      </c>
      <c r="R29" s="2">
        <v>-4.9921189921291909E-2</v>
      </c>
      <c r="S29" s="2">
        <v>-4.5732195955566428E-2</v>
      </c>
      <c r="T29" s="2">
        <v>-0.19034840156086461</v>
      </c>
      <c r="U29" s="2">
        <v>-0.19030814500507881</v>
      </c>
      <c r="V29" s="2">
        <v>-4.7350643241296557E-2</v>
      </c>
      <c r="W29" s="2">
        <v>-7.3092888662376954E-2</v>
      </c>
      <c r="X29" s="2">
        <v>-0.18289909871480101</v>
      </c>
      <c r="Y29" s="2">
        <v>-0.20175700722726519</v>
      </c>
    </row>
    <row r="30" spans="2:25" x14ac:dyDescent="0.2">
      <c r="D30" s="93" t="s">
        <v>148</v>
      </c>
      <c r="E30" s="93"/>
      <c r="F30" s="93"/>
      <c r="G30">
        <f>$G$29/(1+R30)</f>
        <v>181.96265384649911</v>
      </c>
      <c r="N30" s="93" t="s">
        <v>141</v>
      </c>
      <c r="O30" s="93"/>
      <c r="P30" s="93"/>
      <c r="Q30" s="93"/>
      <c r="R30" s="1">
        <f>AVERAGE(R20:R28)</f>
        <v>-6.7067683454926069E-3</v>
      </c>
    </row>
    <row r="31" spans="2:25" x14ac:dyDescent="0.2">
      <c r="D31" s="94" t="s">
        <v>149</v>
      </c>
      <c r="E31" s="94"/>
      <c r="F31" s="94"/>
      <c r="G31">
        <f t="shared" ref="G31:G35" si="0">$G$29/(1+R31)</f>
        <v>182.96426754659768</v>
      </c>
      <c r="H31">
        <f>G29/(1+MIN(R20:R28))</f>
        <v>200.66273647060163</v>
      </c>
      <c r="N31" s="94" t="s">
        <v>143</v>
      </c>
      <c r="O31" s="94"/>
      <c r="P31" s="94"/>
      <c r="Q31" s="94"/>
      <c r="R31" s="1">
        <f>MEDIAN(R20:R28)</f>
        <v>-1.214442085754364E-2</v>
      </c>
    </row>
    <row r="32" spans="2:25" x14ac:dyDescent="0.2">
      <c r="D32" s="95" t="s">
        <v>150</v>
      </c>
      <c r="E32" s="95"/>
      <c r="F32" s="95"/>
      <c r="G32">
        <f t="shared" si="0"/>
        <v>188.04011679436178</v>
      </c>
      <c r="N32" s="95" t="s">
        <v>142</v>
      </c>
      <c r="O32" s="95"/>
      <c r="P32" s="95"/>
      <c r="Q32" s="95"/>
      <c r="R32" s="1">
        <f>AVERAGE(R27:R28,R25,R20:R22)</f>
        <v>-3.8810039257330377E-2</v>
      </c>
    </row>
    <row r="33" spans="1:18" x14ac:dyDescent="0.2">
      <c r="D33" s="96" t="s">
        <v>151</v>
      </c>
      <c r="E33" s="96"/>
      <c r="F33" s="96"/>
      <c r="G33">
        <f t="shared" si="0"/>
        <v>187.21210690892212</v>
      </c>
      <c r="N33" s="96" t="s">
        <v>144</v>
      </c>
      <c r="O33" s="96"/>
      <c r="P33" s="96"/>
      <c r="Q33" s="96"/>
      <c r="R33" s="1">
        <f>MEDIAN(R27:R28,R25,R20:R22)</f>
        <v>-3.455884630607825E-2</v>
      </c>
    </row>
    <row r="34" spans="1:18" x14ac:dyDescent="0.2">
      <c r="D34" s="97" t="s">
        <v>152</v>
      </c>
      <c r="E34" s="97"/>
      <c r="F34" s="97"/>
      <c r="G34">
        <f t="shared" si="0"/>
        <v>170.91471507851671</v>
      </c>
      <c r="N34" s="97" t="s">
        <v>145</v>
      </c>
      <c r="O34" s="97"/>
      <c r="P34" s="97"/>
      <c r="Q34" s="97"/>
      <c r="R34" s="1">
        <f>AVERAGE(R26,R23:R24)</f>
        <v>5.7499773478182935E-2</v>
      </c>
    </row>
    <row r="35" spans="1:18" x14ac:dyDescent="0.2">
      <c r="D35" s="98" t="s">
        <v>153</v>
      </c>
      <c r="E35" s="98"/>
      <c r="F35" s="98"/>
      <c r="G35">
        <f t="shared" si="0"/>
        <v>171.932555653772</v>
      </c>
      <c r="H35" s="101"/>
      <c r="N35" s="98" t="s">
        <v>146</v>
      </c>
      <c r="O35" s="98"/>
      <c r="P35" s="98"/>
      <c r="Q35" s="98"/>
      <c r="R35" s="1">
        <f>MEDIAN(R26,R23:R24)</f>
        <v>5.1239375767717421E-2</v>
      </c>
    </row>
    <row r="38" spans="1:18" x14ac:dyDescent="0.2">
      <c r="A38" s="67" t="s">
        <v>102</v>
      </c>
      <c r="B38" t="s">
        <v>154</v>
      </c>
    </row>
    <row r="39" spans="1:18" x14ac:dyDescent="0.2">
      <c r="B39" t="s">
        <v>155</v>
      </c>
    </row>
    <row r="45" spans="1:18" x14ac:dyDescent="0.2">
      <c r="A45" s="67" t="s">
        <v>104</v>
      </c>
      <c r="B45" s="78" t="s">
        <v>156</v>
      </c>
      <c r="C45" s="79">
        <f>G33</f>
        <v>187.21210690892212</v>
      </c>
      <c r="D45" t="s">
        <v>168</v>
      </c>
    </row>
    <row r="47" spans="1:18" x14ac:dyDescent="0.2">
      <c r="B47" s="173" t="s">
        <v>164</v>
      </c>
      <c r="C47" s="173"/>
      <c r="D47" s="2">
        <f>C45/D29-1</f>
        <v>-1.5912252711038022E-2</v>
      </c>
    </row>
    <row r="48" spans="1:18" x14ac:dyDescent="0.2">
      <c r="B48" s="161" t="s">
        <v>163</v>
      </c>
      <c r="C48" s="161"/>
      <c r="D48" s="2">
        <f>'1. Data &amp; Confidence Interval'!V25</f>
        <v>-4.3177433239170337E-2</v>
      </c>
    </row>
  </sheetData>
  <mergeCells count="2">
    <mergeCell ref="B48:C48"/>
    <mergeCell ref="B47:C47"/>
  </mergeCells>
  <conditionalFormatting sqref="R30:R3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W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2021-10-29T14:07:07Z</dcterms:modified>
</cp:coreProperties>
</file>