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NN\"/>
    </mc:Choice>
  </mc:AlternateContent>
  <xr:revisionPtr revIDLastSave="0" documentId="13_ncr:1_{EDD2A92C-FF42-433F-8524-1B66D32798DE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D36" i="4"/>
  <c r="D35" i="4"/>
  <c r="D34" i="4"/>
  <c r="D33" i="4"/>
  <c r="D32" i="4"/>
  <c r="D31" i="4"/>
  <c r="O36" i="4"/>
  <c r="O35" i="4"/>
  <c r="O34" i="4"/>
  <c r="O33" i="4"/>
  <c r="O32" i="4"/>
  <c r="O14" i="4"/>
  <c r="O31" i="4"/>
  <c r="O15" i="4"/>
  <c r="O16" i="4"/>
  <c r="O17" i="4"/>
  <c r="O18" i="4"/>
  <c r="O19" i="4"/>
  <c r="O20" i="4"/>
  <c r="P45" i="2" l="1" a="1"/>
  <c r="P45" i="2" s="1"/>
  <c r="J23" i="2"/>
  <c r="P23" i="2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6" i="2"/>
  <c r="V25" i="1"/>
  <c r="S25" i="1"/>
  <c r="V24" i="1"/>
  <c r="S24" i="1"/>
  <c r="AK26" i="1" l="1"/>
  <c r="AK25" i="1"/>
  <c r="AK24" i="1"/>
  <c r="AK23" i="1"/>
  <c r="AK22" i="1"/>
  <c r="AK21" i="1"/>
  <c r="AK20" i="1"/>
  <c r="C2" i="4"/>
  <c r="P8" i="2"/>
  <c r="Q8" i="2" s="1"/>
  <c r="P13" i="2"/>
  <c r="P14" i="2"/>
  <c r="P20" i="2"/>
  <c r="N7" i="2"/>
  <c r="M7" i="2"/>
  <c r="L7" i="2"/>
  <c r="K7" i="2"/>
  <c r="K8" i="2"/>
  <c r="L8" i="2"/>
  <c r="M8" i="2"/>
  <c r="N8" i="2"/>
  <c r="O8" i="2"/>
  <c r="K9" i="2"/>
  <c r="L9" i="2"/>
  <c r="M9" i="2"/>
  <c r="N9" i="2"/>
  <c r="O9" i="2"/>
  <c r="K10" i="2"/>
  <c r="Q10" i="2" s="1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Q13" i="2" s="1"/>
  <c r="L13" i="2"/>
  <c r="M13" i="2"/>
  <c r="N13" i="2"/>
  <c r="O13" i="2"/>
  <c r="K14" i="2"/>
  <c r="Q14" i="2" s="1"/>
  <c r="L14" i="2"/>
  <c r="M14" i="2"/>
  <c r="N14" i="2"/>
  <c r="O14" i="2"/>
  <c r="K15" i="2"/>
  <c r="L15" i="2"/>
  <c r="M15" i="2"/>
  <c r="N15" i="2"/>
  <c r="O15" i="2"/>
  <c r="K16" i="2"/>
  <c r="L16" i="2"/>
  <c r="M16" i="2"/>
  <c r="N16" i="2"/>
  <c r="O16" i="2"/>
  <c r="K17" i="2"/>
  <c r="L17" i="2"/>
  <c r="M17" i="2"/>
  <c r="N17" i="2"/>
  <c r="O17" i="2"/>
  <c r="K18" i="2"/>
  <c r="L18" i="2"/>
  <c r="M18" i="2"/>
  <c r="N18" i="2"/>
  <c r="O18" i="2"/>
  <c r="K19" i="2"/>
  <c r="L19" i="2"/>
  <c r="M19" i="2"/>
  <c r="N19" i="2"/>
  <c r="O19" i="2"/>
  <c r="K20" i="2"/>
  <c r="Q20" i="2" s="1"/>
  <c r="L20" i="2"/>
  <c r="M20" i="2"/>
  <c r="N20" i="2"/>
  <c r="O20" i="2"/>
  <c r="K21" i="2"/>
  <c r="L21" i="2"/>
  <c r="M21" i="2"/>
  <c r="N21" i="2"/>
  <c r="O21" i="2"/>
  <c r="K22" i="2"/>
  <c r="Q22" i="2" s="1"/>
  <c r="L22" i="2"/>
  <c r="M22" i="2"/>
  <c r="N22" i="2"/>
  <c r="O22" i="2"/>
  <c r="K23" i="2"/>
  <c r="L23" i="2"/>
  <c r="M23" i="2"/>
  <c r="N23" i="2"/>
  <c r="O23" i="2"/>
  <c r="O7" i="2"/>
  <c r="P22" i="2"/>
  <c r="P21" i="2"/>
  <c r="P19" i="2"/>
  <c r="P17" i="2"/>
  <c r="P16" i="2"/>
  <c r="P15" i="2"/>
  <c r="P11" i="2"/>
  <c r="P10" i="2"/>
  <c r="P9" i="2"/>
  <c r="P7" i="2"/>
  <c r="Q16" i="2" l="1"/>
  <c r="Q15" i="2"/>
  <c r="Q19" i="2"/>
  <c r="Q11" i="2"/>
  <c r="Q7" i="2"/>
  <c r="Q17" i="2"/>
  <c r="Q21" i="2"/>
  <c r="Q9" i="2"/>
  <c r="Q23" i="2"/>
  <c r="P12" i="2"/>
  <c r="P18" i="2"/>
  <c r="Q18" i="2" s="1"/>
  <c r="AK18" i="1"/>
  <c r="AJ18" i="1"/>
  <c r="R23" i="2"/>
  <c r="J28" i="2"/>
  <c r="J29" i="2"/>
  <c r="J30" i="2"/>
  <c r="J40" i="2"/>
  <c r="J41" i="2"/>
  <c r="J42" i="2"/>
  <c r="J39" i="2"/>
  <c r="AJ17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G28" i="2"/>
  <c r="H28" i="2"/>
  <c r="I28" i="2"/>
  <c r="R28" i="2"/>
  <c r="A29" i="2"/>
  <c r="B29" i="2"/>
  <c r="C29" i="2"/>
  <c r="D29" i="2"/>
  <c r="F29" i="2"/>
  <c r="G29" i="2"/>
  <c r="H29" i="2"/>
  <c r="I29" i="2"/>
  <c r="L29" i="2"/>
  <c r="R29" i="2"/>
  <c r="A30" i="2"/>
  <c r="B30" i="2"/>
  <c r="C30" i="2"/>
  <c r="D30" i="2"/>
  <c r="F30" i="2"/>
  <c r="G30" i="2"/>
  <c r="H30" i="2"/>
  <c r="I30" i="2"/>
  <c r="K30" i="2"/>
  <c r="M30" i="2"/>
  <c r="N30" i="2"/>
  <c r="O30" i="2"/>
  <c r="P30" i="2"/>
  <c r="Q30" i="2"/>
  <c r="R30" i="2"/>
  <c r="R24" i="2"/>
  <c r="I24" i="2"/>
  <c r="H24" i="2"/>
  <c r="G24" i="2"/>
  <c r="F24" i="2"/>
  <c r="E24" i="2"/>
  <c r="L30" i="2"/>
  <c r="K24" i="2"/>
  <c r="G40" i="2"/>
  <c r="H39" i="2"/>
  <c r="H40" i="2"/>
  <c r="G44" i="2"/>
  <c r="G43" i="2"/>
  <c r="G42" i="2"/>
  <c r="G41" i="2"/>
  <c r="G39" i="2"/>
  <c r="G37" i="2"/>
  <c r="G36" i="2"/>
  <c r="E39" i="2"/>
  <c r="P24" i="2" l="1"/>
  <c r="Q12" i="2"/>
  <c r="E46" i="2" a="1"/>
  <c r="E46" i="2" s="1"/>
  <c r="E45" i="2" a="1"/>
  <c r="E45" i="2" s="1"/>
  <c r="J24" i="2"/>
  <c r="K29" i="2"/>
  <c r="O24" i="2"/>
  <c r="N24" i="2"/>
  <c r="L24" i="2"/>
  <c r="M24" i="2"/>
  <c r="P29" i="2"/>
  <c r="N29" i="2"/>
  <c r="O29" i="2"/>
  <c r="M29" i="2"/>
  <c r="AJ13" i="1"/>
  <c r="Q31" i="2"/>
  <c r="P31" i="2"/>
  <c r="O31" i="2"/>
  <c r="N31" i="2"/>
  <c r="M31" i="2"/>
  <c r="L31" i="2"/>
  <c r="K31" i="2"/>
  <c r="R31" i="2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Q24" i="2" l="1"/>
  <c r="Q29" i="2"/>
  <c r="F20" i="3"/>
  <c r="R44" i="2" l="1"/>
  <c r="R43" i="2"/>
  <c r="R42" i="2"/>
  <c r="R41" i="2"/>
  <c r="R39" i="2"/>
  <c r="R38" i="2"/>
  <c r="R37" i="2"/>
  <c r="R36" i="2"/>
  <c r="R35" i="2"/>
  <c r="R34" i="2"/>
  <c r="R33" i="2"/>
  <c r="R32" i="2"/>
  <c r="H20" i="3" l="1"/>
  <c r="R40" i="2" l="1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G46" i="2" l="1" a="1"/>
  <c r="G46" i="2" s="1"/>
  <c r="G45" i="2" a="1"/>
  <c r="G45" i="2" s="1"/>
  <c r="Q46" i="2" a="1"/>
  <c r="Q46" i="2" s="1"/>
  <c r="Q45" i="2" a="1"/>
  <c r="Q45" i="2" s="1"/>
  <c r="O46" i="2" a="1"/>
  <c r="O46" i="2" s="1"/>
  <c r="O45" i="2" a="1"/>
  <c r="O45" i="2" s="1"/>
  <c r="P46" i="2" a="1"/>
  <c r="P46" i="2" s="1"/>
  <c r="N46" i="2" a="1"/>
  <c r="N46" i="2" s="1"/>
  <c r="N45" i="2" a="1"/>
  <c r="N45" i="2" s="1"/>
  <c r="M46" i="2" a="1"/>
  <c r="M46" i="2" s="1"/>
  <c r="M45" i="2" a="1"/>
  <c r="M45" i="2" s="1"/>
  <c r="H46" i="2" a="1"/>
  <c r="H46" i="2" s="1"/>
  <c r="H45" i="2" a="1"/>
  <c r="H45" i="2" s="1"/>
  <c r="F46" i="2" a="1"/>
  <c r="F46" i="2" s="1"/>
  <c r="F45" i="2" a="1"/>
  <c r="F45" i="2" s="1"/>
  <c r="L46" i="2" a="1"/>
  <c r="L46" i="2" s="1"/>
  <c r="L45" i="2" a="1"/>
  <c r="L45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D48" i="4"/>
  <c r="W22" i="1" l="1"/>
  <c r="X20" i="1"/>
  <c r="W20" i="1"/>
  <c r="Z20" i="1"/>
  <c r="Y20" i="1"/>
  <c r="AB22" i="1"/>
  <c r="Z22" i="1"/>
  <c r="V20" i="1"/>
  <c r="AB20" i="1"/>
  <c r="AA20" i="1"/>
  <c r="AF17" i="1"/>
  <c r="AD22" i="1"/>
  <c r="I17" i="1"/>
  <c r="I18" i="1"/>
  <c r="U22" i="1"/>
  <c r="S22" i="1"/>
  <c r="K18" i="1"/>
  <c r="K13" i="1"/>
  <c r="K17" i="1"/>
  <c r="H17" i="1"/>
  <c r="H18" i="1"/>
  <c r="U17" i="1"/>
  <c r="U18" i="1"/>
  <c r="U13" i="1"/>
  <c r="U20" i="1"/>
  <c r="Q17" i="1"/>
  <c r="Q18" i="1"/>
  <c r="Q13" i="1"/>
  <c r="AB18" i="1"/>
  <c r="AB13" i="1"/>
  <c r="AB17" i="1"/>
  <c r="L17" i="1"/>
  <c r="L13" i="1"/>
  <c r="L18" i="1"/>
  <c r="M17" i="1"/>
  <c r="M13" i="1"/>
  <c r="M18" i="1"/>
  <c r="Y18" i="1"/>
  <c r="Y22" i="1"/>
  <c r="Y13" i="1"/>
  <c r="Y17" i="1"/>
  <c r="R17" i="1"/>
  <c r="R18" i="1"/>
  <c r="R13" i="1"/>
  <c r="W17" i="1"/>
  <c r="W13" i="1"/>
  <c r="W18" i="1"/>
  <c r="AF20" i="1"/>
  <c r="AC17" i="1"/>
  <c r="AC20" i="1"/>
  <c r="AC18" i="1"/>
  <c r="AC13" i="1"/>
  <c r="AC22" i="1"/>
  <c r="J18" i="1"/>
  <c r="J13" i="1"/>
  <c r="J17" i="1"/>
  <c r="AF13" i="1"/>
  <c r="AF22" i="1"/>
  <c r="N18" i="1"/>
  <c r="N13" i="1"/>
  <c r="N17" i="1"/>
  <c r="S17" i="1"/>
  <c r="S18" i="1"/>
  <c r="S13" i="1"/>
  <c r="S20" i="1"/>
  <c r="AA22" i="1"/>
  <c r="F18" i="1"/>
  <c r="F17" i="1"/>
  <c r="P17" i="1"/>
  <c r="P13" i="1"/>
  <c r="P18" i="1"/>
  <c r="G17" i="1"/>
  <c r="G18" i="1"/>
  <c r="T22" i="1"/>
  <c r="T20" i="1"/>
  <c r="T18" i="1"/>
  <c r="T13" i="1"/>
  <c r="T17" i="1"/>
  <c r="O18" i="1"/>
  <c r="O13" i="1"/>
  <c r="O17" i="1"/>
  <c r="AA17" i="1"/>
  <c r="AA13" i="1"/>
  <c r="AA18" i="1"/>
  <c r="AD20" i="1"/>
  <c r="AD13" i="1"/>
  <c r="AD17" i="1"/>
  <c r="V17" i="1"/>
  <c r="V22" i="1"/>
  <c r="V13" i="1"/>
  <c r="V18" i="1"/>
  <c r="Z17" i="1"/>
  <c r="Z13" i="1"/>
  <c r="Z18" i="1"/>
  <c r="X17" i="1"/>
  <c r="X18" i="1"/>
  <c r="X13" i="1"/>
  <c r="X22" i="1"/>
  <c r="AE17" i="1"/>
  <c r="AE22" i="1"/>
  <c r="AE13" i="1"/>
  <c r="AE20" i="1"/>
  <c r="AG22" i="1"/>
  <c r="AG20" i="1"/>
  <c r="AG17" i="1"/>
  <c r="AI22" i="1"/>
  <c r="AI18" i="1"/>
  <c r="AI20" i="1"/>
  <c r="AI13" i="1"/>
  <c r="AI17" i="1"/>
  <c r="AG13" i="1"/>
  <c r="AH22" i="1"/>
  <c r="AH18" i="1"/>
  <c r="AH20" i="1"/>
  <c r="AH17" i="1"/>
  <c r="AH13" i="1"/>
  <c r="J10" i="1" l="1"/>
  <c r="B7" i="1"/>
  <c r="D49" i="4"/>
  <c r="Z21" i="1"/>
  <c r="AD23" i="1"/>
  <c r="AH21" i="1"/>
  <c r="AE21" i="1"/>
  <c r="W21" i="1"/>
  <c r="AH23" i="1"/>
  <c r="AI23" i="1"/>
  <c r="AJ10" i="1"/>
  <c r="AG21" i="1"/>
  <c r="AG23" i="1"/>
  <c r="AA21" i="1"/>
  <c r="V21" i="1"/>
  <c r="X23" i="1"/>
  <c r="AE23" i="1"/>
  <c r="W23" i="1"/>
  <c r="AF23" i="1"/>
  <c r="AA23" i="1"/>
  <c r="AI21" i="1"/>
  <c r="Y23" i="1"/>
  <c r="AF21" i="1"/>
  <c r="AC21" i="1"/>
  <c r="AC23" i="1"/>
  <c r="V23" i="1"/>
  <c r="Z23" i="1"/>
  <c r="X21" i="1"/>
  <c r="AD21" i="1"/>
  <c r="AB23" i="1"/>
  <c r="AB21" i="1"/>
  <c r="Y21" i="1"/>
  <c r="M2" i="1" l="1"/>
  <c r="C7" i="1"/>
  <c r="M3" i="1" s="1"/>
  <c r="N2" i="1"/>
  <c r="O2" i="1" s="1"/>
  <c r="N3" i="1" l="1"/>
  <c r="O3" i="1" s="1"/>
  <c r="P3" i="1" s="1"/>
  <c r="P2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<sst xmlns="http://schemas.openxmlformats.org/spreadsheetml/2006/main" count="313" uniqueCount="176">
  <si>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</si>
  <si>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</si>
  <si>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</si>
  <si>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</si>
  <si>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</si>
  <si>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</si>
  <si>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</si>
  <si>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</si>
  <si>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</si>
  <si>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</si>
  <si>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</si>
  <si>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</si>
  <si>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</si>
  <si>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</si>
  <si>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</si>
  <si>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</si>
  <si>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</si>
  <si>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</si>
  <si>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</si>
  <si>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</si>
  <si>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</si>
  <si>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</si>
  <si>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</si>
  <si>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</si>
  <si>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</si>
  <si>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</si>
  <si>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</si>
  <si>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</si>
  <si>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</si>
  <si>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</si>
  <si>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</si>
  <si>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</si>
  <si>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</si>
  <si>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</si>
  <si>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</si>
  <si>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</si>
  <si>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</si>
  <si>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</si>
  <si>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</si>
  <si>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</si>
  <si>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</si>
  <si>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</si>
  <si>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</si>
  <si>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</si>
  <si>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</si>
  <si>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</si>
  <si>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</si>
  <si>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</si>
  <si>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</si>
  <si>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</si>
  <si>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</si>
  <si>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</si>
  <si>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</si>
  <si>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</si>
  <si>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</si>
  <si>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</si>
  <si>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</si>
  <si>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</si>
  <si>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</si>
  <si>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</si>
  <si>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</si>
  <si>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</si>
  <si>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</si>
  <si>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</si>
  <si>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</si>
  <si>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</si>
  <si>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</si>
  <si>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</si>
  <si>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</si>
  <si>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</si>
  <si>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</si>
  <si>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</si>
  <si>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</si>
  <si>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</si>
  <si>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</si>
  <si>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</si>
  <si>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</si>
  <si>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</si>
  <si>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</si>
  <si>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</si>
  <si>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</si>
  <si>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</si>
  <si>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</si>
  <si>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</si>
  <si>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</si>
  <si>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</si>
  <si>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</si>
  <si>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</si>
  <si>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</si>
  <si>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</si>
  <si>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</si>
  <si>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</si>
  <si>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</si>
  <si>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</si>
  <si>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</si>
  <si>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</si>
  <si>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</si>
  <si>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</si>
  <si>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</si>
  <si>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</si>
  <si>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</si>
  <si>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</si>
  <si>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</si>
  <si>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</si>
  <si>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</si>
  <si>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</si>
  <si>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</si>
  <si>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</si>
  <si>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</si>
  <si>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</si>
  <si>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</si>
  <si>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</si>
  <si>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</si>
  <si>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</si>
  <si>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</si>
  <si>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</si>
  <si>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</si>
  <si>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</si>
  <si>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</si>
  <si>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</si>
  <si>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</si>
  <si>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</si>
  <si>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</si>
  <si>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</si>
  <si>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</si>
  <si>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</si>
  <si>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</si>
  <si>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</si>
  <si>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</si>
  <si>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</si>
  <si>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</si>
  <si>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</si>
  <si>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</si>
  <si>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</si>
  <si>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</si>
  <si>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</si>
  <si>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</si>
  <si>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</si>
  <si>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</si>
  <si>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</si>
  <si>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</si>
  <si>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</si>
  <si>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</si>
  <si>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</si>
  <si>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</si>
  <si>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</si>
  <si>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</si>
  <si>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</si>
  <si>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</si>
  <si>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</si>
  <si>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</si>
  <si>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</si>
  <si>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</si>
  <si>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</si>
  <si>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</si>
  <si>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</si>
  <si>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</si>
  <si>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</si>
  <si>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</si>
  <si>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</si>
  <si>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</si>
  <si>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</si>
  <si>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</si>
  <si>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</si>
  <si>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</si>
  <si>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</si>
  <si>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</si>
  <si>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</si>
  <si>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</si>
  <si>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</si>
  <si>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</si>
  <si>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</si>
  <si>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SNN_REC</t>
  </si>
  <si>
    <t>Orthopaedics Revenue</t>
  </si>
  <si>
    <t>NSS_12_12</t>
  </si>
  <si>
    <t>NSS_12_12_RMQ2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</si>
</sst>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164" fontId="0" fillId="17" borderId="0" xfId="0" applyNumberFormat="1" applyFill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6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opLeftCell="E1" zoomScale="70" zoomScaleNormal="70" workbookViewId="0">
      <selection activeCell="S19" sqref="S19:AI19"/>
    </sheetView>
  </sheetViews>
  <sheetFormatPr defaultRowHeight="12.75" x14ac:dyDescent="0.2"/>
  <cols>
    <col min="1" max="1" width="17.85546875" bestFit="1" customWidth="1"/>
    <col min="2" max="5" width="17.85546875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28" t="s">
        <v>172</v>
      </c>
      <c r="B1" s="129"/>
      <c r="C1" s="130"/>
      <c r="K1" s="137" t="s">
        <v>35</v>
      </c>
      <c r="L1" s="138"/>
      <c r="M1" s="61" t="s">
        <v>31</v>
      </c>
      <c r="N1" s="61" t="s">
        <v>32</v>
      </c>
      <c r="O1" s="4" t="s">
        <v>39</v>
      </c>
      <c r="P1" s="139" t="s">
        <v>41</v>
      </c>
      <c r="Q1" s="140"/>
    </row>
    <row r="2" spans="1:37" x14ac:dyDescent="0.2">
      <c r="A2" s="131"/>
      <c r="B2" s="132"/>
      <c r="C2" s="133"/>
      <c r="K2" s="59" t="s">
        <v>37</v>
      </c>
      <c r="L2" s="60"/>
      <c r="M2" s="62">
        <f>$B$7*($AK$25-2*$AK$26)</f>
        <v>247.33869183285802</v>
      </c>
      <c r="N2" s="62">
        <f>$B$7*($AK$25+2*$AK$26)</f>
        <v>277.81579980858601</v>
      </c>
      <c r="O2" s="64">
        <f>AVERAGE(M2:N2)</f>
        <v>262.577245820722</v>
      </c>
      <c r="P2" s="141">
        <f>$O$2/AF14-1</f>
        <v>-2.2539527114730729E-2</v>
      </c>
      <c r="Q2" s="142"/>
    </row>
    <row r="3" spans="1:37" x14ac:dyDescent="0.2">
      <c r="A3" s="134"/>
      <c r="B3" s="135"/>
      <c r="C3" s="136"/>
      <c r="K3" s="45" t="s">
        <v>38</v>
      </c>
      <c r="L3" s="19"/>
      <c r="M3" s="63">
        <f>$C$7*($AK$25-2*$AK$26)</f>
        <v>254.08429251920867</v>
      </c>
      <c r="N3" s="63">
        <f>$C$7*($AK$25+2*$AK$26)</f>
        <v>285.39259434882018</v>
      </c>
      <c r="O3" s="65">
        <f>AVERAGE(M3:N3)</f>
        <v>269.73844343401441</v>
      </c>
      <c r="P3" s="106">
        <f>$O$3/AF15-1</f>
        <v>4.1184857821401355E-3</v>
      </c>
      <c r="Q3" s="107"/>
    </row>
    <row r="4" spans="1:37" x14ac:dyDescent="0.2">
      <c r="A4" s="50"/>
      <c r="B4" s="50"/>
      <c r="C4" s="50"/>
      <c r="N4" s="4" t="s">
        <v>40</v>
      </c>
      <c r="O4" s="65">
        <f>AVERAGE(O2:O3)</f>
        <v>266.15784462736821</v>
      </c>
      <c r="P4" s="106">
        <f>$O$4/AF15-1</f>
        <v>-9.210520666295241E-3</v>
      </c>
      <c r="Q4" s="107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5016.2200000000012</v>
      </c>
      <c r="C6" s="57">
        <v>5153.0260000000007</v>
      </c>
    </row>
    <row r="7" spans="1:37" ht="14.25" x14ac:dyDescent="0.2">
      <c r="A7" s="53" t="s">
        <v>36</v>
      </c>
      <c r="B7" s="54">
        <f>B6*$AK$24</f>
        <v>1088.8016588998314</v>
      </c>
      <c r="C7" s="55">
        <f>C6*$AK$24</f>
        <v>1118.4962495970994</v>
      </c>
    </row>
    <row r="8" spans="1:37" x14ac:dyDescent="0.2">
      <c r="F8" s="50"/>
    </row>
    <row r="9" spans="1:37" x14ac:dyDescent="0.2">
      <c r="F9" s="50"/>
      <c r="G9" s="50"/>
      <c r="H9" s="50"/>
    </row>
    <row r="10" spans="1:37" x14ac:dyDescent="0.2">
      <c r="H10" s="150" t="s">
        <v>15</v>
      </c>
      <c r="I10" s="150"/>
      <c r="J10" s="35">
        <f>AVERAGE(F13:AJ13)</f>
        <v>1.0116808620587472</v>
      </c>
      <c r="AG10" s="150" t="s">
        <v>16</v>
      </c>
      <c r="AH10" s="150"/>
      <c r="AI10" s="150"/>
      <c r="AJ10" s="80">
        <f>AVERAGE(AG13:AJ13)</f>
        <v>1.1613202953108768</v>
      </c>
    </row>
    <row r="11" spans="1:37" x14ac:dyDescent="0.2">
      <c r="A11" s="51" t="s">
        <v>6</v>
      </c>
      <c r="B11" s="108">
        <v>2012</v>
      </c>
      <c r="C11" s="109"/>
      <c r="D11" s="109"/>
      <c r="E11" s="110"/>
      <c r="F11" s="120">
        <v>2014</v>
      </c>
      <c r="G11" s="120"/>
      <c r="H11" s="120"/>
      <c r="I11" s="121"/>
      <c r="J11" s="122">
        <v>2015</v>
      </c>
      <c r="K11" s="123"/>
      <c r="L11" s="123"/>
      <c r="M11" s="124"/>
      <c r="N11" s="122">
        <v>2016</v>
      </c>
      <c r="O11" s="123"/>
      <c r="P11" s="123"/>
      <c r="Q11" s="124"/>
      <c r="R11" s="125">
        <v>2017</v>
      </c>
      <c r="S11" s="126"/>
      <c r="T11" s="126"/>
      <c r="U11" s="127"/>
      <c r="V11" s="113">
        <v>2018</v>
      </c>
      <c r="W11" s="114"/>
      <c r="X11" s="114"/>
      <c r="Y11" s="115"/>
      <c r="Z11" s="152">
        <v>2019</v>
      </c>
      <c r="AA11" s="153"/>
      <c r="AB11" s="153"/>
      <c r="AC11" s="154"/>
      <c r="AD11" s="155">
        <v>2020</v>
      </c>
      <c r="AE11" s="120"/>
      <c r="AF11" s="120"/>
      <c r="AG11" s="121"/>
      <c r="AH11" s="122">
        <v>2021</v>
      </c>
      <c r="AI11" s="123"/>
      <c r="AJ11" s="123"/>
      <c r="AK11" s="124"/>
    </row>
    <row r="12" spans="1:37" x14ac:dyDescent="0.2">
      <c r="A12" s="14" t="s">
        <v>19</v>
      </c>
      <c r="B12" s="103" t="s">
        <v>20</v>
      </c>
      <c r="C12" s="103" t="s">
        <v>3</v>
      </c>
      <c r="D12" s="103" t="s">
        <v>4</v>
      </c>
      <c r="E12" s="10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B13" s="104"/>
      <c r="C13" s="104"/>
      <c r="D13" s="104"/>
      <c r="E13" s="104"/>
      <c r="F13" s="84"/>
      <c r="G13" s="84"/>
      <c r="H13" s="84"/>
      <c r="I13" s="84"/>
      <c r="J13" s="84">
        <f>J15/F15</f>
        <v>1.0587803129968454</v>
      </c>
      <c r="K13" s="84">
        <f t="shared" ref="K13:AI13" si="0">K15/G15</f>
        <v>1.0391606146454362</v>
      </c>
      <c r="L13" s="84">
        <f t="shared" si="0"/>
        <v>1.0064022328163766</v>
      </c>
      <c r="M13" s="84">
        <f t="shared" si="0"/>
        <v>1.0515931631690962</v>
      </c>
      <c r="N13" s="84">
        <f t="shared" si="0"/>
        <v>1.0918169450523265</v>
      </c>
      <c r="O13" s="84">
        <f t="shared" si="0"/>
        <v>1.0456017047971782</v>
      </c>
      <c r="P13" s="84">
        <f t="shared" si="0"/>
        <v>0.99171973806931613</v>
      </c>
      <c r="Q13" s="84">
        <f t="shared" si="0"/>
        <v>0.94375332263675615</v>
      </c>
      <c r="R13" s="84">
        <f t="shared" si="0"/>
        <v>0.85588303048660785</v>
      </c>
      <c r="S13" s="84">
        <f t="shared" si="0"/>
        <v>0.86463709218463491</v>
      </c>
      <c r="T13" s="84">
        <f t="shared" si="0"/>
        <v>0.86076161338168633</v>
      </c>
      <c r="U13" s="84">
        <f t="shared" si="0"/>
        <v>0.88163176925289033</v>
      </c>
      <c r="V13" s="84">
        <f t="shared" si="0"/>
        <v>0.97804861201092408</v>
      </c>
      <c r="W13" s="84">
        <f t="shared" si="0"/>
        <v>1.0038900283998293</v>
      </c>
      <c r="X13" s="84">
        <f t="shared" si="0"/>
        <v>1.0526023461531209</v>
      </c>
      <c r="Y13" s="84">
        <f t="shared" si="0"/>
        <v>1.0478436561989781</v>
      </c>
      <c r="Z13" s="84">
        <f t="shared" si="0"/>
        <v>1.0405080956070702</v>
      </c>
      <c r="AA13" s="84">
        <f t="shared" si="0"/>
        <v>1.0512018323801349</v>
      </c>
      <c r="AB13" s="84">
        <f t="shared" si="0"/>
        <v>1.0666194038647967</v>
      </c>
      <c r="AC13" s="84">
        <f t="shared" si="0"/>
        <v>1.077113330629436</v>
      </c>
      <c r="AD13" s="84">
        <f t="shared" si="0"/>
        <v>0.98657146816882102</v>
      </c>
      <c r="AE13" s="84">
        <f t="shared" si="0"/>
        <v>0.65037376288145787</v>
      </c>
      <c r="AF13" s="84">
        <f t="shared" si="0"/>
        <v>1.023588018558945</v>
      </c>
      <c r="AG13" s="84">
        <f t="shared" si="0"/>
        <v>0.91636366262288182</v>
      </c>
      <c r="AH13" s="84">
        <f t="shared" si="0"/>
        <v>1.0737963629615899</v>
      </c>
      <c r="AI13" s="84">
        <f t="shared" si="0"/>
        <v>1.5894897178154102</v>
      </c>
      <c r="AJ13" s="84">
        <f>AJ14/AF14</f>
        <v>1.0656314378436249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100">
        <v>256.3101556175227</v>
      </c>
      <c r="G14" s="100">
        <v>275.57597009910972</v>
      </c>
      <c r="H14" s="100">
        <v>272.0917898605195</v>
      </c>
      <c r="I14" s="100">
        <v>312.59542804541275</v>
      </c>
      <c r="J14" s="100">
        <v>271.37614678899081</v>
      </c>
      <c r="K14" s="100">
        <v>286.36769446970322</v>
      </c>
      <c r="L14" s="100">
        <v>273.83378484663115</v>
      </c>
      <c r="M14" s="100">
        <v>328.72321497047324</v>
      </c>
      <c r="N14" s="100">
        <v>296.29307554722766</v>
      </c>
      <c r="O14" s="100">
        <v>299.42654953635918</v>
      </c>
      <c r="P14" s="100">
        <v>271.56636938263051</v>
      </c>
      <c r="Q14" s="100">
        <v>310.23362635622078</v>
      </c>
      <c r="R14" s="100">
        <v>253.59221541155864</v>
      </c>
      <c r="S14" s="100">
        <v>258.89530111399614</v>
      </c>
      <c r="T14" s="100">
        <v>233.75390625000003</v>
      </c>
      <c r="U14" s="100">
        <v>273.51182088617503</v>
      </c>
      <c r="V14" s="100">
        <v>248.02551430005019</v>
      </c>
      <c r="W14" s="100">
        <v>259.90241118791192</v>
      </c>
      <c r="X14" s="100">
        <v>246.04991014120668</v>
      </c>
      <c r="Y14" s="100">
        <v>286.59762641100968</v>
      </c>
      <c r="Z14" s="100">
        <v>258.07255554630939</v>
      </c>
      <c r="AA14" s="100">
        <v>273.20989088074828</v>
      </c>
      <c r="AB14" s="100">
        <v>262.44160847580065</v>
      </c>
      <c r="AC14" s="100">
        <v>308.69812393405346</v>
      </c>
      <c r="AD14" s="100">
        <v>254.60702001940206</v>
      </c>
      <c r="AE14" s="100">
        <v>177.68854478854476</v>
      </c>
      <c r="AF14" s="100">
        <v>268.63208600716723</v>
      </c>
      <c r="AG14" s="100">
        <v>282.87974349302152</v>
      </c>
      <c r="AH14" s="100">
        <v>273.39609208132265</v>
      </c>
      <c r="AI14" s="100">
        <v>282.43411491497488</v>
      </c>
      <c r="AJ14" s="100">
        <v>286.26279606274994</v>
      </c>
      <c r="AK14">
        <v>317.33219535985506</v>
      </c>
    </row>
    <row r="15" spans="1:37" x14ac:dyDescent="0.2">
      <c r="A15" s="15" t="s">
        <v>1</v>
      </c>
      <c r="B15" s="6"/>
      <c r="C15" s="6"/>
      <c r="D15" s="6"/>
      <c r="E15" s="6"/>
      <c r="F15" s="100">
        <v>256.3101556175227</v>
      </c>
      <c r="G15" s="100">
        <v>275.57597009910972</v>
      </c>
      <c r="H15" s="100">
        <v>272.0917898605195</v>
      </c>
      <c r="I15" s="100">
        <v>312.59542804541275</v>
      </c>
      <c r="J15" s="100">
        <v>271.37614678899081</v>
      </c>
      <c r="K15" s="100">
        <v>286.36769446970322</v>
      </c>
      <c r="L15" s="100">
        <v>273.83378484663115</v>
      </c>
      <c r="M15" s="100">
        <v>328.72321497047324</v>
      </c>
      <c r="N15" s="100">
        <v>296.29307554722766</v>
      </c>
      <c r="O15" s="100">
        <v>299.42654953635918</v>
      </c>
      <c r="P15" s="100">
        <v>271.56636938263051</v>
      </c>
      <c r="Q15" s="100">
        <v>310.23362635622078</v>
      </c>
      <c r="R15" s="100">
        <v>253.59221541155864</v>
      </c>
      <c r="S15" s="100">
        <v>258.89530111399614</v>
      </c>
      <c r="T15" s="100">
        <v>233.75390625000003</v>
      </c>
      <c r="U15" s="100">
        <v>273.51182088617503</v>
      </c>
      <c r="V15" s="100">
        <v>248.02551430005019</v>
      </c>
      <c r="W15" s="100">
        <v>259.90241118791192</v>
      </c>
      <c r="X15" s="100">
        <v>246.04991014120668</v>
      </c>
      <c r="Y15" s="100">
        <v>286.59762641100968</v>
      </c>
      <c r="Z15" s="100">
        <v>258.07255554630939</v>
      </c>
      <c r="AA15" s="100">
        <v>273.20989088074828</v>
      </c>
      <c r="AB15" s="100">
        <v>262.44160847580065</v>
      </c>
      <c r="AC15" s="100">
        <v>308.69812393405346</v>
      </c>
      <c r="AD15" s="100">
        <v>254.60702001940206</v>
      </c>
      <c r="AE15" s="100">
        <v>177.68854478854476</v>
      </c>
      <c r="AF15" s="100">
        <v>268.63208600716723</v>
      </c>
      <c r="AG15" s="100">
        <v>282.87974349302152</v>
      </c>
      <c r="AH15" s="100">
        <v>273.39609208132265</v>
      </c>
      <c r="AI15" s="100">
        <v>282.43411491497488</v>
      </c>
    </row>
    <row r="16" spans="1:37" x14ac:dyDescent="0.2">
      <c r="A16" s="15" t="s">
        <v>157</v>
      </c>
      <c r="B16" s="9"/>
      <c r="C16" s="9"/>
      <c r="D16" s="9"/>
      <c r="E16" s="9"/>
      <c r="F16" s="81">
        <v>1111.7</v>
      </c>
      <c r="G16" s="81">
        <v>1190.5999999999999</v>
      </c>
      <c r="H16" s="81">
        <v>1197.3</v>
      </c>
      <c r="I16" s="81">
        <v>1303.5999999999999</v>
      </c>
      <c r="J16" s="81">
        <v>1144.5</v>
      </c>
      <c r="K16" s="81">
        <v>1209.7</v>
      </c>
      <c r="L16" s="81">
        <v>1144.3</v>
      </c>
      <c r="M16" s="81">
        <v>1303.9000000000001</v>
      </c>
      <c r="N16" s="81">
        <v>1174.0999999999999</v>
      </c>
      <c r="O16" s="81">
        <v>1229.4000000000001</v>
      </c>
      <c r="P16" s="81">
        <v>1154.9000000000001</v>
      </c>
      <c r="Q16" s="81">
        <v>1262.7</v>
      </c>
      <c r="R16" s="81">
        <v>1142</v>
      </c>
      <c r="S16" s="81">
        <v>1193.9000000000001</v>
      </c>
      <c r="T16" s="81">
        <v>1152</v>
      </c>
      <c r="U16" s="81">
        <v>1277.4000000000001</v>
      </c>
      <c r="V16" s="81">
        <v>1195.8</v>
      </c>
      <c r="W16" s="81">
        <v>1244.2</v>
      </c>
      <c r="X16" s="81">
        <v>1168.5</v>
      </c>
      <c r="Y16" s="81">
        <v>1293.4000000000001</v>
      </c>
      <c r="Z16" s="81">
        <v>1201.7</v>
      </c>
      <c r="AA16" s="81">
        <v>1283</v>
      </c>
      <c r="AB16" s="81">
        <v>1245.9000000000001</v>
      </c>
      <c r="AC16" s="81">
        <v>1407.2</v>
      </c>
      <c r="AD16" s="81">
        <v>1133.9000000000001</v>
      </c>
      <c r="AE16">
        <v>900.9</v>
      </c>
      <c r="AF16" s="81">
        <v>1199.9000000000001</v>
      </c>
      <c r="AG16" s="81">
        <v>1325.5</v>
      </c>
      <c r="AH16" s="81">
        <v>1264.0999999999999</v>
      </c>
      <c r="AI16" s="81">
        <v>1334.9</v>
      </c>
      <c r="AJ16" s="81">
        <v>1300.4000000000001</v>
      </c>
      <c r="AK16" s="81"/>
    </row>
    <row r="17" spans="1:38" x14ac:dyDescent="0.2">
      <c r="A17" s="85" t="s">
        <v>18</v>
      </c>
      <c r="B17" s="86"/>
      <c r="C17" s="86"/>
      <c r="D17" s="86"/>
      <c r="E17" s="86"/>
      <c r="F17" s="86">
        <f t="shared" ref="F17:K17" si="1">F15/F16</f>
        <v>0.23055694487498668</v>
      </c>
      <c r="G17" s="86">
        <f t="shared" si="1"/>
        <v>0.23145974306997291</v>
      </c>
      <c r="H17" s="86">
        <f t="shared" si="1"/>
        <v>0.2272544807988971</v>
      </c>
      <c r="I17" s="86">
        <f t="shared" si="1"/>
        <v>0.2397939767147996</v>
      </c>
      <c r="J17" s="86">
        <f t="shared" si="1"/>
        <v>0.23711327810309377</v>
      </c>
      <c r="K17" s="86">
        <f t="shared" si="1"/>
        <v>0.23672620853906193</v>
      </c>
      <c r="L17" s="86">
        <f t="shared" ref="L17:X17" si="2">L15/L16</f>
        <v>0.23930244240726309</v>
      </c>
      <c r="M17" s="86">
        <f t="shared" si="2"/>
        <v>0.25210768845039744</v>
      </c>
      <c r="N17" s="86">
        <f t="shared" si="2"/>
        <v>0.25235761480898361</v>
      </c>
      <c r="O17" s="86">
        <f t="shared" si="2"/>
        <v>0.24355502646523439</v>
      </c>
      <c r="P17" s="86">
        <f t="shared" si="2"/>
        <v>0.23514275641408822</v>
      </c>
      <c r="Q17" s="86">
        <f t="shared" si="2"/>
        <v>0.24569068373819655</v>
      </c>
      <c r="R17" s="86">
        <f t="shared" si="2"/>
        <v>0.22205973328507761</v>
      </c>
      <c r="S17" s="86">
        <f t="shared" si="2"/>
        <v>0.21684839694613964</v>
      </c>
      <c r="T17" s="86">
        <f t="shared" si="2"/>
        <v>0.20291137695312503</v>
      </c>
      <c r="U17" s="86">
        <f t="shared" si="2"/>
        <v>0.21411603325988338</v>
      </c>
      <c r="V17" s="86">
        <f t="shared" si="2"/>
        <v>0.20741387715341211</v>
      </c>
      <c r="W17" s="86">
        <f t="shared" si="2"/>
        <v>0.20889118404429505</v>
      </c>
      <c r="X17" s="86">
        <f t="shared" si="2"/>
        <v>0.21056902879007847</v>
      </c>
      <c r="Y17" s="86">
        <f t="shared" ref="Y17:Z17" si="3">Y15/Y16</f>
        <v>0.22158468100433715</v>
      </c>
      <c r="Z17" s="86">
        <f t="shared" si="3"/>
        <v>0.21475622496988381</v>
      </c>
      <c r="AA17" s="86">
        <f>AA15/AA16</f>
        <v>0.21294613474727067</v>
      </c>
      <c r="AB17" s="86">
        <f>AB15/AB16</f>
        <v>0.21064419975583965</v>
      </c>
      <c r="AC17" s="86">
        <f>AC15/AC16</f>
        <v>0.21937046896962298</v>
      </c>
      <c r="AD17" s="86">
        <f>AD15/AD16</f>
        <v>0.22454098246706239</v>
      </c>
      <c r="AE17" s="86">
        <f t="shared" ref="AE17" si="4">AE15/AE16</f>
        <v>0.19723448194976664</v>
      </c>
      <c r="AF17" s="86">
        <f>AF15/AF16</f>
        <v>0.22387872823332544</v>
      </c>
      <c r="AG17" s="86">
        <f>AG15/AG16</f>
        <v>0.21341361259375444</v>
      </c>
      <c r="AH17" s="86">
        <f>AH15/AH16</f>
        <v>0.21627726610341166</v>
      </c>
      <c r="AI17" s="86">
        <f>AI15/AI16</f>
        <v>0.2115769832309348</v>
      </c>
      <c r="AJ17" s="87">
        <f>AJ14/AJ16</f>
        <v>0.22013441715068435</v>
      </c>
      <c r="AK17" s="88"/>
    </row>
    <row r="18" spans="1:38" x14ac:dyDescent="0.2">
      <c r="A18" s="85" t="s">
        <v>24</v>
      </c>
      <c r="B18" s="86"/>
      <c r="C18" s="86"/>
      <c r="D18" s="86"/>
      <c r="E18" s="89"/>
      <c r="F18" s="86">
        <f>F15/SUM(F15:I15)</f>
        <v>0.22955066685181699</v>
      </c>
      <c r="G18" s="86">
        <f>G15/SUM(F15:I15)</f>
        <v>0.24680507704495469</v>
      </c>
      <c r="H18" s="86">
        <f>H15/SUM(F15:I15)</f>
        <v>0.2436846548546073</v>
      </c>
      <c r="I18" s="89">
        <f>I15/SUM(F15:I15)</f>
        <v>0.27995960124862107</v>
      </c>
      <c r="J18" s="86">
        <f>J15/SUM(J15:M15)</f>
        <v>0.23388429722879323</v>
      </c>
      <c r="K18" s="86">
        <f>K15/SUM(J15:M15)</f>
        <v>0.24680469437925351</v>
      </c>
      <c r="L18" s="86">
        <f>L15/SUM(J15:M15)</f>
        <v>0.23600240140543219</v>
      </c>
      <c r="M18" s="89">
        <f>M15/SUM(J15:M15)</f>
        <v>0.28330860698652111</v>
      </c>
      <c r="N18" s="86">
        <f>N15/SUM(N15:Q15)</f>
        <v>0.2516247460405644</v>
      </c>
      <c r="O18" s="86">
        <f>O15/SUM(N15:Q15)</f>
        <v>0.25428582610557676</v>
      </c>
      <c r="P18" s="86">
        <f>P15/SUM(N15:Q15)</f>
        <v>0.23062577011918925</v>
      </c>
      <c r="Q18" s="89">
        <f>Q15/SUM(N15:Q15)</f>
        <v>0.26346365773466962</v>
      </c>
      <c r="R18" s="86">
        <f>R15/SUM(R15:U15)</f>
        <v>0.24867997918884743</v>
      </c>
      <c r="S18" s="86">
        <f>S15/SUM(R15:U15)</f>
        <v>0.25388034087967687</v>
      </c>
      <c r="T18" s="86">
        <f>T15/SUM(R15:U15)</f>
        <v>0.22922595020206704</v>
      </c>
      <c r="U18" s="89">
        <f>U15/SUM(R15:U15)</f>
        <v>0.26821372972940866</v>
      </c>
      <c r="V18" s="86">
        <f>V15/SUM(V15:Y15)</f>
        <v>0.23835418318798821</v>
      </c>
      <c r="W18" s="86">
        <f>W15/SUM(V15:Y15)</f>
        <v>0.24976796077656943</v>
      </c>
      <c r="X18" s="86">
        <f>X15/SUM(V15:Y15)</f>
        <v>0.23645561433746959</v>
      </c>
      <c r="Y18" s="89">
        <f>Y15/SUM(V15:Y15)</f>
        <v>0.27542224169797269</v>
      </c>
      <c r="Z18" s="86">
        <f>Z15/SUM(Z15:AC15)</f>
        <v>0.23409593937830933</v>
      </c>
      <c r="AA18" s="86">
        <f>AA15/SUM(Z15:AC15)</f>
        <v>0.24782691796802639</v>
      </c>
      <c r="AB18" s="86">
        <f>AB15/SUM(Z15:AC15)</f>
        <v>0.23805907892082173</v>
      </c>
      <c r="AC18" s="89">
        <f>AC15/SUM(Z15:AC15)</f>
        <v>0.28001806373284249</v>
      </c>
      <c r="AD18" s="86"/>
      <c r="AE18" s="86"/>
      <c r="AF18" s="86"/>
      <c r="AG18" s="89"/>
      <c r="AH18" s="86">
        <f>AH15/SUM(AH15:AI15,AJ14:AK14)</f>
        <v>0.2358031311154444</v>
      </c>
      <c r="AI18" s="86">
        <f>AI15/SUM(AH15:AI15,AJ14:AK14)</f>
        <v>0.24359839280716655</v>
      </c>
      <c r="AJ18" s="86">
        <f>AJ14/SUM(AH15:AI15,AJ14:AK14)</f>
        <v>0.2469006163167092</v>
      </c>
      <c r="AK18" s="89">
        <f>AK14/SUM(AH15:AI15,AJ14:AK14)</f>
        <v>0.27369785976067967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/>
      <c r="L19" s="12"/>
      <c r="M19" s="13"/>
      <c r="N19" s="9"/>
      <c r="O19" s="12"/>
      <c r="P19" s="12"/>
      <c r="Q19" s="6"/>
      <c r="R19" s="82"/>
      <c r="S19" s="100">
        <v>259.02872937431943</v>
      </c>
      <c r="T19" s="100">
        <v>242.16046875000004</v>
      </c>
      <c r="U19" s="100">
        <v>287.89102865194928</v>
      </c>
      <c r="V19" s="100">
        <v>268.18242180966718</v>
      </c>
      <c r="W19" s="100">
        <v>269.72251245780421</v>
      </c>
      <c r="X19" s="100">
        <v>237.4029268292683</v>
      </c>
      <c r="Y19" s="100">
        <v>273.92959641255601</v>
      </c>
      <c r="Z19" s="100">
        <v>263.47840559207788</v>
      </c>
      <c r="AA19" s="100">
        <v>260.12817614964928</v>
      </c>
      <c r="AB19" s="100">
        <v>254.82911951199938</v>
      </c>
      <c r="AC19" s="100">
        <v>292.83683911313244</v>
      </c>
      <c r="AD19" s="100">
        <v>273.88879089866833</v>
      </c>
      <c r="AE19" s="100">
        <v>160.03682983682981</v>
      </c>
      <c r="AF19" s="100">
        <v>246.79346612217685</v>
      </c>
      <c r="AG19" s="100">
        <v>305.43616748396835</v>
      </c>
      <c r="AH19" s="100">
        <v>235.54782058381454</v>
      </c>
      <c r="AI19" s="100">
        <v>259.15520263690166</v>
      </c>
      <c r="AJ19" s="83"/>
      <c r="AK19" s="13"/>
    </row>
    <row r="20" spans="1:38" x14ac:dyDescent="0.2">
      <c r="I20" s="7"/>
      <c r="J20" s="7"/>
      <c r="K20" s="7"/>
      <c r="N20" s="7"/>
      <c r="O20" s="7"/>
      <c r="P20" s="7"/>
      <c r="Q20" s="116" t="s">
        <v>7</v>
      </c>
      <c r="R20" s="117"/>
      <c r="S20" s="7">
        <f t="shared" ref="S20:AH20" si="5">IF(S15&gt;S19,1,0)</f>
        <v>0</v>
      </c>
      <c r="T20" s="7">
        <f t="shared" si="5"/>
        <v>0</v>
      </c>
      <c r="U20" s="7">
        <f t="shared" si="5"/>
        <v>0</v>
      </c>
      <c r="V20" s="7">
        <f t="shared" si="5"/>
        <v>0</v>
      </c>
      <c r="W20" s="7">
        <f t="shared" si="5"/>
        <v>0</v>
      </c>
      <c r="X20" s="7">
        <f t="shared" si="5"/>
        <v>1</v>
      </c>
      <c r="Y20" s="7">
        <f t="shared" si="5"/>
        <v>1</v>
      </c>
      <c r="Z20" s="7">
        <f t="shared" si="5"/>
        <v>0</v>
      </c>
      <c r="AA20" s="7">
        <f t="shared" si="5"/>
        <v>1</v>
      </c>
      <c r="AB20" s="7">
        <f t="shared" si="5"/>
        <v>1</v>
      </c>
      <c r="AC20" s="7">
        <f t="shared" si="5"/>
        <v>1</v>
      </c>
      <c r="AD20" s="7">
        <f t="shared" si="5"/>
        <v>0</v>
      </c>
      <c r="AE20" s="7">
        <f t="shared" si="5"/>
        <v>1</v>
      </c>
      <c r="AF20" s="7">
        <f t="shared" si="5"/>
        <v>1</v>
      </c>
      <c r="AG20" s="7">
        <f t="shared" si="5"/>
        <v>0</v>
      </c>
      <c r="AH20" s="7">
        <f t="shared" si="5"/>
        <v>1</v>
      </c>
      <c r="AI20" s="8">
        <f>IF(AI15&gt;AI19,1,0)</f>
        <v>1</v>
      </c>
      <c r="AJ20" s="45" t="s">
        <v>8</v>
      </c>
      <c r="AK20" s="42">
        <f>AVERAGE(S20:AI20)</f>
        <v>0.52941176470588236</v>
      </c>
    </row>
    <row r="21" spans="1:38" x14ac:dyDescent="0.2">
      <c r="N21" s="6"/>
      <c r="O21" s="6"/>
      <c r="P21" s="6"/>
      <c r="Q21" s="111" t="s">
        <v>9</v>
      </c>
      <c r="R21" s="112"/>
      <c r="S21" s="6"/>
      <c r="T21" s="6"/>
      <c r="U21" s="6"/>
      <c r="V21" s="6">
        <f t="shared" ref="V21:AI21" si="6">AVERAGE(S20:V20)</f>
        <v>0</v>
      </c>
      <c r="W21" s="6">
        <f t="shared" si="6"/>
        <v>0</v>
      </c>
      <c r="X21" s="6">
        <f t="shared" si="6"/>
        <v>0.25</v>
      </c>
      <c r="Y21" s="6">
        <f t="shared" si="6"/>
        <v>0.5</v>
      </c>
      <c r="Z21" s="6">
        <f t="shared" si="6"/>
        <v>0.5</v>
      </c>
      <c r="AA21" s="6">
        <f t="shared" si="6"/>
        <v>0.75</v>
      </c>
      <c r="AB21" s="6">
        <f t="shared" si="6"/>
        <v>0.75</v>
      </c>
      <c r="AC21" s="6">
        <f t="shared" si="6"/>
        <v>0.75</v>
      </c>
      <c r="AD21" s="6">
        <f t="shared" si="6"/>
        <v>0.75</v>
      </c>
      <c r="AE21" s="6">
        <f t="shared" si="6"/>
        <v>0.75</v>
      </c>
      <c r="AF21" s="6">
        <f t="shared" si="6"/>
        <v>0.75</v>
      </c>
      <c r="AG21" s="6">
        <f t="shared" si="6"/>
        <v>0.5</v>
      </c>
      <c r="AH21" s="6">
        <f>AVERAGE(AE20:AH20)</f>
        <v>0.75</v>
      </c>
      <c r="AI21" s="10">
        <f t="shared" si="6"/>
        <v>0.75</v>
      </c>
      <c r="AJ21" s="41" t="s">
        <v>10</v>
      </c>
      <c r="AK21" s="42">
        <f>AVERAGE(V21:AI21)</f>
        <v>0.5535714285714286</v>
      </c>
    </row>
    <row r="22" spans="1:38" x14ac:dyDescent="0.2">
      <c r="I22" s="18"/>
      <c r="J22" s="18"/>
      <c r="K22" s="18"/>
      <c r="N22" s="18"/>
      <c r="O22" s="18"/>
      <c r="P22" s="18"/>
      <c r="Q22" s="118" t="s">
        <v>11</v>
      </c>
      <c r="R22" s="119"/>
      <c r="S22" s="18">
        <f t="shared" ref="S22:AI22" si="7">S15/S19-1</f>
        <v>-5.1510989010983277E-4</v>
      </c>
      <c r="T22" s="18">
        <f t="shared" si="7"/>
        <v>-3.4714842366277088E-2</v>
      </c>
      <c r="U22" s="18">
        <f t="shared" si="7"/>
        <v>-4.994670321303496E-2</v>
      </c>
      <c r="V22" s="18">
        <f t="shared" si="7"/>
        <v>-7.5161180861893384E-2</v>
      </c>
      <c r="W22" s="18">
        <f t="shared" si="7"/>
        <v>-3.6408163265306048E-2</v>
      </c>
      <c r="X22" s="18">
        <f t="shared" si="7"/>
        <v>3.6423238025860449E-2</v>
      </c>
      <c r="Y22" s="18">
        <f t="shared" si="7"/>
        <v>4.6245568804382797E-2</v>
      </c>
      <c r="Z22" s="18">
        <f t="shared" si="7"/>
        <v>-2.0517241379310325E-2</v>
      </c>
      <c r="AA22" s="18">
        <f t="shared" si="7"/>
        <v>5.0289495450785759E-2</v>
      </c>
      <c r="AB22" s="18">
        <f t="shared" si="7"/>
        <v>2.9872916322825516E-2</v>
      </c>
      <c r="AC22" s="18">
        <f t="shared" si="7"/>
        <v>5.4164239953407245E-2</v>
      </c>
      <c r="AD22" s="18">
        <f t="shared" si="7"/>
        <v>-7.0400000000000129E-2</v>
      </c>
      <c r="AE22" s="18">
        <f t="shared" si="7"/>
        <v>0.11029782937910149</v>
      </c>
      <c r="AF22" s="18">
        <f t="shared" si="7"/>
        <v>8.8489457310749975E-2</v>
      </c>
      <c r="AG22" s="18">
        <f t="shared" si="7"/>
        <v>-7.3849878934624691E-2</v>
      </c>
      <c r="AH22" s="18">
        <f t="shared" si="7"/>
        <v>0.16068190061661225</v>
      </c>
      <c r="AI22" s="40">
        <f t="shared" si="7"/>
        <v>8.9826142949130494E-2</v>
      </c>
      <c r="AJ22" s="41" t="s">
        <v>13</v>
      </c>
      <c r="AK22" s="43">
        <f>MEDIAN(S22:AI22)</f>
        <v>2.9872916322825516E-2</v>
      </c>
    </row>
    <row r="23" spans="1:38" x14ac:dyDescent="0.2">
      <c r="N23" s="32"/>
      <c r="O23" s="32"/>
      <c r="P23" s="32"/>
      <c r="Q23" s="111" t="s">
        <v>12</v>
      </c>
      <c r="R23" s="112"/>
      <c r="S23" s="32"/>
      <c r="T23" s="32"/>
      <c r="U23" s="32"/>
      <c r="V23" s="32">
        <f t="shared" ref="V23:AI23" si="8">AVERAGE(S22:V22)</f>
        <v>-4.0084459082828816E-2</v>
      </c>
      <c r="W23" s="32">
        <f t="shared" si="8"/>
        <v>-4.905772242662787E-2</v>
      </c>
      <c r="X23" s="32">
        <f t="shared" si="8"/>
        <v>-3.1273202328593486E-2</v>
      </c>
      <c r="Y23" s="32">
        <f t="shared" si="8"/>
        <v>-7.2251343242390464E-3</v>
      </c>
      <c r="Z23" s="32">
        <f t="shared" si="8"/>
        <v>6.4358505464067184E-3</v>
      </c>
      <c r="AA23" s="32">
        <f t="shared" si="8"/>
        <v>2.811026522542967E-2</v>
      </c>
      <c r="AB23" s="32">
        <f t="shared" si="8"/>
        <v>2.6472684799670937E-2</v>
      </c>
      <c r="AC23" s="32">
        <f t="shared" si="8"/>
        <v>2.8452352586927049E-2</v>
      </c>
      <c r="AD23" s="32">
        <f t="shared" si="8"/>
        <v>1.5981662931754598E-2</v>
      </c>
      <c r="AE23" s="32">
        <f t="shared" si="8"/>
        <v>3.0983746413833529E-2</v>
      </c>
      <c r="AF23" s="32">
        <f t="shared" si="8"/>
        <v>4.5637881660814644E-2</v>
      </c>
      <c r="AG23" s="32">
        <f t="shared" si="8"/>
        <v>1.363435193880666E-2</v>
      </c>
      <c r="AH23" s="32">
        <f t="shared" si="8"/>
        <v>7.1404827092959755E-2</v>
      </c>
      <c r="AI23" s="33">
        <f t="shared" si="8"/>
        <v>6.6286905485467007E-2</v>
      </c>
      <c r="AJ23" s="19" t="s">
        <v>14</v>
      </c>
      <c r="AK23" s="33">
        <f>MEDIAN(V23:AI23)</f>
        <v>2.1227173865712767E-2</v>
      </c>
    </row>
    <row r="24" spans="1:38" x14ac:dyDescent="0.2">
      <c r="Q24" s="116" t="s">
        <v>25</v>
      </c>
      <c r="R24" s="117"/>
      <c r="S24" s="99">
        <f>AVERAGE(X22:Y22,AA22:AC22,AE22:AF22,AH22:AI22)</f>
        <v>7.4032309868095114E-2</v>
      </c>
      <c r="T24" s="118" t="s">
        <v>29</v>
      </c>
      <c r="U24" s="147"/>
      <c r="V24" s="46">
        <f>MEDIAN(X22:Y22,AA22:AC22,AE22:AF22,AH22:AI22)</f>
        <v>5.4164239953407245E-2</v>
      </c>
      <c r="AF24" s="3"/>
      <c r="AG24" s="156" t="s">
        <v>23</v>
      </c>
      <c r="AH24" s="157"/>
      <c r="AI24" s="157"/>
      <c r="AJ24" s="158"/>
      <c r="AK24" s="44">
        <f>AVERAGE(AF17:AJ17)</f>
        <v>0.21705620146242213</v>
      </c>
    </row>
    <row r="25" spans="1:38" x14ac:dyDescent="0.2">
      <c r="Q25" s="148" t="s">
        <v>26</v>
      </c>
      <c r="R25" s="151"/>
      <c r="S25" s="98">
        <f>AVERAGE(S22:W22,Z22,AD22,AG22)</f>
        <v>-4.5189139988819557E-2</v>
      </c>
      <c r="T25" s="148" t="s">
        <v>30</v>
      </c>
      <c r="U25" s="149"/>
      <c r="V25" s="33">
        <f>MEDIAN(S22:W22,Z22,AD22,AG22)</f>
        <v>-4.3177433239170504E-2</v>
      </c>
      <c r="AG25" s="143" t="s">
        <v>27</v>
      </c>
      <c r="AH25" s="144"/>
      <c r="AI25" s="144"/>
      <c r="AJ25" s="144"/>
      <c r="AK25" s="46">
        <f>AVERAGE(AJ18,AB18,L18,H18)</f>
        <v>0.2411616878743926</v>
      </c>
    </row>
    <row r="26" spans="1:38" x14ac:dyDescent="0.2">
      <c r="AG26" s="145" t="s">
        <v>28</v>
      </c>
      <c r="AH26" s="146"/>
      <c r="AI26" s="146"/>
      <c r="AJ26" s="146"/>
      <c r="AK26" s="47">
        <f>_xlfn.STDEV.S(AJ18,P18,L18,T18,AB18,H18)</f>
        <v>6.9978557909535352E-3</v>
      </c>
    </row>
    <row r="29" spans="1:38" ht="18" customHeight="1" x14ac:dyDescent="0.2"/>
  </sheetData>
  <mergeCells count="28">
    <mergeCell ref="AG25:AJ25"/>
    <mergeCell ref="AG26:AJ26"/>
    <mergeCell ref="T24:U24"/>
    <mergeCell ref="T25:U25"/>
    <mergeCell ref="H10:I10"/>
    <mergeCell ref="AG10:AI10"/>
    <mergeCell ref="Q25:R25"/>
    <mergeCell ref="Z11:AC11"/>
    <mergeCell ref="AD11:AG11"/>
    <mergeCell ref="AH11:AK11"/>
    <mergeCell ref="Q20:R20"/>
    <mergeCell ref="AG24:AJ24"/>
    <mergeCell ref="A1:C3"/>
    <mergeCell ref="K1:L1"/>
    <mergeCell ref="P1:Q1"/>
    <mergeCell ref="P2:Q2"/>
    <mergeCell ref="P3:Q3"/>
    <mergeCell ref="P4:Q4"/>
    <mergeCell ref="B11:E11"/>
    <mergeCell ref="Q21:R21"/>
    <mergeCell ref="V11:Y11"/>
    <mergeCell ref="Q24:R24"/>
    <mergeCell ref="Q23:R23"/>
    <mergeCell ref="Q22:R22"/>
    <mergeCell ref="F11:I11"/>
    <mergeCell ref="J11:M11"/>
    <mergeCell ref="N11:Q11"/>
    <mergeCell ref="R11:U11"/>
  </mergeCells>
  <conditionalFormatting sqref="I20:K20 N20:P20 S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P21 S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K22 N22:P22 S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P23 S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I22:K22 N22:P22 S22:AI22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N23:P23 S23:AI23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A6" sqref="A6:B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1" t="s">
        <v>75</v>
      </c>
      <c r="B4" s="161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172</v>
      </c>
      <c r="B6" t="s">
        <v>173</v>
      </c>
      <c r="C6" t="s">
        <v>169</v>
      </c>
      <c r="D6">
        <v>20170720</v>
      </c>
      <c r="E6">
        <v>232.70975999999999</v>
      </c>
      <c r="F6">
        <v>228.36428900000001</v>
      </c>
      <c r="G6">
        <v>209.12410199999999</v>
      </c>
      <c r="H6">
        <v>247.907928</v>
      </c>
      <c r="I6">
        <v>314.08430499999997</v>
      </c>
      <c r="J6">
        <f>AVERAGE(E6:I6)</f>
        <v>246.4380768</v>
      </c>
      <c r="R6" s="100">
        <v>259.02872937431943</v>
      </c>
      <c r="S6" s="100">
        <v>258.89530111399614</v>
      </c>
    </row>
    <row r="7" spans="1:21" x14ac:dyDescent="0.2">
      <c r="A7" t="s">
        <v>172</v>
      </c>
      <c r="B7" t="s">
        <v>173</v>
      </c>
      <c r="C7" t="s">
        <v>170</v>
      </c>
      <c r="D7">
        <v>20171026</v>
      </c>
      <c r="E7">
        <v>257.47965399999998</v>
      </c>
      <c r="F7">
        <v>253.98909699999999</v>
      </c>
      <c r="G7">
        <v>230.801659</v>
      </c>
      <c r="H7">
        <v>238.88356899999999</v>
      </c>
      <c r="I7">
        <v>271.06313699999998</v>
      </c>
      <c r="J7">
        <f t="shared" ref="J7:J23" si="0">AVERAGE(E7:I7)</f>
        <v>250.44342319999996</v>
      </c>
      <c r="K7">
        <f>(E7/E6)*$S6</f>
        <v>286.45241417058543</v>
      </c>
      <c r="L7">
        <f>(F7/F6)*$S6</f>
        <v>287.94600081927416</v>
      </c>
      <c r="M7">
        <f>(G7/G6)*$S6</f>
        <v>285.73208173018173</v>
      </c>
      <c r="N7">
        <f>(H7/H6)*$S6</f>
        <v>249.47097911060382</v>
      </c>
      <c r="O7">
        <f t="shared" ref="O7:P7" si="1">(I7/I6)*$S6</f>
        <v>223.43355384956084</v>
      </c>
      <c r="P7">
        <f t="shared" si="1"/>
        <v>263.10311419125617</v>
      </c>
      <c r="Q7">
        <f>AVERAGE(K7:P7)</f>
        <v>266.02302397857699</v>
      </c>
      <c r="R7" s="100">
        <v>242.16046875000004</v>
      </c>
      <c r="S7" s="100">
        <v>233.75390625000003</v>
      </c>
      <c r="T7" s="91"/>
      <c r="U7" s="90"/>
    </row>
    <row r="8" spans="1:21" x14ac:dyDescent="0.2">
      <c r="A8" t="s">
        <v>172</v>
      </c>
      <c r="B8" t="s">
        <v>173</v>
      </c>
      <c r="C8" t="s">
        <v>167</v>
      </c>
      <c r="D8">
        <v>20180201</v>
      </c>
      <c r="E8">
        <v>264.38268799999997</v>
      </c>
      <c r="F8">
        <v>263.76897100000002</v>
      </c>
      <c r="G8">
        <v>258.31252799999999</v>
      </c>
      <c r="H8">
        <v>247.72482600000001</v>
      </c>
      <c r="I8">
        <v>271.80091099999999</v>
      </c>
      <c r="J8">
        <f t="shared" si="0"/>
        <v>261.19798480000003</v>
      </c>
      <c r="K8">
        <f t="shared" ref="K8:K23" si="2">(E8/E7)*$S7</f>
        <v>240.02085254035256</v>
      </c>
      <c r="L8">
        <f t="shared" ref="L8:L23" si="3">(F8/F7)*$S7</f>
        <v>242.75462233244204</v>
      </c>
      <c r="M8">
        <f t="shared" ref="M8:M23" si="4">(G8/G7)*$S7</f>
        <v>261.61667431217427</v>
      </c>
      <c r="N8">
        <f t="shared" ref="N8:N23" si="5">(H8/H7)*$S7</f>
        <v>242.40531064989895</v>
      </c>
      <c r="O8">
        <f t="shared" ref="O8:O23" si="6">(I8/I7)*$S7</f>
        <v>234.39013276290166</v>
      </c>
      <c r="P8">
        <f t="shared" ref="P8:P23" si="7">(J8/J7)*$S7</f>
        <v>243.791785272276</v>
      </c>
      <c r="Q8">
        <f t="shared" ref="Q8:Q23" si="8">AVERAGE(K8:P8)</f>
        <v>244.16322964500759</v>
      </c>
      <c r="R8" s="100">
        <v>287.89102865194928</v>
      </c>
      <c r="S8" s="100">
        <v>273.51182088617503</v>
      </c>
      <c r="T8" s="91"/>
      <c r="U8" s="90"/>
    </row>
    <row r="9" spans="1:21" x14ac:dyDescent="0.2">
      <c r="A9" t="s">
        <v>172</v>
      </c>
      <c r="B9" t="s">
        <v>173</v>
      </c>
      <c r="C9" t="s">
        <v>42</v>
      </c>
      <c r="D9">
        <v>20180426</v>
      </c>
      <c r="E9">
        <v>273.15121499999998</v>
      </c>
      <c r="F9">
        <v>273.05283700000001</v>
      </c>
      <c r="G9">
        <v>244.02775199999999</v>
      </c>
      <c r="H9">
        <v>261.91145999999998</v>
      </c>
      <c r="I9">
        <v>272.70294799999999</v>
      </c>
      <c r="J9">
        <f t="shared" si="0"/>
        <v>264.96924239999998</v>
      </c>
      <c r="K9">
        <f t="shared" si="2"/>
        <v>282.58312507935881</v>
      </c>
      <c r="L9">
        <f t="shared" si="3"/>
        <v>283.13860558680324</v>
      </c>
      <c r="M9">
        <f t="shared" si="4"/>
        <v>258.38651850552111</v>
      </c>
      <c r="N9">
        <f t="shared" si="5"/>
        <v>289.17521708363859</v>
      </c>
      <c r="O9">
        <f t="shared" si="6"/>
        <v>274.41953595404948</v>
      </c>
      <c r="P9">
        <f t="shared" si="7"/>
        <v>277.46086947472611</v>
      </c>
      <c r="Q9">
        <f t="shared" si="8"/>
        <v>277.52731194734957</v>
      </c>
      <c r="R9" s="100">
        <v>268.18242180966718</v>
      </c>
      <c r="S9" s="100">
        <v>248.02551430005019</v>
      </c>
      <c r="T9" s="9"/>
      <c r="U9" s="62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254.11717999999999</v>
      </c>
      <c r="F10">
        <v>253.98948899999999</v>
      </c>
      <c r="G10">
        <v>230.21534500000001</v>
      </c>
      <c r="H10">
        <v>253.94560999999999</v>
      </c>
      <c r="I10">
        <v>263.24289599999997</v>
      </c>
      <c r="J10">
        <f t="shared" si="0"/>
        <v>251.102104</v>
      </c>
      <c r="K10">
        <f t="shared" si="2"/>
        <v>230.74231707875958</v>
      </c>
      <c r="L10">
        <f t="shared" si="3"/>
        <v>230.70946388310895</v>
      </c>
      <c r="M10">
        <f t="shared" si="4"/>
        <v>233.98682680725793</v>
      </c>
      <c r="N10">
        <f t="shared" si="5"/>
        <v>240.48199542123879</v>
      </c>
      <c r="O10">
        <f t="shared" si="6"/>
        <v>239.42152127462376</v>
      </c>
      <c r="P10">
        <f t="shared" si="7"/>
        <v>235.04512418994898</v>
      </c>
      <c r="Q10">
        <f t="shared" si="8"/>
        <v>235.06454144248968</v>
      </c>
      <c r="R10" s="100">
        <v>269.72251245780421</v>
      </c>
      <c r="S10" s="100">
        <v>259.90241118791192</v>
      </c>
      <c r="T10" s="9"/>
      <c r="U10" s="62"/>
    </row>
    <row r="11" spans="1:21" x14ac:dyDescent="0.2">
      <c r="A11" t="s">
        <v>172</v>
      </c>
      <c r="B11" t="s">
        <v>173</v>
      </c>
      <c r="C11" t="s">
        <v>44</v>
      </c>
      <c r="D11">
        <v>20181025</v>
      </c>
      <c r="E11">
        <v>241.42455699999999</v>
      </c>
      <c r="F11">
        <v>242.69605200000001</v>
      </c>
      <c r="G11">
        <v>220.93163899999999</v>
      </c>
      <c r="H11">
        <v>242.615351</v>
      </c>
      <c r="I11">
        <v>243.78931600000001</v>
      </c>
      <c r="J11">
        <f t="shared" si="0"/>
        <v>238.291383</v>
      </c>
      <c r="K11">
        <f t="shared" si="2"/>
        <v>246.92082795926464</v>
      </c>
      <c r="L11">
        <f t="shared" si="3"/>
        <v>248.34606088989321</v>
      </c>
      <c r="M11">
        <f t="shared" si="4"/>
        <v>249.42153914109119</v>
      </c>
      <c r="N11">
        <f t="shared" si="5"/>
        <v>248.30637834653484</v>
      </c>
      <c r="O11">
        <f t="shared" si="6"/>
        <v>240.69569212706048</v>
      </c>
      <c r="P11">
        <f t="shared" si="7"/>
        <v>246.64271633105156</v>
      </c>
      <c r="Q11">
        <f t="shared" si="8"/>
        <v>246.72220246581597</v>
      </c>
      <c r="R11" s="100">
        <v>237.4029268292683</v>
      </c>
      <c r="S11" s="100">
        <v>246.04991014120668</v>
      </c>
      <c r="T11" s="9"/>
      <c r="U11" s="62"/>
    </row>
    <row r="12" spans="1:21" x14ac:dyDescent="0.2">
      <c r="A12" t="s">
        <v>172</v>
      </c>
      <c r="B12" t="s">
        <v>173</v>
      </c>
      <c r="C12" t="s">
        <v>45</v>
      </c>
      <c r="D12">
        <v>20190131</v>
      </c>
      <c r="E12">
        <v>252.36984699999999</v>
      </c>
      <c r="F12">
        <v>253.901049</v>
      </c>
      <c r="G12">
        <v>236.01587699999999</v>
      </c>
      <c r="H12">
        <v>254.57972799999999</v>
      </c>
      <c r="I12">
        <v>236.505765</v>
      </c>
      <c r="J12">
        <f t="shared" si="0"/>
        <v>246.67445319999996</v>
      </c>
      <c r="K12">
        <f t="shared" si="2"/>
        <v>257.20489642112125</v>
      </c>
      <c r="L12">
        <f t="shared" si="3"/>
        <v>257.40975090607623</v>
      </c>
      <c r="M12">
        <f t="shared" si="4"/>
        <v>262.84911292288058</v>
      </c>
      <c r="N12">
        <f t="shared" si="5"/>
        <v>258.18365960764305</v>
      </c>
      <c r="O12">
        <f t="shared" si="6"/>
        <v>238.69882069043314</v>
      </c>
      <c r="P12">
        <f t="shared" si="7"/>
        <v>254.70592465356285</v>
      </c>
      <c r="Q12">
        <f t="shared" si="8"/>
        <v>254.84202753361947</v>
      </c>
      <c r="R12" s="100">
        <v>273.92959641255601</v>
      </c>
      <c r="S12" s="100">
        <v>286.59762641100968</v>
      </c>
      <c r="T12" s="9"/>
      <c r="U12" s="62"/>
    </row>
    <row r="13" spans="1:21" x14ac:dyDescent="0.2">
      <c r="A13" t="s">
        <v>172</v>
      </c>
      <c r="B13" t="s">
        <v>173</v>
      </c>
      <c r="C13" t="s">
        <v>46</v>
      </c>
      <c r="D13">
        <v>20190425</v>
      </c>
      <c r="E13">
        <v>267.58766300000002</v>
      </c>
      <c r="F13">
        <v>268.92516599999999</v>
      </c>
      <c r="G13">
        <v>257.10940900000003</v>
      </c>
      <c r="H13">
        <v>268.39983799999999</v>
      </c>
      <c r="I13">
        <v>231.953102</v>
      </c>
      <c r="J13">
        <f t="shared" si="0"/>
        <v>258.79503560000001</v>
      </c>
      <c r="K13">
        <f t="shared" si="2"/>
        <v>303.8793658763409</v>
      </c>
      <c r="L13">
        <f t="shared" si="3"/>
        <v>303.55650187875659</v>
      </c>
      <c r="M13">
        <f t="shared" si="4"/>
        <v>312.21181932322929</v>
      </c>
      <c r="N13">
        <f t="shared" si="5"/>
        <v>302.15585940094775</v>
      </c>
      <c r="O13">
        <f t="shared" si="6"/>
        <v>281.0807105351991</v>
      </c>
      <c r="P13">
        <f t="shared" si="7"/>
        <v>300.67987165974091</v>
      </c>
      <c r="Q13">
        <f t="shared" si="8"/>
        <v>300.59402144570242</v>
      </c>
      <c r="R13" s="100">
        <v>263.47840559207788</v>
      </c>
      <c r="S13" s="100">
        <v>258.07255554630939</v>
      </c>
      <c r="T13" s="9"/>
      <c r="U13" s="62"/>
    </row>
    <row r="14" spans="1:21" x14ac:dyDescent="0.2">
      <c r="A14" t="s">
        <v>172</v>
      </c>
      <c r="B14" t="s">
        <v>173</v>
      </c>
      <c r="C14" t="s">
        <v>47</v>
      </c>
      <c r="D14">
        <v>20190725</v>
      </c>
      <c r="E14">
        <v>295.37212799999998</v>
      </c>
      <c r="F14">
        <v>292.29165999999998</v>
      </c>
      <c r="G14">
        <v>292.10182800000001</v>
      </c>
      <c r="H14">
        <v>275.08443199999999</v>
      </c>
      <c r="I14">
        <v>223.13585399999999</v>
      </c>
      <c r="J14">
        <f t="shared" si="0"/>
        <v>275.59718039999996</v>
      </c>
      <c r="K14">
        <f t="shared" si="2"/>
        <v>284.86903714283568</v>
      </c>
      <c r="L14">
        <f t="shared" si="3"/>
        <v>280.49608291800024</v>
      </c>
      <c r="M14">
        <f t="shared" si="4"/>
        <v>293.19605814857016</v>
      </c>
      <c r="N14">
        <f t="shared" si="5"/>
        <v>264.49994488165441</v>
      </c>
      <c r="O14">
        <f t="shared" si="6"/>
        <v>248.26242709954437</v>
      </c>
      <c r="P14">
        <f t="shared" si="7"/>
        <v>274.82779367188618</v>
      </c>
      <c r="Q14">
        <f t="shared" si="8"/>
        <v>274.35855731041516</v>
      </c>
      <c r="R14" s="100">
        <v>260.12817614964928</v>
      </c>
      <c r="S14" s="100">
        <v>273.20989088074828</v>
      </c>
      <c r="T14" s="9"/>
      <c r="U14" s="62"/>
    </row>
    <row r="15" spans="1:21" x14ac:dyDescent="0.2">
      <c r="A15" t="s">
        <v>172</v>
      </c>
      <c r="B15" t="s">
        <v>173</v>
      </c>
      <c r="C15" t="s">
        <v>48</v>
      </c>
      <c r="D15">
        <v>20191024</v>
      </c>
      <c r="E15">
        <v>284.64097800000002</v>
      </c>
      <c r="F15">
        <v>287.72697699999998</v>
      </c>
      <c r="G15">
        <v>273.451075</v>
      </c>
      <c r="H15">
        <v>271.08565800000002</v>
      </c>
      <c r="I15">
        <v>219.51518300000001</v>
      </c>
      <c r="J15">
        <f t="shared" si="0"/>
        <v>267.28397419999999</v>
      </c>
      <c r="K15">
        <f t="shared" si="2"/>
        <v>263.28391600838341</v>
      </c>
      <c r="L15">
        <f t="shared" si="3"/>
        <v>268.94320552840122</v>
      </c>
      <c r="M15">
        <f t="shared" si="4"/>
        <v>255.76539138253293</v>
      </c>
      <c r="N15">
        <f t="shared" si="5"/>
        <v>269.23836621010912</v>
      </c>
      <c r="O15">
        <f t="shared" si="6"/>
        <v>268.77670315635379</v>
      </c>
      <c r="P15">
        <f t="shared" si="7"/>
        <v>264.96869568609981</v>
      </c>
      <c r="Q15">
        <f t="shared" si="8"/>
        <v>265.16271299531337</v>
      </c>
      <c r="R15" s="100">
        <v>254.82911951199938</v>
      </c>
      <c r="S15" s="100">
        <v>262.44160847580065</v>
      </c>
      <c r="T15" s="9"/>
      <c r="U15" s="62"/>
    </row>
    <row r="16" spans="1:21" x14ac:dyDescent="0.2">
      <c r="A16" t="s">
        <v>172</v>
      </c>
      <c r="B16" t="s">
        <v>173</v>
      </c>
      <c r="C16" t="s">
        <v>49</v>
      </c>
      <c r="D16">
        <v>20200213</v>
      </c>
      <c r="E16">
        <v>288.24093199999999</v>
      </c>
      <c r="F16">
        <v>283.89684799999998</v>
      </c>
      <c r="G16">
        <v>287.738699</v>
      </c>
      <c r="H16">
        <v>284.41583800000001</v>
      </c>
      <c r="I16">
        <v>223.70545300000001</v>
      </c>
      <c r="J16">
        <f t="shared" si="0"/>
        <v>273.59955400000001</v>
      </c>
      <c r="K16">
        <f t="shared" si="2"/>
        <v>265.76079928535052</v>
      </c>
      <c r="L16">
        <f t="shared" si="3"/>
        <v>258.94807017115357</v>
      </c>
      <c r="M16">
        <f t="shared" si="4"/>
        <v>276.15399568750735</v>
      </c>
      <c r="N16">
        <f t="shared" si="5"/>
        <v>275.34673192011047</v>
      </c>
      <c r="O16">
        <f t="shared" si="6"/>
        <v>267.45129019220337</v>
      </c>
      <c r="P16">
        <f t="shared" si="7"/>
        <v>268.64276934274079</v>
      </c>
      <c r="Q16">
        <f t="shared" si="8"/>
        <v>268.71727609984436</v>
      </c>
      <c r="R16" s="100">
        <v>292.83683911313244</v>
      </c>
      <c r="S16" s="100">
        <v>308.69812393405346</v>
      </c>
      <c r="T16" s="9"/>
      <c r="U16" s="62"/>
    </row>
    <row r="17" spans="1:21" x14ac:dyDescent="0.2">
      <c r="A17" t="s">
        <v>172</v>
      </c>
      <c r="B17" t="s">
        <v>173</v>
      </c>
      <c r="C17" t="s">
        <v>50</v>
      </c>
      <c r="D17">
        <v>20200430</v>
      </c>
      <c r="E17">
        <v>274.563312</v>
      </c>
      <c r="F17">
        <v>275.56384200000002</v>
      </c>
      <c r="G17">
        <v>260.20993600000003</v>
      </c>
      <c r="H17">
        <v>271.37309499999998</v>
      </c>
      <c r="I17">
        <v>224.41904700000001</v>
      </c>
      <c r="J17">
        <f t="shared" si="0"/>
        <v>261.22584640000002</v>
      </c>
      <c r="K17">
        <f t="shared" si="2"/>
        <v>294.04976846078262</v>
      </c>
      <c r="L17">
        <f t="shared" si="3"/>
        <v>299.63714514174507</v>
      </c>
      <c r="M17">
        <f t="shared" si="4"/>
        <v>279.16411435571314</v>
      </c>
      <c r="N17">
        <f t="shared" si="5"/>
        <v>294.54184373754055</v>
      </c>
      <c r="O17">
        <f t="shared" si="6"/>
        <v>309.68283452602367</v>
      </c>
      <c r="P17">
        <f t="shared" si="7"/>
        <v>294.73706198645783</v>
      </c>
      <c r="Q17">
        <f t="shared" si="8"/>
        <v>295.30212803471051</v>
      </c>
      <c r="R17" s="100">
        <v>273.88879089866833</v>
      </c>
      <c r="S17" s="100">
        <v>254.60702001940206</v>
      </c>
      <c r="T17" s="9"/>
      <c r="U17" s="62"/>
    </row>
    <row r="18" spans="1:21" x14ac:dyDescent="0.2">
      <c r="A18" t="s">
        <v>172</v>
      </c>
      <c r="B18" t="s">
        <v>173</v>
      </c>
      <c r="C18" t="s">
        <v>51</v>
      </c>
      <c r="D18">
        <v>20200723</v>
      </c>
      <c r="E18">
        <v>216.41108399999999</v>
      </c>
      <c r="F18">
        <v>216.461106</v>
      </c>
      <c r="G18">
        <v>187.766876</v>
      </c>
      <c r="H18">
        <v>213.92147399999999</v>
      </c>
      <c r="I18">
        <v>180.39477500000001</v>
      </c>
      <c r="J18">
        <f t="shared" si="0"/>
        <v>202.991063</v>
      </c>
      <c r="K18">
        <f t="shared" si="2"/>
        <v>200.68151420175357</v>
      </c>
      <c r="L18">
        <f t="shared" si="3"/>
        <v>199.99908822857793</v>
      </c>
      <c r="M18">
        <f t="shared" si="4"/>
        <v>183.72382504529949</v>
      </c>
      <c r="N18">
        <f t="shared" si="5"/>
        <v>200.70489675219275</v>
      </c>
      <c r="O18">
        <f t="shared" si="6"/>
        <v>204.66077502690996</v>
      </c>
      <c r="P18">
        <f t="shared" si="7"/>
        <v>197.84776412155477</v>
      </c>
      <c r="Q18">
        <f t="shared" si="8"/>
        <v>197.93631056271477</v>
      </c>
      <c r="R18" s="100">
        <v>160.03682983682981</v>
      </c>
      <c r="S18" s="100">
        <v>177.68854478854476</v>
      </c>
      <c r="T18" s="9"/>
      <c r="U18" s="62"/>
    </row>
    <row r="19" spans="1:21" x14ac:dyDescent="0.2">
      <c r="A19" t="s">
        <v>172</v>
      </c>
      <c r="B19" t="s">
        <v>173</v>
      </c>
      <c r="C19" t="s">
        <v>52</v>
      </c>
      <c r="D19">
        <v>20201022</v>
      </c>
      <c r="E19">
        <v>234.64289199999999</v>
      </c>
      <c r="F19">
        <v>238.78402399999999</v>
      </c>
      <c r="G19">
        <v>249.081987</v>
      </c>
      <c r="H19">
        <v>224.775093</v>
      </c>
      <c r="I19">
        <v>191.50613000000001</v>
      </c>
      <c r="J19">
        <f t="shared" si="0"/>
        <v>227.75802520000002</v>
      </c>
      <c r="K19">
        <f t="shared" si="2"/>
        <v>192.65812662560143</v>
      </c>
      <c r="L19">
        <f t="shared" si="3"/>
        <v>196.01297677612783</v>
      </c>
      <c r="M19">
        <f t="shared" si="4"/>
        <v>235.71258544595068</v>
      </c>
      <c r="N19">
        <f t="shared" si="5"/>
        <v>186.7038331078432</v>
      </c>
      <c r="O19">
        <f t="shared" si="6"/>
        <v>188.63321045626671</v>
      </c>
      <c r="P19">
        <f t="shared" si="7"/>
        <v>199.36834392409045</v>
      </c>
      <c r="Q19">
        <f t="shared" si="8"/>
        <v>199.8481793893134</v>
      </c>
      <c r="R19" s="100">
        <v>246.79346612217685</v>
      </c>
      <c r="S19" s="100">
        <v>268.63208600716723</v>
      </c>
      <c r="T19" s="9"/>
      <c r="U19" s="62"/>
    </row>
    <row r="20" spans="1:21" x14ac:dyDescent="0.2">
      <c r="A20" t="s">
        <v>172</v>
      </c>
      <c r="B20" t="s">
        <v>173</v>
      </c>
      <c r="C20" t="s">
        <v>53</v>
      </c>
      <c r="D20">
        <v>20210211</v>
      </c>
      <c r="E20">
        <v>255.60952700000001</v>
      </c>
      <c r="F20">
        <v>250.595752</v>
      </c>
      <c r="G20">
        <v>264.20003200000002</v>
      </c>
      <c r="H20">
        <v>259.07787500000001</v>
      </c>
      <c r="I20">
        <v>201.18573799999999</v>
      </c>
      <c r="J20">
        <f t="shared" si="0"/>
        <v>246.13378479999997</v>
      </c>
      <c r="K20">
        <f t="shared" si="2"/>
        <v>292.63584273124007</v>
      </c>
      <c r="L20">
        <f t="shared" si="3"/>
        <v>281.9202829260251</v>
      </c>
      <c r="M20">
        <f t="shared" si="4"/>
        <v>284.93672534947433</v>
      </c>
      <c r="N20">
        <f t="shared" si="5"/>
        <v>309.62785542948978</v>
      </c>
      <c r="O20">
        <f t="shared" si="6"/>
        <v>282.20999752765829</v>
      </c>
      <c r="P20">
        <f t="shared" si="7"/>
        <v>290.30560828582026</v>
      </c>
      <c r="Q20">
        <f t="shared" si="8"/>
        <v>290.27271870828463</v>
      </c>
      <c r="R20" s="100">
        <v>305.43616748396835</v>
      </c>
      <c r="S20" s="100">
        <v>282.87974349302152</v>
      </c>
    </row>
    <row r="21" spans="1:21" x14ac:dyDescent="0.2">
      <c r="A21" t="s">
        <v>172</v>
      </c>
      <c r="B21" t="s">
        <v>173</v>
      </c>
      <c r="C21" t="s">
        <v>54</v>
      </c>
      <c r="D21">
        <v>20210422</v>
      </c>
      <c r="E21">
        <v>188.30936</v>
      </c>
      <c r="F21">
        <v>183.53832</v>
      </c>
      <c r="G21">
        <v>172.66396599999999</v>
      </c>
      <c r="H21">
        <v>205.44493700000001</v>
      </c>
      <c r="I21">
        <v>209.20007699999999</v>
      </c>
      <c r="J21">
        <f t="shared" si="0"/>
        <v>191.83133199999997</v>
      </c>
      <c r="K21">
        <f t="shared" si="2"/>
        <v>208.3995228164365</v>
      </c>
      <c r="L21">
        <f t="shared" si="3"/>
        <v>207.18337189825985</v>
      </c>
      <c r="M21">
        <f t="shared" si="4"/>
        <v>184.87181111532865</v>
      </c>
      <c r="N21">
        <f t="shared" si="5"/>
        <v>224.31946796112931</v>
      </c>
      <c r="O21">
        <f t="shared" si="6"/>
        <v>294.14840588988642</v>
      </c>
      <c r="P21">
        <f t="shared" si="7"/>
        <v>220.47033500166876</v>
      </c>
      <c r="Q21">
        <f t="shared" si="8"/>
        <v>223.23215244711821</v>
      </c>
      <c r="R21" s="100">
        <v>235.54782058381454</v>
      </c>
      <c r="S21" s="100">
        <v>273.39609208132265</v>
      </c>
    </row>
    <row r="22" spans="1:21" x14ac:dyDescent="0.2">
      <c r="A22" t="s">
        <v>172</v>
      </c>
      <c r="B22" t="s">
        <v>173</v>
      </c>
      <c r="C22" t="s">
        <v>55</v>
      </c>
      <c r="D22">
        <v>20210722</v>
      </c>
      <c r="E22">
        <v>213.69233800000001</v>
      </c>
      <c r="F22">
        <v>209.02672200000001</v>
      </c>
      <c r="G22">
        <v>194.936375</v>
      </c>
      <c r="H22">
        <v>222.84996699999999</v>
      </c>
      <c r="I22">
        <v>215.18911199999999</v>
      </c>
      <c r="J22">
        <f t="shared" si="0"/>
        <v>211.13890280000001</v>
      </c>
      <c r="K22">
        <f t="shared" si="2"/>
        <v>310.24825381447386</v>
      </c>
      <c r="L22">
        <f t="shared" si="3"/>
        <v>311.3632561056952</v>
      </c>
      <c r="M22">
        <f t="shared" si="4"/>
        <v>308.66222040503368</v>
      </c>
      <c r="N22">
        <f t="shared" si="5"/>
        <v>296.55785627003166</v>
      </c>
      <c r="O22">
        <f t="shared" si="6"/>
        <v>281.22294753863815</v>
      </c>
      <c r="P22">
        <f t="shared" si="7"/>
        <v>300.91304851002252</v>
      </c>
      <c r="Q22">
        <f t="shared" si="8"/>
        <v>301.49459710731583</v>
      </c>
      <c r="R22" s="100">
        <v>259.15520263690166</v>
      </c>
      <c r="S22" s="100">
        <v>282.43411491497488</v>
      </c>
    </row>
    <row r="23" spans="1:21" x14ac:dyDescent="0.2">
      <c r="A23" t="s">
        <v>172</v>
      </c>
      <c r="B23" t="s">
        <v>173</v>
      </c>
      <c r="C23" t="s">
        <v>71</v>
      </c>
      <c r="D23">
        <v>20211028</v>
      </c>
      <c r="E23">
        <v>291.94124799999997</v>
      </c>
      <c r="F23">
        <v>286.03974899999997</v>
      </c>
      <c r="G23">
        <v>265.082178</v>
      </c>
      <c r="H23">
        <v>258.78903200000002</v>
      </c>
      <c r="I23">
        <v>184.03946300000001</v>
      </c>
      <c r="J23">
        <f t="shared" si="0"/>
        <v>257.17833400000001</v>
      </c>
      <c r="K23">
        <f t="shared" si="2"/>
        <v>385.85458307846847</v>
      </c>
      <c r="L23">
        <f t="shared" si="3"/>
        <v>386.49308837803312</v>
      </c>
      <c r="M23">
        <f t="shared" si="4"/>
        <v>384.06505878219923</v>
      </c>
      <c r="N23">
        <f t="shared" si="5"/>
        <v>327.98232903764858</v>
      </c>
      <c r="O23">
        <f t="shared" si="6"/>
        <v>241.550431426253</v>
      </c>
      <c r="P23">
        <f>(J23/J22)*$S22</f>
        <v>344.01966750486395</v>
      </c>
      <c r="Q23">
        <f t="shared" si="8"/>
        <v>344.99419303457779</v>
      </c>
      <c r="R23" s="6">
        <f>'1. Data &amp; Confidence Interval'!AJ14</f>
        <v>286.26279606274994</v>
      </c>
      <c r="S23" s="10"/>
    </row>
    <row r="24" spans="1:21" x14ac:dyDescent="0.2">
      <c r="A24" s="159" t="s">
        <v>171</v>
      </c>
      <c r="B24" s="160"/>
      <c r="C24" s="160"/>
      <c r="D24" s="160"/>
      <c r="E24" s="101">
        <f t="shared" ref="E24:R24" si="9">CORREL(E6:E22,$S6:$S22)</f>
        <v>0.26008047001232926</v>
      </c>
      <c r="F24" s="101">
        <f t="shared" si="9"/>
        <v>0.2257807784521397</v>
      </c>
      <c r="G24" s="102">
        <f t="shared" si="9"/>
        <v>0.43400779693149788</v>
      </c>
      <c r="H24" s="102">
        <f t="shared" si="9"/>
        <v>0.39758642975609004</v>
      </c>
      <c r="I24" s="101">
        <f t="shared" si="9"/>
        <v>5.2215417026426444E-2</v>
      </c>
      <c r="J24" s="101">
        <f>CORREL(J6:J22,$S6:$S22)</f>
        <v>0.3259159140592281</v>
      </c>
      <c r="K24" s="101">
        <f t="shared" si="9"/>
        <v>0.29271224309445298</v>
      </c>
      <c r="L24" s="101">
        <f t="shared" si="9"/>
        <v>0.26012882228423762</v>
      </c>
      <c r="M24" s="101">
        <f t="shared" si="9"/>
        <v>0.45171139625805629</v>
      </c>
      <c r="N24" s="101">
        <f t="shared" si="9"/>
        <v>0.39574036591741868</v>
      </c>
      <c r="O24" s="101">
        <f t="shared" si="9"/>
        <v>0.39038939912607151</v>
      </c>
      <c r="P24" s="101">
        <f t="shared" si="9"/>
        <v>0.39482015209353483</v>
      </c>
      <c r="Q24" s="101">
        <f t="shared" si="9"/>
        <v>0.39394099908004271</v>
      </c>
      <c r="R24" s="102">
        <f t="shared" si="9"/>
        <v>0.83246949882959531</v>
      </c>
      <c r="S24" s="5"/>
    </row>
    <row r="26" spans="1:21" x14ac:dyDescent="0.2">
      <c r="A26" s="162" t="s">
        <v>76</v>
      </c>
      <c r="B26" s="163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10">A6</f>
        <v>SNN_REC</v>
      </c>
      <c r="B28" s="9" t="str">
        <f t="shared" si="10"/>
        <v>Orthopaedics Revenue</v>
      </c>
      <c r="C28" s="9" t="str">
        <f t="shared" si="10"/>
        <v>2017Q2</v>
      </c>
      <c r="D28" s="9">
        <f t="shared" si="10"/>
        <v>20170720</v>
      </c>
      <c r="E28" s="18">
        <f t="shared" ref="E28:E38" si="11">$S6/E6-1</f>
        <v>0.1125244644401513</v>
      </c>
      <c r="F28" s="18">
        <f t="shared" ref="E28:R39" si="12">$S6/F6-1</f>
        <v>0.133694336569393</v>
      </c>
      <c r="G28" s="18">
        <f t="shared" si="12"/>
        <v>0.23799838774201243</v>
      </c>
      <c r="H28" s="18">
        <f t="shared" si="12"/>
        <v>4.432037814456713E-2</v>
      </c>
      <c r="I28" s="18">
        <f t="shared" si="12"/>
        <v>-0.17571398190687637</v>
      </c>
      <c r="J28" s="18">
        <f t="shared" si="12"/>
        <v>5.0549105380764514E-2</v>
      </c>
      <c r="K28" s="18"/>
      <c r="L28" s="18"/>
      <c r="M28" s="18"/>
      <c r="N28" s="18"/>
      <c r="O28" s="18"/>
      <c r="P28" s="18"/>
      <c r="Q28" s="18"/>
      <c r="R28" s="40">
        <f t="shared" si="12"/>
        <v>-5.1510989010983277E-4</v>
      </c>
    </row>
    <row r="29" spans="1:21" x14ac:dyDescent="0.2">
      <c r="A29" s="9" t="str">
        <f t="shared" si="10"/>
        <v>SNN_REC</v>
      </c>
      <c r="B29" s="9" t="str">
        <f t="shared" si="10"/>
        <v>Orthopaedics Revenue</v>
      </c>
      <c r="C29" s="9" t="str">
        <f t="shared" si="10"/>
        <v>2017Q3</v>
      </c>
      <c r="D29" s="9">
        <f t="shared" si="10"/>
        <v>20171026</v>
      </c>
      <c r="E29" s="18">
        <f t="shared" si="11"/>
        <v>-9.2146107008517109E-2</v>
      </c>
      <c r="F29" s="18">
        <f t="shared" si="12"/>
        <v>-7.9669525145010245E-2</v>
      </c>
      <c r="G29" s="18">
        <f t="shared" si="12"/>
        <v>1.2791273957003968E-2</v>
      </c>
      <c r="H29" s="18">
        <f t="shared" si="12"/>
        <v>-2.14734850599958E-2</v>
      </c>
      <c r="I29" s="18">
        <f t="shared" si="12"/>
        <v>-0.13764037103281945</v>
      </c>
      <c r="J29" s="18">
        <f t="shared" si="12"/>
        <v>-6.6639869143906183E-2</v>
      </c>
      <c r="K29" s="18">
        <f t="shared" si="12"/>
        <v>-0.1839695017867885</v>
      </c>
      <c r="L29" s="18">
        <f t="shared" si="12"/>
        <v>-0.1882022824247771</v>
      </c>
      <c r="M29" s="18">
        <f t="shared" si="12"/>
        <v>-0.18191228358201994</v>
      </c>
      <c r="N29" s="18">
        <f t="shared" si="12"/>
        <v>-6.3001608109436891E-2</v>
      </c>
      <c r="O29" s="18">
        <f t="shared" si="12"/>
        <v>4.6189805526648531E-2</v>
      </c>
      <c r="P29" s="18">
        <f t="shared" si="12"/>
        <v>-0.11155021114619523</v>
      </c>
      <c r="Q29" s="18">
        <f t="shared" si="12"/>
        <v>-0.12130197321257286</v>
      </c>
      <c r="R29" s="40">
        <f t="shared" si="12"/>
        <v>-3.4714842366277088E-2</v>
      </c>
    </row>
    <row r="30" spans="1:21" x14ac:dyDescent="0.2">
      <c r="A30" s="9" t="str">
        <f t="shared" ref="A30:D30" si="13">A8</f>
        <v>SNN_REC</v>
      </c>
      <c r="B30" s="9" t="str">
        <f t="shared" si="13"/>
        <v>Orthopaedics Revenue</v>
      </c>
      <c r="C30" s="9" t="str">
        <f t="shared" si="13"/>
        <v>2017Q4</v>
      </c>
      <c r="D30" s="9">
        <f t="shared" si="13"/>
        <v>20180201</v>
      </c>
      <c r="E30" s="18">
        <f t="shared" si="11"/>
        <v>3.4529994967654742E-2</v>
      </c>
      <c r="F30" s="18">
        <f t="shared" si="12"/>
        <v>3.6937058400910328E-2</v>
      </c>
      <c r="G30" s="18">
        <f t="shared" si="12"/>
        <v>5.8840711303692839E-2</v>
      </c>
      <c r="H30" s="18">
        <f t="shared" si="12"/>
        <v>0.104095319401597</v>
      </c>
      <c r="I30" s="18">
        <f t="shared" si="12"/>
        <v>6.2947172615439584E-3</v>
      </c>
      <c r="J30" s="18">
        <f t="shared" si="12"/>
        <v>4.7143687175089655E-2</v>
      </c>
      <c r="K30" s="18">
        <f t="shared" si="12"/>
        <v>0.13953357798440424</v>
      </c>
      <c r="L30" s="18">
        <f t="shared" si="12"/>
        <v>0.12670077404998836</v>
      </c>
      <c r="M30" s="18">
        <f t="shared" si="12"/>
        <v>4.5467845676407048E-2</v>
      </c>
      <c r="N30" s="18">
        <f t="shared" si="12"/>
        <v>0.12832437603317426</v>
      </c>
      <c r="O30" s="18">
        <f t="shared" si="12"/>
        <v>0.16690842597391709</v>
      </c>
      <c r="P30" s="18">
        <f t="shared" si="12"/>
        <v>0.12190745303705186</v>
      </c>
      <c r="Q30" s="18">
        <f t="shared" si="12"/>
        <v>0.12020070050612364</v>
      </c>
      <c r="R30" s="40">
        <f t="shared" si="12"/>
        <v>-4.994670321303496E-2</v>
      </c>
    </row>
    <row r="31" spans="1:21" x14ac:dyDescent="0.2">
      <c r="A31" s="9" t="str">
        <f>A9</f>
        <v>SNN_REC</v>
      </c>
      <c r="B31" s="9" t="str">
        <f t="shared" ref="B31:D31" si="14">B9</f>
        <v>Orthopaedics Revenue</v>
      </c>
      <c r="C31" s="9" t="str">
        <f t="shared" si="14"/>
        <v>2018Q1</v>
      </c>
      <c r="D31" s="9">
        <f t="shared" si="14"/>
        <v>20180426</v>
      </c>
      <c r="E31" s="18">
        <f t="shared" si="11"/>
        <v>-9.1984583337657133E-2</v>
      </c>
      <c r="F31" s="18">
        <f t="shared" ref="F31:J31" si="15">$S9/F9-1</f>
        <v>-9.1657435150361843E-2</v>
      </c>
      <c r="G31" s="18">
        <f t="shared" si="15"/>
        <v>1.6382408423982087E-2</v>
      </c>
      <c r="H31" s="18">
        <f t="shared" si="15"/>
        <v>-5.3017709495986831E-2</v>
      </c>
      <c r="I31" s="18">
        <f t="shared" si="15"/>
        <v>-9.0491994607809656E-2</v>
      </c>
      <c r="J31" s="18">
        <f t="shared" si="15"/>
        <v>-6.3946018588721287E-2</v>
      </c>
      <c r="K31" s="18">
        <f t="shared" ref="K31:Q31" si="16">$S9/K9-1</f>
        <v>-0.12229184162926809</v>
      </c>
      <c r="L31" s="18">
        <f t="shared" si="16"/>
        <v>-0.12401378898501447</v>
      </c>
      <c r="M31" s="18">
        <f t="shared" si="16"/>
        <v>-4.0098857577391511E-2</v>
      </c>
      <c r="N31" s="18">
        <f t="shared" si="16"/>
        <v>-0.14230023996726737</v>
      </c>
      <c r="O31" s="18">
        <f t="shared" si="16"/>
        <v>-9.6181277918999442E-2</v>
      </c>
      <c r="P31" s="18">
        <f t="shared" si="16"/>
        <v>-0.10608831158931109</v>
      </c>
      <c r="Q31" s="18">
        <f t="shared" si="16"/>
        <v>-0.10630232188785893</v>
      </c>
      <c r="R31" s="40">
        <f>$S9/R9-1</f>
        <v>-7.5161180861893384E-2</v>
      </c>
    </row>
    <row r="32" spans="1:21" x14ac:dyDescent="0.2">
      <c r="A32" s="9" t="str">
        <f t="shared" ref="A32:D32" si="17">A10</f>
        <v>SNN_REC</v>
      </c>
      <c r="B32" s="9" t="str">
        <f t="shared" si="17"/>
        <v>Orthopaedics Revenue</v>
      </c>
      <c r="C32" s="9" t="str">
        <f t="shared" si="17"/>
        <v>2018Q2</v>
      </c>
      <c r="D32" s="9">
        <f t="shared" si="17"/>
        <v>20180719</v>
      </c>
      <c r="E32" s="18">
        <f t="shared" si="11"/>
        <v>2.2765997906603275E-2</v>
      </c>
      <c r="F32" s="18">
        <f t="shared" ref="F32:J32" si="18">$S10/F10-1</f>
        <v>2.3280184590284136E-2</v>
      </c>
      <c r="G32" s="18">
        <f t="shared" si="18"/>
        <v>0.12895346393139828</v>
      </c>
      <c r="H32" s="18">
        <f t="shared" si="18"/>
        <v>2.3456996117837692E-2</v>
      </c>
      <c r="I32" s="18">
        <f t="shared" si="18"/>
        <v>-1.2689743437893419E-2</v>
      </c>
      <c r="J32" s="18">
        <f t="shared" si="18"/>
        <v>3.5046728194328081E-2</v>
      </c>
      <c r="K32" s="18">
        <f t="shared" ref="K32:Q32" si="19">$S10/K10-1</f>
        <v>0.12637514643314907</v>
      </c>
      <c r="L32" s="18">
        <f t="shared" si="19"/>
        <v>0.12653554307418369</v>
      </c>
      <c r="M32" s="18">
        <f t="shared" si="19"/>
        <v>0.11075659572067043</v>
      </c>
      <c r="N32" s="18">
        <f t="shared" si="19"/>
        <v>8.0756215169686563E-2</v>
      </c>
      <c r="O32" s="18">
        <f t="shared" si="19"/>
        <v>8.5543228546258954E-2</v>
      </c>
      <c r="P32" s="18">
        <f t="shared" si="19"/>
        <v>0.10575538243403337</v>
      </c>
      <c r="Q32" s="18">
        <f t="shared" si="19"/>
        <v>0.10566404270505014</v>
      </c>
      <c r="R32" s="40">
        <f t="shared" ref="R32:R39" si="20">$S10/R10-1</f>
        <v>-3.6408163265306048E-2</v>
      </c>
    </row>
    <row r="33" spans="1:18" x14ac:dyDescent="0.2">
      <c r="A33" s="9" t="str">
        <f t="shared" ref="A33:D33" si="21">A11</f>
        <v>SNN_REC</v>
      </c>
      <c r="B33" s="9" t="str">
        <f t="shared" si="21"/>
        <v>Orthopaedics Revenue</v>
      </c>
      <c r="C33" s="9" t="str">
        <f t="shared" si="21"/>
        <v>2018Q3</v>
      </c>
      <c r="D33" s="9">
        <f t="shared" si="21"/>
        <v>20181025</v>
      </c>
      <c r="E33" s="18">
        <f t="shared" si="11"/>
        <v>1.9158586014125678E-2</v>
      </c>
      <c r="F33" s="18">
        <f t="shared" ref="F33:J33" si="22">$S11/F11-1</f>
        <v>1.381917057804749E-2</v>
      </c>
      <c r="G33" s="18">
        <f t="shared" si="22"/>
        <v>0.11369250350424775</v>
      </c>
      <c r="H33" s="18">
        <f t="shared" si="22"/>
        <v>1.4156396646173741E-2</v>
      </c>
      <c r="I33" s="18">
        <f t="shared" si="22"/>
        <v>9.272736715035812E-3</v>
      </c>
      <c r="J33" s="18">
        <f t="shared" si="22"/>
        <v>3.2558991615767585E-2</v>
      </c>
      <c r="K33" s="18">
        <f t="shared" ref="K33:Q33" si="23">$S11/K11-1</f>
        <v>-3.5271136309393825E-3</v>
      </c>
      <c r="L33" s="18">
        <f t="shared" si="23"/>
        <v>-9.2457707622128904E-3</v>
      </c>
      <c r="M33" s="18">
        <f t="shared" si="23"/>
        <v>-1.3517794058584776E-2</v>
      </c>
      <c r="N33" s="18">
        <f t="shared" si="23"/>
        <v>-9.0874355316763467E-3</v>
      </c>
      <c r="O33" s="18">
        <f t="shared" si="23"/>
        <v>2.2244760455952584E-2</v>
      </c>
      <c r="P33" s="18">
        <f t="shared" si="23"/>
        <v>-2.4035017075030307E-3</v>
      </c>
      <c r="Q33" s="18">
        <f t="shared" si="23"/>
        <v>-2.7248959270393946E-3</v>
      </c>
      <c r="R33" s="40">
        <f t="shared" si="20"/>
        <v>3.6423238025860449E-2</v>
      </c>
    </row>
    <row r="34" spans="1:18" x14ac:dyDescent="0.2">
      <c r="A34" s="9" t="str">
        <f t="shared" ref="A34:D34" si="24">A12</f>
        <v>SNN_REC</v>
      </c>
      <c r="B34" s="9" t="str">
        <f t="shared" si="24"/>
        <v>Orthopaedics Revenue</v>
      </c>
      <c r="C34" s="9" t="str">
        <f t="shared" si="24"/>
        <v>2018Q4</v>
      </c>
      <c r="D34" s="9">
        <f t="shared" si="24"/>
        <v>20190131</v>
      </c>
      <c r="E34" s="18">
        <f t="shared" si="11"/>
        <v>0.13562547118004042</v>
      </c>
      <c r="F34" s="18">
        <f t="shared" ref="F34:J34" si="25">$S12/F12-1</f>
        <v>0.12877685042967135</v>
      </c>
      <c r="G34" s="18">
        <f t="shared" si="25"/>
        <v>0.21431502852246553</v>
      </c>
      <c r="H34" s="18">
        <f t="shared" si="25"/>
        <v>0.12576766682306184</v>
      </c>
      <c r="I34" s="18">
        <f t="shared" si="25"/>
        <v>0.2117997479300755</v>
      </c>
      <c r="J34" s="18">
        <f t="shared" si="25"/>
        <v>0.16184559322258085</v>
      </c>
      <c r="K34" s="18">
        <f t="shared" ref="K34:Q34" si="26">$S12/K12-1</f>
        <v>0.1142774900434389</v>
      </c>
      <c r="L34" s="18">
        <f t="shared" si="26"/>
        <v>0.1133907142297168</v>
      </c>
      <c r="M34" s="18">
        <f t="shared" si="26"/>
        <v>9.035036574423172E-2</v>
      </c>
      <c r="N34" s="18">
        <f t="shared" si="26"/>
        <v>0.11005331184222422</v>
      </c>
      <c r="O34" s="18">
        <f t="shared" si="26"/>
        <v>0.20066628558126043</v>
      </c>
      <c r="P34" s="18">
        <f t="shared" si="26"/>
        <v>0.12520989372675251</v>
      </c>
      <c r="Q34" s="18">
        <f t="shared" si="26"/>
        <v>0.1246089555350165</v>
      </c>
      <c r="R34" s="40">
        <f t="shared" si="20"/>
        <v>4.6245568804382797E-2</v>
      </c>
    </row>
    <row r="35" spans="1:18" x14ac:dyDescent="0.2">
      <c r="A35" s="9" t="str">
        <f t="shared" ref="A35:D35" si="27">A13</f>
        <v>SNN_REC</v>
      </c>
      <c r="B35" s="9" t="str">
        <f t="shared" si="27"/>
        <v>Orthopaedics Revenue</v>
      </c>
      <c r="C35" s="9" t="str">
        <f t="shared" si="27"/>
        <v>2019Q1</v>
      </c>
      <c r="D35" s="9">
        <f t="shared" si="27"/>
        <v>20190425</v>
      </c>
      <c r="E35" s="18">
        <f t="shared" si="11"/>
        <v>-3.5558842089407627E-2</v>
      </c>
      <c r="F35" s="18">
        <f t="shared" ref="F35:J35" si="28">$S13/F13-1</f>
        <v>-4.0355503410530957E-2</v>
      </c>
      <c r="G35" s="18">
        <f t="shared" si="28"/>
        <v>3.7460571748635374E-3</v>
      </c>
      <c r="H35" s="18">
        <f t="shared" si="28"/>
        <v>-3.8477230577503518E-2</v>
      </c>
      <c r="I35" s="18">
        <f t="shared" si="28"/>
        <v>0.11260661453154186</v>
      </c>
      <c r="J35" s="18">
        <f t="shared" si="28"/>
        <v>-2.7917075457634111E-3</v>
      </c>
      <c r="K35" s="18">
        <f t="shared" ref="K35:Q35" si="29">$S13/K13-1</f>
        <v>-0.15074011424873091</v>
      </c>
      <c r="L35" s="18">
        <f t="shared" si="29"/>
        <v>-0.14983683779112045</v>
      </c>
      <c r="M35" s="18">
        <f t="shared" si="29"/>
        <v>-0.17340555490268017</v>
      </c>
      <c r="N35" s="18">
        <f t="shared" si="29"/>
        <v>-0.14589590929011809</v>
      </c>
      <c r="O35" s="18">
        <f t="shared" si="29"/>
        <v>-8.1856043928024924E-2</v>
      </c>
      <c r="P35" s="18">
        <f t="shared" si="29"/>
        <v>-0.14170325362399827</v>
      </c>
      <c r="Q35" s="18">
        <f t="shared" si="29"/>
        <v>-0.14145812246992362</v>
      </c>
      <c r="R35" s="40">
        <f t="shared" si="20"/>
        <v>-2.0517241379310325E-2</v>
      </c>
    </row>
    <row r="36" spans="1:18" x14ac:dyDescent="0.2">
      <c r="A36" s="9" t="str">
        <f t="shared" ref="A36:D36" si="30">A14</f>
        <v>SNN_REC</v>
      </c>
      <c r="B36" s="9" t="str">
        <f t="shared" si="30"/>
        <v>Orthopaedics Revenue</v>
      </c>
      <c r="C36" s="9" t="str">
        <f t="shared" si="30"/>
        <v>2019Q2</v>
      </c>
      <c r="D36" s="9">
        <f t="shared" si="30"/>
        <v>20190725</v>
      </c>
      <c r="E36" s="18">
        <f t="shared" si="11"/>
        <v>-7.5031578874130256E-2</v>
      </c>
      <c r="F36" s="18">
        <f t="shared" ref="F36:J36" si="31">$S14/F14-1</f>
        <v>-6.5283317078741465E-2</v>
      </c>
      <c r="G36" s="18">
        <f>$S14/G14-1</f>
        <v>-6.4675860636009941E-2</v>
      </c>
      <c r="H36" s="18">
        <f t="shared" si="31"/>
        <v>-6.8144209602225558E-3</v>
      </c>
      <c r="I36" s="18">
        <f t="shared" si="31"/>
        <v>0.22441053727182858</v>
      </c>
      <c r="J36" s="18">
        <f t="shared" si="31"/>
        <v>-8.6622421745635725E-3</v>
      </c>
      <c r="K36" s="18">
        <f t="shared" ref="K36:Q36" si="32">$S14/K14-1</f>
        <v>-4.0928092357897849E-2</v>
      </c>
      <c r="L36" s="18">
        <f t="shared" si="32"/>
        <v>-2.5976091934880929E-2</v>
      </c>
      <c r="M36" s="18">
        <f t="shared" si="32"/>
        <v>-6.8166561972311301E-2</v>
      </c>
      <c r="N36" s="18">
        <f t="shared" si="32"/>
        <v>3.2929859410711693E-2</v>
      </c>
      <c r="O36" s="18">
        <f t="shared" si="32"/>
        <v>0.10048827795919713</v>
      </c>
      <c r="P36" s="18">
        <f t="shared" si="32"/>
        <v>-5.8869693254879341E-3</v>
      </c>
      <c r="Q36" s="18">
        <f t="shared" si="32"/>
        <v>-4.1867344723177657E-3</v>
      </c>
      <c r="R36" s="40">
        <f t="shared" si="20"/>
        <v>5.0289495450785759E-2</v>
      </c>
    </row>
    <row r="37" spans="1:18" x14ac:dyDescent="0.2">
      <c r="A37" s="9" t="str">
        <f t="shared" ref="A37:D37" si="33">A15</f>
        <v>SNN_REC</v>
      </c>
      <c r="B37" s="9" t="str">
        <f t="shared" si="33"/>
        <v>Orthopaedics Revenue</v>
      </c>
      <c r="C37" s="9" t="str">
        <f t="shared" si="33"/>
        <v>2019Q3</v>
      </c>
      <c r="D37" s="9">
        <f t="shared" si="33"/>
        <v>20191024</v>
      </c>
      <c r="E37" s="18">
        <f t="shared" si="11"/>
        <v>-7.7990771673779768E-2</v>
      </c>
      <c r="F37" s="18">
        <f t="shared" ref="F37:J37" si="34">$S15/F15-1</f>
        <v>-8.7879728163964721E-2</v>
      </c>
      <c r="G37" s="18">
        <f>$S15/G15-1</f>
        <v>-4.0261193064241363E-2</v>
      </c>
      <c r="H37" s="18">
        <f t="shared" si="34"/>
        <v>-3.1886782900921173E-2</v>
      </c>
      <c r="I37" s="18">
        <f t="shared" si="34"/>
        <v>0.19555105432411324</v>
      </c>
      <c r="J37" s="18">
        <f t="shared" si="34"/>
        <v>-1.8116932519777418E-2</v>
      </c>
      <c r="K37" s="18">
        <f t="shared" ref="K37:Q37" si="35">$S15/K15-1</f>
        <v>-3.1992365707441683E-3</v>
      </c>
      <c r="L37" s="18">
        <f t="shared" si="35"/>
        <v>-2.4174609802194769E-2</v>
      </c>
      <c r="M37" s="18">
        <f t="shared" si="35"/>
        <v>2.6102894755148931E-2</v>
      </c>
      <c r="N37" s="18">
        <f t="shared" si="35"/>
        <v>-2.5244387826229731E-2</v>
      </c>
      <c r="O37" s="18">
        <f t="shared" si="35"/>
        <v>-2.3570103383803609E-2</v>
      </c>
      <c r="P37" s="18">
        <f t="shared" si="35"/>
        <v>-9.5373047889888429E-3</v>
      </c>
      <c r="Q37" s="18">
        <f t="shared" si="35"/>
        <v>-1.0262017946545909E-2</v>
      </c>
      <c r="R37" s="40">
        <f t="shared" si="20"/>
        <v>2.9872916322825516E-2</v>
      </c>
    </row>
    <row r="38" spans="1:18" x14ac:dyDescent="0.2">
      <c r="A38" s="9" t="str">
        <f t="shared" ref="A38:D38" si="36">A16</f>
        <v>SNN_REC</v>
      </c>
      <c r="B38" s="9" t="str">
        <f t="shared" si="36"/>
        <v>Orthopaedics Revenue</v>
      </c>
      <c r="C38" s="9" t="str">
        <f t="shared" si="36"/>
        <v>2019Q4</v>
      </c>
      <c r="D38" s="9">
        <f t="shared" si="36"/>
        <v>20200213</v>
      </c>
      <c r="E38" s="18">
        <f t="shared" si="11"/>
        <v>7.0972542976836639E-2</v>
      </c>
      <c r="F38" s="18">
        <f t="shared" ref="F38:J38" si="37">$S16/F16-1</f>
        <v>8.7360166584355525E-2</v>
      </c>
      <c r="G38" s="18">
        <f t="shared" si="37"/>
        <v>7.2841870095664341E-2</v>
      </c>
      <c r="H38" s="18">
        <f t="shared" si="37"/>
        <v>8.5375997710976481E-2</v>
      </c>
      <c r="I38" s="18">
        <f t="shared" si="37"/>
        <v>0.3799311540879311</v>
      </c>
      <c r="J38" s="18">
        <f t="shared" si="37"/>
        <v>0.12828445595365778</v>
      </c>
      <c r="K38" s="18">
        <f t="shared" ref="K38:Q38" si="38">$S16/K16-1</f>
        <v>0.16156380009453764</v>
      </c>
      <c r="L38" s="18">
        <f t="shared" si="38"/>
        <v>0.19212367070361736</v>
      </c>
      <c r="M38" s="18">
        <f t="shared" si="38"/>
        <v>0.11784775434997741</v>
      </c>
      <c r="N38" s="18">
        <f t="shared" si="38"/>
        <v>0.1211250694038366</v>
      </c>
      <c r="O38" s="18">
        <f t="shared" si="38"/>
        <v>0.15422185367738606</v>
      </c>
      <c r="P38" s="18">
        <f t="shared" si="38"/>
        <v>0.14910267151173207</v>
      </c>
      <c r="Q38" s="18">
        <f t="shared" si="38"/>
        <v>0.14878406187532889</v>
      </c>
      <c r="R38" s="40">
        <f t="shared" si="20"/>
        <v>5.4164239953407245E-2</v>
      </c>
    </row>
    <row r="39" spans="1:18" x14ac:dyDescent="0.2">
      <c r="A39" s="9" t="str">
        <f t="shared" ref="A39:D39" si="39">A17</f>
        <v>SNN_REC</v>
      </c>
      <c r="B39" s="9" t="str">
        <f t="shared" si="39"/>
        <v>Orthopaedics Revenue</v>
      </c>
      <c r="C39" s="9" t="str">
        <f t="shared" si="39"/>
        <v>2020Q1</v>
      </c>
      <c r="D39" s="9">
        <f t="shared" si="39"/>
        <v>20200430</v>
      </c>
      <c r="E39" s="18">
        <f t="shared" si="12"/>
        <v>-7.2683753103174764E-2</v>
      </c>
      <c r="F39" s="18">
        <f t="shared" ref="F39:J39" si="40">$S17/F17-1</f>
        <v>-7.6050696014747676E-2</v>
      </c>
      <c r="G39" s="18">
        <f t="shared" ref="G39:G44" si="41">$S17/G17-1</f>
        <v>-2.1532290683158095E-2</v>
      </c>
      <c r="H39" s="18">
        <f t="shared" si="40"/>
        <v>-6.1782377433540092E-2</v>
      </c>
      <c r="I39" s="18">
        <f t="shared" si="40"/>
        <v>0.13451609131644715</v>
      </c>
      <c r="J39" s="18">
        <f t="shared" si="40"/>
        <v>-2.5337563153926768E-2</v>
      </c>
      <c r="K39" s="18">
        <f t="shared" ref="K39:Q39" si="42">$S17/K17-1</f>
        <v>-0.13413630164664125</v>
      </c>
      <c r="L39" s="18">
        <f t="shared" si="42"/>
        <v>-0.15028218581191344</v>
      </c>
      <c r="M39" s="18">
        <f t="shared" si="42"/>
        <v>-8.7966515298668502E-2</v>
      </c>
      <c r="N39" s="18">
        <f t="shared" si="42"/>
        <v>-0.13558285373443746</v>
      </c>
      <c r="O39" s="18">
        <f t="shared" si="42"/>
        <v>-0.17784587444414335</v>
      </c>
      <c r="P39" s="18">
        <f t="shared" si="42"/>
        <v>-0.13615539795568576</v>
      </c>
      <c r="Q39" s="18">
        <f t="shared" si="42"/>
        <v>-0.13780838047508093</v>
      </c>
      <c r="R39" s="40">
        <f t="shared" si="20"/>
        <v>-7.0400000000000129E-2</v>
      </c>
    </row>
    <row r="40" spans="1:18" x14ac:dyDescent="0.2">
      <c r="A40" s="9" t="str">
        <f t="shared" ref="A40:D40" si="43">A18</f>
        <v>SNN_REC</v>
      </c>
      <c r="B40" s="9" t="str">
        <f t="shared" si="43"/>
        <v>Orthopaedics Revenue</v>
      </c>
      <c r="C40" s="9" t="str">
        <f t="shared" si="43"/>
        <v>2020Q2</v>
      </c>
      <c r="D40" s="9">
        <f t="shared" si="43"/>
        <v>20200723</v>
      </c>
      <c r="E40" s="18">
        <f>$S18/E18-1</f>
        <v>-0.17893048034201076</v>
      </c>
      <c r="F40" s="18">
        <f t="shared" ref="F40:J40" si="44">$S18/F18-1</f>
        <v>-0.17912022130874283</v>
      </c>
      <c r="G40" s="18">
        <f t="shared" si="41"/>
        <v>-5.3674702514916572E-2</v>
      </c>
      <c r="H40" s="18">
        <f t="shared" si="44"/>
        <v>-0.1693749044168199</v>
      </c>
      <c r="I40" s="18">
        <f t="shared" si="44"/>
        <v>-1.5001710617479125E-2</v>
      </c>
      <c r="J40" s="18">
        <f t="shared" si="44"/>
        <v>-0.12464843445573381</v>
      </c>
      <c r="K40" s="18">
        <f t="shared" ref="K40:Q40" si="45">$S18/K18-1</f>
        <v>-0.11457442657171213</v>
      </c>
      <c r="L40" s="18">
        <f t="shared" si="45"/>
        <v>-0.11155322575538229</v>
      </c>
      <c r="M40" s="18">
        <f t="shared" si="45"/>
        <v>-3.2849742025927497E-2</v>
      </c>
      <c r="N40" s="18">
        <f t="shared" si="45"/>
        <v>-0.11467758054785249</v>
      </c>
      <c r="O40" s="18">
        <f t="shared" si="45"/>
        <v>-0.13178993500253644</v>
      </c>
      <c r="P40" s="18">
        <f t="shared" si="45"/>
        <v>-0.10189258100801424</v>
      </c>
      <c r="Q40" s="18">
        <f t="shared" si="45"/>
        <v>-0.10229434769501089</v>
      </c>
      <c r="R40" s="40">
        <f t="shared" ref="R40" si="46">$S18/R18-1</f>
        <v>0.11029782937910149</v>
      </c>
    </row>
    <row r="41" spans="1:18" x14ac:dyDescent="0.2">
      <c r="A41" s="9" t="str">
        <f t="shared" ref="A41:D41" si="47">A19</f>
        <v>SNN_REC</v>
      </c>
      <c r="B41" s="9" t="str">
        <f t="shared" si="47"/>
        <v>Orthopaedics Revenue</v>
      </c>
      <c r="C41" s="9" t="str">
        <f t="shared" si="47"/>
        <v>2020Q3</v>
      </c>
      <c r="D41" s="9">
        <f t="shared" si="47"/>
        <v>20201022</v>
      </c>
      <c r="E41" s="18">
        <f>$S19/E19-1</f>
        <v>0.14485499099272636</v>
      </c>
      <c r="F41" s="18">
        <f t="shared" ref="F41:I41" si="48">$S19/F19-1</f>
        <v>0.12500024711522251</v>
      </c>
      <c r="G41" s="18">
        <f t="shared" si="41"/>
        <v>7.8488610287050786E-2</v>
      </c>
      <c r="H41" s="18">
        <f t="shared" si="48"/>
        <v>0.19511500327648501</v>
      </c>
      <c r="I41" s="18">
        <f t="shared" si="48"/>
        <v>0.40273361488307047</v>
      </c>
      <c r="J41" s="18">
        <f>$S19/J19-1</f>
        <v>0.17946265898325509</v>
      </c>
      <c r="K41" s="18">
        <f t="shared" ref="K41:Q41" si="49">$S19/K19-1</f>
        <v>0.39434598847319013</v>
      </c>
      <c r="L41" s="18">
        <f t="shared" si="49"/>
        <v>0.3704811305119855</v>
      </c>
      <c r="M41" s="18">
        <f t="shared" si="49"/>
        <v>0.13965949462959437</v>
      </c>
      <c r="N41" s="18">
        <f t="shared" si="49"/>
        <v>0.43881398434921759</v>
      </c>
      <c r="O41" s="18">
        <f t="shared" si="49"/>
        <v>0.42409751367428328</v>
      </c>
      <c r="P41" s="18">
        <f t="shared" si="49"/>
        <v>0.34741594738555359</v>
      </c>
      <c r="Q41" s="18">
        <f t="shared" si="49"/>
        <v>0.34418080178683863</v>
      </c>
      <c r="R41" s="40">
        <f>$S19/R19-1</f>
        <v>8.8489457310749975E-2</v>
      </c>
    </row>
    <row r="42" spans="1:18" x14ac:dyDescent="0.2">
      <c r="A42" s="9" t="str">
        <f t="shared" ref="A42:D42" si="50">A20</f>
        <v>SNN_REC</v>
      </c>
      <c r="B42" s="9" t="str">
        <f t="shared" si="50"/>
        <v>Orthopaedics Revenue</v>
      </c>
      <c r="C42" s="9" t="str">
        <f t="shared" si="50"/>
        <v>2020Q4</v>
      </c>
      <c r="D42" s="9">
        <f t="shared" si="50"/>
        <v>20210211</v>
      </c>
      <c r="E42" s="18">
        <f>$S20/E20-1</f>
        <v>0.10668701129055136</v>
      </c>
      <c r="F42" s="18">
        <f t="shared" ref="F42:I42" si="51">$S20/F20-1</f>
        <v>0.12882896551662815</v>
      </c>
      <c r="G42" s="18">
        <f t="shared" si="41"/>
        <v>7.0702911546284275E-2</v>
      </c>
      <c r="H42" s="18">
        <f t="shared" si="51"/>
        <v>9.1871482630546897E-2</v>
      </c>
      <c r="I42" s="18">
        <f t="shared" si="51"/>
        <v>0.40606260814084916</v>
      </c>
      <c r="J42" s="18">
        <f>$S20/J20-1</f>
        <v>0.14929262442732139</v>
      </c>
      <c r="K42" s="18">
        <f t="shared" ref="K42:Q42" si="52">$S20/K20-1</f>
        <v>-3.3338702283228772E-2</v>
      </c>
      <c r="L42" s="18">
        <f t="shared" si="52"/>
        <v>3.4033044981307548E-3</v>
      </c>
      <c r="M42" s="18">
        <f t="shared" si="52"/>
        <v>-7.2190829522937872E-3</v>
      </c>
      <c r="N42" s="18">
        <f t="shared" si="52"/>
        <v>-8.6387937866137854E-2</v>
      </c>
      <c r="O42" s="18">
        <f t="shared" si="52"/>
        <v>2.3732184232685416E-3</v>
      </c>
      <c r="P42" s="18">
        <f t="shared" si="52"/>
        <v>-2.5579474115731138E-2</v>
      </c>
      <c r="Q42" s="18">
        <f t="shared" si="52"/>
        <v>-2.5469066635548376E-2</v>
      </c>
      <c r="R42" s="40">
        <f>$S20/R20-1</f>
        <v>-7.3849878934624691E-2</v>
      </c>
    </row>
    <row r="43" spans="1:18" x14ac:dyDescent="0.2">
      <c r="A43" s="9" t="str">
        <f t="shared" ref="A43:D43" si="53">A21</f>
        <v>SNN_REC</v>
      </c>
      <c r="B43" s="9" t="str">
        <f t="shared" si="53"/>
        <v>Orthopaedics Revenue</v>
      </c>
      <c r="C43" s="9" t="str">
        <f t="shared" si="53"/>
        <v>2021Q1</v>
      </c>
      <c r="D43" s="9">
        <f t="shared" si="53"/>
        <v>20210422</v>
      </c>
      <c r="E43" s="18">
        <f>$S21/E21-1</f>
        <v>0.45184547428403277</v>
      </c>
      <c r="F43" s="18">
        <f t="shared" ref="F43:J43" si="54">$S21/F21-1</f>
        <v>0.48958589182532908</v>
      </c>
      <c r="G43" s="18">
        <f t="shared" si="41"/>
        <v>0.58339981650440409</v>
      </c>
      <c r="H43" s="18">
        <f t="shared" si="54"/>
        <v>0.330751178751719</v>
      </c>
      <c r="I43" s="18">
        <f t="shared" si="54"/>
        <v>0.30686420388517677</v>
      </c>
      <c r="J43" s="18">
        <f t="shared" si="54"/>
        <v>0.42518997929557556</v>
      </c>
      <c r="K43" s="18">
        <f t="shared" ref="K43:Q43" si="55">$S21/K21-1</f>
        <v>0.31188444381485825</v>
      </c>
      <c r="L43" s="18">
        <f t="shared" si="55"/>
        <v>0.31958510751324898</v>
      </c>
      <c r="M43" s="18">
        <f t="shared" si="55"/>
        <v>0.47884142223699988</v>
      </c>
      <c r="N43" s="18">
        <f t="shared" si="55"/>
        <v>0.21878004867904499</v>
      </c>
      <c r="O43" s="18">
        <f t="shared" si="55"/>
        <v>-7.0550488777193388E-2</v>
      </c>
      <c r="P43" s="18">
        <f t="shared" si="55"/>
        <v>0.24005840549592894</v>
      </c>
      <c r="Q43" s="18">
        <f t="shared" si="55"/>
        <v>0.22471646258971512</v>
      </c>
      <c r="R43" s="40">
        <f>$S21/R21-1</f>
        <v>0.16068190061661225</v>
      </c>
    </row>
    <row r="44" spans="1:18" x14ac:dyDescent="0.2">
      <c r="A44" s="9" t="str">
        <f t="shared" ref="A44:D44" si="56">A22</f>
        <v>SNN_REC</v>
      </c>
      <c r="B44" s="9" t="str">
        <f t="shared" si="56"/>
        <v>Orthopaedics Revenue</v>
      </c>
      <c r="C44" s="9" t="str">
        <f t="shared" si="56"/>
        <v>2021Q2</v>
      </c>
      <c r="D44" s="9">
        <f t="shared" si="56"/>
        <v>20210722</v>
      </c>
      <c r="E44" s="18">
        <f>$S22/E22-1</f>
        <v>0.32168573547533974</v>
      </c>
      <c r="F44" s="18">
        <f t="shared" ref="F44:J44" si="57">$S22/F22-1</f>
        <v>0.3511866435669162</v>
      </c>
      <c r="G44" s="18">
        <f t="shared" si="41"/>
        <v>0.44885281115428</v>
      </c>
      <c r="H44" s="18">
        <f t="shared" si="57"/>
        <v>0.26737337553644291</v>
      </c>
      <c r="I44" s="18">
        <f t="shared" si="57"/>
        <v>0.31249258984336947</v>
      </c>
      <c r="J44" s="18">
        <f t="shared" si="57"/>
        <v>0.33766971017420144</v>
      </c>
      <c r="K44" s="18">
        <f t="shared" ref="K44:Q44" si="58">$S22/K22-1</f>
        <v>-8.9651234318087747E-2</v>
      </c>
      <c r="L44" s="18">
        <f t="shared" si="58"/>
        <v>-9.2911223862908399E-2</v>
      </c>
      <c r="M44" s="18">
        <f t="shared" si="58"/>
        <v>-8.4973488027273558E-2</v>
      </c>
      <c r="N44" s="18">
        <f t="shared" si="58"/>
        <v>-4.7625584878103422E-2</v>
      </c>
      <c r="O44" s="18">
        <f t="shared" si="58"/>
        <v>4.3067871485498177E-3</v>
      </c>
      <c r="P44" s="18">
        <f t="shared" si="58"/>
        <v>-6.1409545669576238E-2</v>
      </c>
      <c r="Q44" s="18">
        <f t="shared" si="58"/>
        <v>-6.3219979313779984E-2</v>
      </c>
      <c r="R44" s="40">
        <f>$S22/R22-1</f>
        <v>8.9826142949130494E-2</v>
      </c>
    </row>
    <row r="45" spans="1:18" x14ac:dyDescent="0.2">
      <c r="A45" s="168" t="s">
        <v>77</v>
      </c>
      <c r="B45" s="168"/>
      <c r="C45" s="164"/>
      <c r="D45" s="165"/>
      <c r="E45" s="73" cm="1">
        <f t="array" ref="E45">SUM(ABS(E28:E44))/COUNT(E28:E44)</f>
        <v>0.12029272858569057</v>
      </c>
      <c r="F45" s="73" cm="1">
        <f t="array" ref="F45">SUM(ABS(F28:F44))/COUNT(F28:F44)</f>
        <v>0.12579329067346223</v>
      </c>
      <c r="G45" s="73" cm="1">
        <f t="array" ref="G45">SUM(ABS(G28:G44))/COUNT(G28:G44)</f>
        <v>0.13065587653209859</v>
      </c>
      <c r="H45" s="75" cm="1">
        <f t="array" ref="H45">SUM(ABS(H28:H44))/COUNT(H28:H44)</f>
        <v>9.7947688581435141E-2</v>
      </c>
      <c r="I45" s="73" cm="1">
        <f t="array" ref="I45">SUM(ABS(I28:I44))/COUNT(I28:I44)</f>
        <v>0.18435726304669772</v>
      </c>
      <c r="J45" s="73" cm="1">
        <f t="array" ref="J45">SUM(ABS(J28:J44))/COUNT(J28:J44)</f>
        <v>0.10924625305911378</v>
      </c>
      <c r="K45" s="73" cm="1">
        <f t="array" ref="K45">SUM(ABS(K28:K44))/COUNT(K28:K44)</f>
        <v>0.13277106324297605</v>
      </c>
      <c r="L45" s="73" cm="1">
        <f t="array" ref="L45">SUM(ABS(L28:L44))/COUNT(L28:L44)</f>
        <v>0.13302601635695477</v>
      </c>
      <c r="M45" s="73" cm="1">
        <f t="array" ref="M45">SUM(ABS(M28:M44))/COUNT(M28:M44)</f>
        <v>0.10619601584438629</v>
      </c>
      <c r="N45" s="73" cm="1">
        <f t="array" ref="N45">SUM(ABS(N28:N44))/COUNT(N28:N44)</f>
        <v>0.11878665016494722</v>
      </c>
      <c r="O45" s="73" cm="1">
        <f t="array" ref="O45">SUM(ABS(O28:O44))/COUNT(O28:O44)</f>
        <v>0.11180211752633896</v>
      </c>
      <c r="P45" s="73" cm="1">
        <f t="array" ref="P45">SUM(ABS(P28:P44))/COUNT(P28:P44)</f>
        <v>0.11197851903259651</v>
      </c>
      <c r="Q45" s="73" cm="1">
        <f t="array" ref="Q45">SUM(ABS(Q28:Q44))/COUNT(Q28:Q44)</f>
        <v>0.11144892906460947</v>
      </c>
      <c r="R45" s="75" cm="1">
        <f t="array" ref="R45">SUM(ABS(R28:R44))/COUNT(R28:R44)</f>
        <v>6.0459053454318387E-2</v>
      </c>
    </row>
    <row r="46" spans="1:18" x14ac:dyDescent="0.2">
      <c r="A46" s="169" t="s">
        <v>78</v>
      </c>
      <c r="B46" s="169"/>
      <c r="C46" s="166"/>
      <c r="D46" s="167"/>
      <c r="E46" s="74" cm="1">
        <f t="array" ref="E46">SQRT(SUM(POWER(E28:E44,2))/COUNT(E28:E44))</f>
        <v>0.16186591451053031</v>
      </c>
      <c r="F46" s="74" cm="1">
        <f t="array" ref="F46">SQRT(SUM(POWER(F28:F44,2))/COUNT(F28:F44))</f>
        <v>0.17246730431713647</v>
      </c>
      <c r="G46" s="74" cm="1">
        <f t="array" ref="G46">SQRT(SUM(POWER(G28:G44,2))/COUNT(G28:G44))</f>
        <v>0.20342297935281101</v>
      </c>
      <c r="H46" s="76" cm="1">
        <f t="array" ref="H46">SQRT(SUM(POWER(H28:H44,2))/COUNT(H28:H44))</f>
        <v>0.13336659774738868</v>
      </c>
      <c r="I46" s="74" cm="1">
        <f t="array" ref="I46">SQRT(SUM(POWER(I28:I44,2))/COUNT(I28:I44))</f>
        <v>0.22829304909677708</v>
      </c>
      <c r="J46" s="74" cm="1">
        <f t="array" ref="J46">SQRT(SUM(POWER(J28:J44,2))/COUNT(J28:J44))</f>
        <v>0.15795377665237148</v>
      </c>
      <c r="K46" s="74" cm="1">
        <f t="array" ref="K46">SQRT(SUM(POWER(K28:K44,2))/COUNT(K28:K44))</f>
        <v>0.16599553198984071</v>
      </c>
      <c r="L46" s="74" cm="1">
        <f t="array" ref="L46">SQRT(SUM(POWER(L28:L44,2))/COUNT(L28:L44))</f>
        <v>0.16573555434782372</v>
      </c>
      <c r="M46" s="74" cm="1">
        <f t="array" ref="M46">SQRT(SUM(POWER(M28:M44,2))/COUNT(M28:M44))</f>
        <v>0.15238716940184641</v>
      </c>
      <c r="N46" s="74" cm="1">
        <f t="array" ref="N46">SQRT(SUM(POWER(N28:N44,2))/COUNT(N28:N44))</f>
        <v>0.15386018238534199</v>
      </c>
      <c r="O46" s="74" cm="1">
        <f t="array" ref="O46">SQRT(SUM(POWER(O28:O44,2))/COUNT(O28:O44))</f>
        <v>0.1504822293374761</v>
      </c>
      <c r="P46" s="74" cm="1">
        <f t="array" ref="P46">SQRT(SUM(POWER(P28:P44,2))/COUNT(P28:P44))</f>
        <v>0.14131875492997212</v>
      </c>
      <c r="Q46" s="74" cm="1">
        <f t="array" ref="Q46">SQRT(SUM(POWER(Q28:Q44,2))/COUNT(Q28:Q44))</f>
        <v>0.13975219991106264</v>
      </c>
      <c r="R46" s="76" cm="1">
        <f t="array" ref="R46">SQRT(SUM(POWER(R28:R44,2))/COUNT(R28:R44))</f>
        <v>7.0797821789403415E-2</v>
      </c>
    </row>
    <row r="47" spans="1:18" x14ac:dyDescent="0.2">
      <c r="G47" s="3"/>
      <c r="J47" s="3"/>
    </row>
    <row r="48" spans="1:18" x14ac:dyDescent="0.2">
      <c r="B48" t="s">
        <v>158</v>
      </c>
      <c r="G48" s="3"/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0" t="s">
        <v>82</v>
      </c>
      <c r="C7" s="170"/>
      <c r="D7" s="170" t="s">
        <v>112</v>
      </c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6"/>
      <c r="P7" s="6"/>
      <c r="Q7" s="6"/>
    </row>
    <row r="8" spans="1:17" ht="15" x14ac:dyDescent="0.2">
      <c r="A8" s="67" t="s">
        <v>175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5.9175688407975553E-2</v>
      </c>
      <c r="D9" s="2">
        <v>0.103540318221068</v>
      </c>
      <c r="E9" s="2">
        <v>7.8739016648189622E-2</v>
      </c>
      <c r="F9" s="2">
        <v>6.2122218246317952E-2</v>
      </c>
      <c r="G9" s="2">
        <v>6.4870954182939713E-2</v>
      </c>
      <c r="H9" s="2">
        <v>7.8591118783991082E-2</v>
      </c>
      <c r="I9" s="2">
        <v>7.6912679884414165E-2</v>
      </c>
      <c r="J9" s="2">
        <v>6.4677017761612179E-2</v>
      </c>
      <c r="K9" s="2">
        <v>6.2377533135949202E-2</v>
      </c>
      <c r="L9" s="2">
        <v>9.7873083463591387E-2</v>
      </c>
      <c r="M9" s="2">
        <v>0.1589100169803653</v>
      </c>
      <c r="O9" s="6"/>
      <c r="P9" s="6"/>
      <c r="Q9" s="6"/>
    </row>
    <row r="10" spans="1:17" ht="15" x14ac:dyDescent="0.2">
      <c r="B10" s="71" t="s">
        <v>96</v>
      </c>
      <c r="C10" s="2">
        <v>6.9293489202227346E-2</v>
      </c>
      <c r="D10" s="2">
        <v>0.12610107682561791</v>
      </c>
      <c r="E10" s="2">
        <v>8.629423161030006E-2</v>
      </c>
      <c r="F10" s="2">
        <v>6.8858866162606905E-2</v>
      </c>
      <c r="G10" s="2">
        <v>7.5516484665439115E-2</v>
      </c>
      <c r="H10" s="2">
        <v>8.6140504798448356E-2</v>
      </c>
      <c r="I10" s="2">
        <v>8.4623240425544505E-2</v>
      </c>
      <c r="J10" s="2">
        <v>7.540195121261653E-2</v>
      </c>
      <c r="K10" s="2">
        <v>7.3053289530101415E-2</v>
      </c>
      <c r="L10" s="2">
        <v>0.1144953746876673</v>
      </c>
      <c r="M10" s="2">
        <v>0.26135957427761491</v>
      </c>
      <c r="O10" s="6"/>
      <c r="P10" s="6"/>
      <c r="Q10" s="6"/>
    </row>
    <row r="11" spans="1:17" ht="15" x14ac:dyDescent="0.2">
      <c r="B11" s="71" t="s">
        <v>97</v>
      </c>
      <c r="C11" s="2">
        <v>-4.4312630844382528E-2</v>
      </c>
      <c r="D11" s="2">
        <v>-8.420687522092607E-2</v>
      </c>
      <c r="E11" s="2">
        <v>-6.4567490024668217E-2</v>
      </c>
      <c r="F11" s="2">
        <v>-6.2626958911750075E-2</v>
      </c>
      <c r="G11" s="2">
        <v>-5.4845010752655472E-2</v>
      </c>
      <c r="H11" s="2">
        <v>-6.4571802363923236E-2</v>
      </c>
      <c r="I11" s="2">
        <v>-6.5134486919061541E-2</v>
      </c>
      <c r="J11" s="2">
        <v>-5.495541028892581E-2</v>
      </c>
      <c r="K11" s="2">
        <v>-5.4850655795405379E-2</v>
      </c>
      <c r="L11" s="2">
        <v>-7.7066010225650516E-2</v>
      </c>
      <c r="M11" s="2">
        <v>-8.7544682292700848E-2</v>
      </c>
      <c r="O11" s="6"/>
      <c r="P11" s="6"/>
      <c r="Q11" s="6"/>
    </row>
    <row r="12" spans="1:17" ht="15" x14ac:dyDescent="0.2">
      <c r="B12" s="9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102</v>
      </c>
      <c r="B15" t="s">
        <v>105</v>
      </c>
      <c r="O15" s="6"/>
      <c r="P15" s="6"/>
      <c r="Q15" s="6"/>
    </row>
    <row r="16" spans="1:17" x14ac:dyDescent="0.2">
      <c r="B16" t="s">
        <v>139</v>
      </c>
      <c r="H16" s="68" t="s">
        <v>106</v>
      </c>
      <c r="O16" s="6"/>
      <c r="P16" s="6"/>
      <c r="Q16" s="6"/>
    </row>
    <row r="17" spans="1:17" x14ac:dyDescent="0.2">
      <c r="B17" t="s">
        <v>140</v>
      </c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104</v>
      </c>
      <c r="B20" s="171" t="s">
        <v>108</v>
      </c>
      <c r="C20" s="171"/>
      <c r="D20" s="171"/>
      <c r="E20" s="171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2" t="s">
        <v>159</v>
      </c>
      <c r="C24" s="172"/>
      <c r="D24" s="172"/>
      <c r="E24" s="3">
        <f>C9</f>
        <v>5.9175688407975553E-2</v>
      </c>
      <c r="F24" t="s">
        <v>110</v>
      </c>
      <c r="G24" s="172" t="s">
        <v>111</v>
      </c>
      <c r="H24" s="172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abSelected="1" zoomScale="85" zoomScaleNormal="85" workbookViewId="0">
      <selection activeCell="I33" sqref="I33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105">
        <f>F6</f>
        <v>6.2122218246317952E-2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174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5.9175688407975553E-2</v>
      </c>
      <c r="D6" s="2">
        <v>0.103540318221068</v>
      </c>
      <c r="E6" s="2">
        <v>7.8739016648189622E-2</v>
      </c>
      <c r="F6" s="2">
        <v>6.2122218246317952E-2</v>
      </c>
      <c r="G6" s="2">
        <v>6.4870954182939713E-2</v>
      </c>
      <c r="H6" s="2">
        <v>7.8591118783991082E-2</v>
      </c>
      <c r="I6" s="2">
        <v>7.6912679884414165E-2</v>
      </c>
      <c r="J6" s="2">
        <v>6.4677017761612179E-2</v>
      </c>
      <c r="K6" s="2">
        <v>6.2377533135949202E-2</v>
      </c>
      <c r="L6" s="2">
        <v>9.7873083463591387E-2</v>
      </c>
      <c r="M6" s="2">
        <v>0.1589100169803653</v>
      </c>
    </row>
    <row r="7" spans="1:25" ht="15" x14ac:dyDescent="0.2">
      <c r="B7" s="71" t="s">
        <v>96</v>
      </c>
      <c r="C7" s="2">
        <v>6.9293489202227346E-2</v>
      </c>
      <c r="D7" s="2">
        <v>0.12610107682561791</v>
      </c>
      <c r="E7" s="2">
        <v>8.629423161030006E-2</v>
      </c>
      <c r="F7" s="2">
        <v>6.8858866162606905E-2</v>
      </c>
      <c r="G7" s="2">
        <v>7.5516484665439115E-2</v>
      </c>
      <c r="H7" s="2">
        <v>8.6140504798448356E-2</v>
      </c>
      <c r="I7" s="2">
        <v>8.4623240425544505E-2</v>
      </c>
      <c r="J7" s="2">
        <v>7.540195121261653E-2</v>
      </c>
      <c r="K7" s="2">
        <v>7.3053289530101415E-2</v>
      </c>
      <c r="L7" s="2">
        <v>0.1144953746876673</v>
      </c>
      <c r="M7" s="2">
        <v>0.26135957427761491</v>
      </c>
    </row>
    <row r="8" spans="1:25" ht="15" x14ac:dyDescent="0.2">
      <c r="B8" s="71" t="s">
        <v>97</v>
      </c>
      <c r="C8" s="2">
        <v>-4.4312630844382528E-2</v>
      </c>
      <c r="D8" s="2">
        <v>-8.420687522092607E-2</v>
      </c>
      <c r="E8" s="2">
        <v>-6.4567490024668217E-2</v>
      </c>
      <c r="F8" s="2">
        <v>-6.2626958911750075E-2</v>
      </c>
      <c r="G8" s="2">
        <v>-5.4845010752655472E-2</v>
      </c>
      <c r="H8" s="2">
        <v>-6.4571802363923236E-2</v>
      </c>
      <c r="I8" s="2">
        <v>-6.5134486919061541E-2</v>
      </c>
      <c r="J8" s="2">
        <v>-5.495541028892581E-2</v>
      </c>
      <c r="K8" s="2">
        <v>-5.4850655795405379E-2</v>
      </c>
      <c r="L8" s="2">
        <v>-7.7066010225650516E-2</v>
      </c>
      <c r="M8" s="2">
        <v>-8.7544682292700848E-2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258.89999999999998</v>
      </c>
      <c r="D14">
        <v>259</v>
      </c>
      <c r="E14">
        <v>247.907928</v>
      </c>
      <c r="O14" s="2">
        <f>D14/C14-1</f>
        <v>3.8624951718824185E-4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170</v>
      </c>
      <c r="C15">
        <v>233.8</v>
      </c>
      <c r="D15">
        <v>242.2</v>
      </c>
      <c r="E15">
        <v>238.88356899999999</v>
      </c>
      <c r="O15" s="2">
        <f t="shared" ref="O15:O20" si="0">D15/C15-1</f>
        <v>3.5928143712574689E-2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167</v>
      </c>
      <c r="C16">
        <v>273.5</v>
      </c>
      <c r="D16">
        <v>287.89999999999998</v>
      </c>
      <c r="E16">
        <v>247.72482600000001</v>
      </c>
      <c r="O16" s="2">
        <f t="shared" si="0"/>
        <v>5.2650822669104036E-2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B17" t="s">
        <v>42</v>
      </c>
      <c r="C17">
        <v>248</v>
      </c>
      <c r="D17">
        <v>268.2</v>
      </c>
      <c r="E17">
        <v>261.91145999999998</v>
      </c>
      <c r="O17" s="2">
        <f t="shared" si="0"/>
        <v>8.1451612903225667E-2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B18" t="s">
        <v>43</v>
      </c>
      <c r="C18">
        <v>259.89999999999998</v>
      </c>
      <c r="D18">
        <v>269.7</v>
      </c>
      <c r="E18">
        <v>253.94560999999999</v>
      </c>
      <c r="O18" s="2">
        <f t="shared" si="0"/>
        <v>3.7706810311658456E-2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B19" t="s">
        <v>44</v>
      </c>
      <c r="C19">
        <v>246</v>
      </c>
      <c r="D19">
        <v>237.4</v>
      </c>
      <c r="E19">
        <v>242.615351</v>
      </c>
      <c r="O19" s="2">
        <f t="shared" si="0"/>
        <v>-3.4959349593495892E-2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B20" t="s">
        <v>45</v>
      </c>
      <c r="C20">
        <v>286.60000000000002</v>
      </c>
      <c r="D20">
        <v>273.89999999999998</v>
      </c>
      <c r="E20">
        <v>254.57972799999999</v>
      </c>
      <c r="F20">
        <v>256.35730822387148</v>
      </c>
      <c r="G20">
        <v>261.48371757054338</v>
      </c>
      <c r="H20">
        <v>260.42078487636172</v>
      </c>
      <c r="I20">
        <v>256.27070624227838</v>
      </c>
      <c r="J20">
        <v>255.33465495612211</v>
      </c>
      <c r="K20">
        <v>260.43121077443192</v>
      </c>
      <c r="L20">
        <v>260.78500774261028</v>
      </c>
      <c r="M20">
        <v>264.52797316694159</v>
      </c>
      <c r="N20">
        <v>261.50969405491202</v>
      </c>
      <c r="O20" s="2">
        <f t="shared" si="0"/>
        <v>-4.4312630844382528E-2</v>
      </c>
      <c r="P20" s="2">
        <v>-0.1117246057222611</v>
      </c>
      <c r="Q20" s="2">
        <v>-0.1055223020800017</v>
      </c>
      <c r="R20" s="2">
        <v>-8.7635319014154334E-2</v>
      </c>
      <c r="S20" s="2">
        <v>-9.1344086265311764E-2</v>
      </c>
      <c r="T20" s="2">
        <v>-0.1058244722879329</v>
      </c>
      <c r="U20" s="2">
        <v>-0.10909052701981151</v>
      </c>
      <c r="V20" s="2">
        <v>-9.1307708393468801E-2</v>
      </c>
      <c r="W20" s="2">
        <v>-9.0073245838763971E-2</v>
      </c>
      <c r="X20" s="2">
        <v>-7.7013352522883549E-2</v>
      </c>
      <c r="Y20" s="2">
        <v>-8.7544682292700848E-2</v>
      </c>
    </row>
    <row r="21" spans="1:25" x14ac:dyDescent="0.2">
      <c r="B21" t="s">
        <v>46</v>
      </c>
      <c r="C21">
        <v>258.10000000000002</v>
      </c>
      <c r="D21">
        <v>263.5</v>
      </c>
      <c r="E21">
        <v>268.39983799999999</v>
      </c>
      <c r="F21">
        <v>275.55626875218189</v>
      </c>
      <c r="G21">
        <v>258.77834108193838</v>
      </c>
      <c r="H21">
        <v>254.74861798021439</v>
      </c>
      <c r="I21">
        <v>275.09152037079213</v>
      </c>
      <c r="J21">
        <v>271.96688346647778</v>
      </c>
      <c r="K21">
        <v>255.08013968618951</v>
      </c>
      <c r="L21">
        <v>258.74597565236081</v>
      </c>
      <c r="M21">
        <v>212.0715199804217</v>
      </c>
      <c r="N21">
        <v>179.47448597065519</v>
      </c>
      <c r="O21" s="2">
        <v>2.0922123208058752E-2</v>
      </c>
      <c r="P21" s="2">
        <v>3.9906385122045578E-2</v>
      </c>
      <c r="Q21" s="2">
        <v>6.7633741775210865E-2</v>
      </c>
      <c r="R21" s="2">
        <v>2.6282103135932822E-3</v>
      </c>
      <c r="S21" s="2">
        <v>-1.298481991393108E-2</v>
      </c>
      <c r="T21" s="2">
        <v>6.5833089387028476E-2</v>
      </c>
      <c r="U21" s="2">
        <v>5.3726785999526523E-2</v>
      </c>
      <c r="V21" s="2">
        <v>-1.1700349917902029E-2</v>
      </c>
      <c r="W21" s="2">
        <v>2.5028115163145959E-3</v>
      </c>
      <c r="X21" s="2">
        <v>-0.17833583889801741</v>
      </c>
      <c r="Y21" s="2">
        <v>-0.30463197996646563</v>
      </c>
    </row>
    <row r="22" spans="1:25" x14ac:dyDescent="0.2">
      <c r="B22" t="s">
        <v>47</v>
      </c>
      <c r="C22">
        <v>273.2</v>
      </c>
      <c r="D22">
        <v>260.10000000000002</v>
      </c>
      <c r="E22">
        <v>275.08443199999999</v>
      </c>
      <c r="F22">
        <v>269.77143306938518</v>
      </c>
      <c r="G22">
        <v>256.09031482530992</v>
      </c>
      <c r="H22">
        <v>253.3480705456729</v>
      </c>
      <c r="I22">
        <v>269.6006582673802</v>
      </c>
      <c r="J22">
        <v>269.76868758295711</v>
      </c>
      <c r="K22">
        <v>253.5051730116206</v>
      </c>
      <c r="L22">
        <v>256.199900360166</v>
      </c>
      <c r="M22">
        <v>224.3263480313617</v>
      </c>
      <c r="N22">
        <v>271.70331637418712</v>
      </c>
      <c r="O22" s="2">
        <v>-4.7950219619326329E-2</v>
      </c>
      <c r="P22" s="2">
        <v>6.8976281112738116E-3</v>
      </c>
      <c r="Q22" s="2">
        <v>-1.254965933607155E-2</v>
      </c>
      <c r="R22" s="2">
        <v>-6.2626958911750075E-2</v>
      </c>
      <c r="S22" s="2">
        <v>-7.2664456274989409E-2</v>
      </c>
      <c r="T22" s="2">
        <v>-1.317475011939895E-2</v>
      </c>
      <c r="U22" s="2">
        <v>-1.2559708700742739E-2</v>
      </c>
      <c r="V22" s="2">
        <v>-7.2089410645605478E-2</v>
      </c>
      <c r="W22" s="2">
        <v>-6.2225840555761303E-2</v>
      </c>
      <c r="X22" s="2">
        <v>-0.17889330881639201</v>
      </c>
      <c r="Y22" s="2">
        <v>-5.4783441647615616E-3</v>
      </c>
    </row>
    <row r="23" spans="1:25" x14ac:dyDescent="0.2">
      <c r="B23" t="s">
        <v>48</v>
      </c>
      <c r="C23">
        <v>262.39999999999998</v>
      </c>
      <c r="D23">
        <v>254.8</v>
      </c>
      <c r="E23">
        <v>271.08565800000002</v>
      </c>
      <c r="F23">
        <v>269.14501197041272</v>
      </c>
      <c r="G23">
        <v>254.09241796781919</v>
      </c>
      <c r="H23">
        <v>259.43990709266922</v>
      </c>
      <c r="I23">
        <v>269.06410356023139</v>
      </c>
      <c r="J23">
        <v>269.14371494547652</v>
      </c>
      <c r="K23">
        <v>259.4441842031755</v>
      </c>
      <c r="L23">
        <v>258.5865976742499</v>
      </c>
      <c r="M23">
        <v>265.98362685811122</v>
      </c>
      <c r="N23">
        <v>259.34937522263499</v>
      </c>
      <c r="O23" s="2">
        <v>-2.8963414634146201E-2</v>
      </c>
      <c r="P23" s="2">
        <v>3.3100830792683E-2</v>
      </c>
      <c r="Q23" s="2">
        <v>2.5705076106755879E-2</v>
      </c>
      <c r="R23" s="2">
        <v>-3.165999250068896E-2</v>
      </c>
      <c r="S23" s="2">
        <v>-1.1280841872449709E-2</v>
      </c>
      <c r="T23" s="2">
        <v>2.53967361289309E-2</v>
      </c>
      <c r="U23" s="2">
        <v>2.570013317635866E-2</v>
      </c>
      <c r="V23" s="2">
        <v>-1.126454190862991E-2</v>
      </c>
      <c r="W23" s="2">
        <v>-1.4532783253620731E-2</v>
      </c>
      <c r="X23" s="2">
        <v>1.3657114550728711E-2</v>
      </c>
      <c r="Y23" s="2">
        <v>-1.162585662105564E-2</v>
      </c>
    </row>
    <row r="24" spans="1:25" x14ac:dyDescent="0.2">
      <c r="B24" t="s">
        <v>49</v>
      </c>
      <c r="C24">
        <v>308.7</v>
      </c>
      <c r="D24">
        <v>292.8</v>
      </c>
      <c r="E24">
        <v>284.41583800000001</v>
      </c>
      <c r="F24">
        <v>273.99532121688799</v>
      </c>
      <c r="G24">
        <v>282.32532356189512</v>
      </c>
      <c r="H24">
        <v>289.70053318242452</v>
      </c>
      <c r="I24">
        <v>273.89590659062981</v>
      </c>
      <c r="J24">
        <v>273.9932957286461</v>
      </c>
      <c r="K24">
        <v>289.56231961594222</v>
      </c>
      <c r="L24">
        <v>286.73270413709611</v>
      </c>
      <c r="M24">
        <v>244.82269967824371</v>
      </c>
      <c r="N24">
        <v>357.3061011263635</v>
      </c>
      <c r="O24" s="2">
        <v>-5.1506316812439223E-2</v>
      </c>
      <c r="P24" s="2">
        <v>-7.8665895691609866E-2</v>
      </c>
      <c r="Q24" s="2">
        <v>-0.1124220239167866</v>
      </c>
      <c r="R24" s="2">
        <v>-8.5437889336264727E-2</v>
      </c>
      <c r="S24" s="2">
        <v>-6.1546701709023433E-2</v>
      </c>
      <c r="T24" s="2">
        <v>-0.11274406676180811</v>
      </c>
      <c r="U24" s="2">
        <v>-0.1124285852651568</v>
      </c>
      <c r="V24" s="2">
        <v>-6.1994429491602943E-2</v>
      </c>
      <c r="W24" s="2">
        <v>-7.1160660391654917E-2</v>
      </c>
      <c r="X24" s="2">
        <v>-0.20692355141482441</v>
      </c>
      <c r="Y24" s="2">
        <v>0.15745416626615971</v>
      </c>
    </row>
    <row r="25" spans="1:25" x14ac:dyDescent="0.2">
      <c r="B25" t="s">
        <v>50</v>
      </c>
      <c r="C25">
        <v>254.6</v>
      </c>
      <c r="D25">
        <v>273.89999999999998</v>
      </c>
      <c r="E25">
        <v>271.37309499999998</v>
      </c>
      <c r="F25">
        <v>275.99408923133473</v>
      </c>
      <c r="G25">
        <v>273.65132496255552</v>
      </c>
      <c r="H25">
        <v>277.9615883082717</v>
      </c>
      <c r="I25">
        <v>275.99403472436347</v>
      </c>
      <c r="J25">
        <v>275.9934342744429</v>
      </c>
      <c r="K25">
        <v>277.92670840811962</v>
      </c>
      <c r="L25">
        <v>277.25069783263001</v>
      </c>
      <c r="M25">
        <v>274.51052943949588</v>
      </c>
      <c r="N25">
        <v>260.77878492046148</v>
      </c>
      <c r="O25" s="2">
        <v>7.5805184603299214E-2</v>
      </c>
      <c r="P25" s="2">
        <v>6.5880184603299252E-2</v>
      </c>
      <c r="Q25" s="2">
        <v>8.4030201222838441E-2</v>
      </c>
      <c r="R25" s="2">
        <v>7.4828456255127573E-2</v>
      </c>
      <c r="S25" s="2">
        <v>9.1758005924083674E-2</v>
      </c>
      <c r="T25" s="2">
        <v>8.4029987134184969E-2</v>
      </c>
      <c r="U25" s="2">
        <v>8.4027628729155257E-2</v>
      </c>
      <c r="V25" s="2">
        <v>9.1621007101805318E-2</v>
      </c>
      <c r="W25" s="2">
        <v>8.896582023813826E-2</v>
      </c>
      <c r="X25" s="2">
        <v>7.8203179259606959E-2</v>
      </c>
      <c r="Y25" s="2">
        <v>2.4268597488065421E-2</v>
      </c>
    </row>
    <row r="26" spans="1:25" x14ac:dyDescent="0.2">
      <c r="B26" t="s">
        <v>52</v>
      </c>
      <c r="C26">
        <v>268.60000000000002</v>
      </c>
      <c r="D26">
        <v>246.8</v>
      </c>
      <c r="E26">
        <v>224.775093</v>
      </c>
      <c r="F26">
        <v>235.38296658549041</v>
      </c>
      <c r="G26">
        <v>246.60962644281969</v>
      </c>
      <c r="H26">
        <v>236.2152270321867</v>
      </c>
      <c r="I26">
        <v>235.50728496127701</v>
      </c>
      <c r="J26">
        <v>235.3848270817538</v>
      </c>
      <c r="K26">
        <v>236.27192557195411</v>
      </c>
      <c r="L26">
        <v>238.04723543742591</v>
      </c>
      <c r="M26">
        <v>258.73740013531551</v>
      </c>
      <c r="N26">
        <v>63.544623061308812</v>
      </c>
      <c r="O26" s="2">
        <v>-8.1161578555472902E-2</v>
      </c>
      <c r="P26" s="2">
        <v>-0.1631604877140731</v>
      </c>
      <c r="Q26" s="2">
        <v>-0.1236672874702518</v>
      </c>
      <c r="R26" s="2">
        <v>-8.1870340868132385E-2</v>
      </c>
      <c r="S26" s="2">
        <v>-0.120568775010474</v>
      </c>
      <c r="T26" s="2">
        <v>-0.1232044491389539</v>
      </c>
      <c r="U26" s="2">
        <v>-0.1236603608274245</v>
      </c>
      <c r="V26" s="2">
        <v>-0.120357685882524</v>
      </c>
      <c r="W26" s="2">
        <v>-0.11374819271248759</v>
      </c>
      <c r="X26" s="2">
        <v>-3.6718540077008588E-2</v>
      </c>
      <c r="Y26" s="2">
        <v>-0.76342284787301262</v>
      </c>
    </row>
    <row r="27" spans="1:25" x14ac:dyDescent="0.2">
      <c r="B27" t="s">
        <v>53</v>
      </c>
      <c r="C27">
        <v>282.89999999999998</v>
      </c>
      <c r="D27">
        <v>305.39999999999998</v>
      </c>
      <c r="E27">
        <v>259.07787500000001</v>
      </c>
      <c r="F27">
        <v>264.97631510387441</v>
      </c>
      <c r="G27">
        <v>297.50508565150818</v>
      </c>
      <c r="H27">
        <v>295.98587990124707</v>
      </c>
      <c r="I27">
        <v>264.97351834722122</v>
      </c>
      <c r="J27">
        <v>264.90183837499973</v>
      </c>
      <c r="K27">
        <v>295.85421179619101</v>
      </c>
      <c r="L27">
        <v>294.8462918543903</v>
      </c>
      <c r="M27">
        <v>258.12789735784781</v>
      </c>
      <c r="N27">
        <v>255.99405962941819</v>
      </c>
      <c r="O27" s="2">
        <v>7.9533404029692445E-2</v>
      </c>
      <c r="P27" s="2">
        <v>-8.420687522092607E-2</v>
      </c>
      <c r="Q27" s="2">
        <v>-6.3356963224197815E-2</v>
      </c>
      <c r="R27" s="2">
        <v>5.1626319022652023E-2</v>
      </c>
      <c r="S27" s="2">
        <v>4.6256203256441093E-2</v>
      </c>
      <c r="T27" s="2">
        <v>-6.3366849249836599E-2</v>
      </c>
      <c r="U27" s="2">
        <v>-6.3620224902793399E-2</v>
      </c>
      <c r="V27" s="2">
        <v>4.5790780474340709E-2</v>
      </c>
      <c r="W27" s="2">
        <v>4.2227966964970998E-2</v>
      </c>
      <c r="X27" s="2">
        <v>-8.7564873249035613E-2</v>
      </c>
      <c r="Y27" s="2">
        <v>-9.5107601168546441E-2</v>
      </c>
    </row>
    <row r="28" spans="1:25" x14ac:dyDescent="0.2">
      <c r="B28" t="s">
        <v>54</v>
      </c>
      <c r="C28">
        <v>273.39999999999998</v>
      </c>
      <c r="D28">
        <v>235.5</v>
      </c>
      <c r="E28">
        <v>205.44493700000001</v>
      </c>
      <c r="F28">
        <v>239.50302653957169</v>
      </c>
      <c r="G28">
        <v>243.756106792921</v>
      </c>
      <c r="H28">
        <v>238.3586425950387</v>
      </c>
      <c r="I28">
        <v>239.5788448583053</v>
      </c>
      <c r="J28">
        <v>241.63581290410249</v>
      </c>
      <c r="K28">
        <v>238.3822846032142</v>
      </c>
      <c r="L28">
        <v>239.58078680625181</v>
      </c>
      <c r="M28">
        <v>289.63964112778791</v>
      </c>
      <c r="N28">
        <v>233.69168850416651</v>
      </c>
      <c r="O28" s="2">
        <v>-0.1386247256766642</v>
      </c>
      <c r="P28" s="2">
        <v>-0.24855546086320399</v>
      </c>
      <c r="Q28" s="2">
        <v>-0.1239830777630883</v>
      </c>
      <c r="R28" s="2">
        <v>-0.10842682226437091</v>
      </c>
      <c r="S28" s="2">
        <v>-0.12816882737732729</v>
      </c>
      <c r="T28" s="2">
        <v>-0.1237057613083201</v>
      </c>
      <c r="U28" s="2">
        <v>-0.1161821034963333</v>
      </c>
      <c r="V28" s="2">
        <v>-0.12808235331670009</v>
      </c>
      <c r="W28" s="2">
        <v>-0.1236986583531388</v>
      </c>
      <c r="X28" s="2">
        <v>5.9398833678814489E-2</v>
      </c>
      <c r="Y28" s="2">
        <v>-0.14523888623201731</v>
      </c>
    </row>
    <row r="29" spans="1:25" x14ac:dyDescent="0.2">
      <c r="B29" t="s">
        <v>55</v>
      </c>
      <c r="C29">
        <v>282.39999999999998</v>
      </c>
      <c r="D29">
        <v>259.2</v>
      </c>
      <c r="E29">
        <v>222.84996699999999</v>
      </c>
      <c r="F29">
        <v>259.04795987663528</v>
      </c>
      <c r="G29">
        <v>262.91676024326921</v>
      </c>
      <c r="H29">
        <v>266.91176896345007</v>
      </c>
      <c r="I29">
        <v>259.05954320921188</v>
      </c>
      <c r="J29">
        <v>259.83371712532511</v>
      </c>
      <c r="K29">
        <v>266.88059213440732</v>
      </c>
      <c r="L29">
        <v>266.91017480337752</v>
      </c>
      <c r="M29">
        <v>260.63655871227633</v>
      </c>
      <c r="N29">
        <v>266.01346711291438</v>
      </c>
      <c r="O29" s="2">
        <v>-8.2152974504249299E-2</v>
      </c>
      <c r="P29" s="2">
        <v>-0.21087122167138811</v>
      </c>
      <c r="Q29" s="2">
        <v>-8.2691360210214726E-2</v>
      </c>
      <c r="R29" s="2">
        <v>-6.8991642198055092E-2</v>
      </c>
      <c r="S29" s="2">
        <v>-5.4845010752655472E-2</v>
      </c>
      <c r="T29" s="2">
        <v>-8.2650342743583738E-2</v>
      </c>
      <c r="U29" s="2">
        <v>-7.9908933692191653E-2</v>
      </c>
      <c r="V29" s="2">
        <v>-5.495541028892581E-2</v>
      </c>
      <c r="W29" s="2">
        <v>-5.4850655795405379E-2</v>
      </c>
      <c r="X29" s="2">
        <v>-7.7066010225650516E-2</v>
      </c>
      <c r="Y29" s="2">
        <v>-5.8025966314042221E-2</v>
      </c>
    </row>
    <row r="30" spans="1:25" x14ac:dyDescent="0.2">
      <c r="B30" t="s">
        <v>71</v>
      </c>
      <c r="C30">
        <v>286.2627961</v>
      </c>
      <c r="D30">
        <v>286.2627961</v>
      </c>
      <c r="E30">
        <v>258.78903200000002</v>
      </c>
      <c r="F30">
        <v>267.77952586837961</v>
      </c>
      <c r="G30">
        <v>278.35837894875561</v>
      </c>
      <c r="H30">
        <v>279.918420261579</v>
      </c>
      <c r="I30">
        <v>267.77829140608668</v>
      </c>
      <c r="J30">
        <v>267.61721575201062</v>
      </c>
      <c r="K30">
        <v>279.88385394290538</v>
      </c>
      <c r="L30">
        <v>279.91742944319708</v>
      </c>
      <c r="M30">
        <v>262.55184467267418</v>
      </c>
      <c r="N30">
        <v>259.00735505102062</v>
      </c>
      <c r="O30" s="2">
        <v>0</v>
      </c>
      <c r="P30" s="2">
        <v>-9.5973924918984599E-2</v>
      </c>
      <c r="Q30" s="2">
        <v>-6.4567490024668217E-2</v>
      </c>
      <c r="R30" s="2">
        <v>-2.7612450024708021E-2</v>
      </c>
      <c r="S30" s="2">
        <v>-2.2162767655649951E-2</v>
      </c>
      <c r="T30" s="2">
        <v>-6.4571802363923236E-2</v>
      </c>
      <c r="U30" s="2">
        <v>-6.5134486919061541E-2</v>
      </c>
      <c r="V30" s="2">
        <v>-2.2283517956228849E-2</v>
      </c>
      <c r="W30" s="2">
        <v>-2.2166228875184709E-2</v>
      </c>
      <c r="X30" s="2">
        <v>-8.2829315406543036E-2</v>
      </c>
      <c r="Y30" s="2">
        <v>-9.5211258397190801E-2</v>
      </c>
    </row>
    <row r="31" spans="1:25" x14ac:dyDescent="0.2">
      <c r="A31" s="174" t="s">
        <v>148</v>
      </c>
      <c r="B31" s="174"/>
      <c r="C31" s="174"/>
      <c r="D31">
        <f>$D$30/(1+O31)</f>
        <v>288.52132042626624</v>
      </c>
      <c r="K31" s="174" t="s">
        <v>141</v>
      </c>
      <c r="L31" s="174"/>
      <c r="M31" s="174"/>
      <c r="N31" s="174"/>
      <c r="O31" s="1">
        <f>AVERAGE(O14:O29)</f>
        <v>-7.8279287053359421E-3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3" t="s">
        <v>149</v>
      </c>
      <c r="B32" s="93"/>
      <c r="C32" s="93"/>
      <c r="D32">
        <f>$D$30/(1+O32)</f>
        <v>290.41237732947639</v>
      </c>
      <c r="K32" s="93" t="s">
        <v>143</v>
      </c>
      <c r="L32" s="93"/>
      <c r="M32" s="93"/>
      <c r="N32" s="93"/>
      <c r="O32" s="1">
        <f>MEDIAN(O14:O29)</f>
        <v>-1.4288582558478979E-2</v>
      </c>
    </row>
    <row r="33" spans="1:15" x14ac:dyDescent="0.2">
      <c r="A33" s="94" t="s">
        <v>150</v>
      </c>
      <c r="B33" s="94"/>
      <c r="C33" s="94"/>
      <c r="D33">
        <f>$D$30/(1+O33)</f>
        <v>305.73960149076072</v>
      </c>
      <c r="K33" s="94" t="s">
        <v>142</v>
      </c>
      <c r="L33" s="94"/>
      <c r="M33" s="94"/>
      <c r="N33" s="94"/>
      <c r="O33" s="1">
        <f>AVERAGE(O28:O29,O26,O22:O24,O20,O19)</f>
        <v>-6.3703901280022068E-2</v>
      </c>
    </row>
    <row r="34" spans="1:15" x14ac:dyDescent="0.2">
      <c r="A34" s="95" t="s">
        <v>151</v>
      </c>
      <c r="B34" s="95"/>
      <c r="C34" s="95"/>
      <c r="D34">
        <f>$D$30/(1+O34)</f>
        <v>301.24309344922534</v>
      </c>
      <c r="K34" s="95" t="s">
        <v>144</v>
      </c>
      <c r="L34" s="95"/>
      <c r="M34" s="95"/>
      <c r="N34" s="95"/>
      <c r="O34" s="1">
        <f>MEDIAN(O28:O29,O26,O22:O24,O20,O19)</f>
        <v>-4.9728268215882776E-2</v>
      </c>
    </row>
    <row r="35" spans="1:15" x14ac:dyDescent="0.2">
      <c r="A35" s="96" t="s">
        <v>152</v>
      </c>
      <c r="B35" s="96"/>
      <c r="C35" s="96"/>
      <c r="D35">
        <f>$D$30/(1+O35)</f>
        <v>273.13900137929704</v>
      </c>
      <c r="K35" s="96" t="s">
        <v>145</v>
      </c>
      <c r="L35" s="96"/>
      <c r="M35" s="96"/>
      <c r="N35" s="96"/>
      <c r="O35" s="1">
        <f>AVERAGE(O27,O25,O21,O14:O18)</f>
        <v>4.8048043869350188E-2</v>
      </c>
    </row>
    <row r="36" spans="1:15" x14ac:dyDescent="0.2">
      <c r="A36" s="97" t="s">
        <v>153</v>
      </c>
      <c r="B36" s="97"/>
      <c r="C36" s="97"/>
      <c r="D36">
        <f>$D$30/(1+O36)</f>
        <v>273.88882321710781</v>
      </c>
      <c r="H36" s="100"/>
      <c r="K36" s="97" t="s">
        <v>146</v>
      </c>
      <c r="L36" s="97"/>
      <c r="M36" s="97"/>
      <c r="N36" s="97"/>
      <c r="O36" s="1">
        <f>MEDIAN(O27,O25,O21,O14:O18)</f>
        <v>4.5178816490381246E-2</v>
      </c>
    </row>
    <row r="39" spans="1:15" x14ac:dyDescent="0.2">
      <c r="A39" s="67" t="s">
        <v>102</v>
      </c>
      <c r="B39" t="s">
        <v>154</v>
      </c>
    </row>
    <row r="40" spans="1:15" x14ac:dyDescent="0.2">
      <c r="B40" t="s">
        <v>155</v>
      </c>
    </row>
    <row r="46" spans="1:15" x14ac:dyDescent="0.2">
      <c r="A46" s="67" t="s">
        <v>104</v>
      </c>
      <c r="B46" s="78" t="s">
        <v>156</v>
      </c>
      <c r="C46" s="79">
        <f>D35</f>
        <v>273.13900137929704</v>
      </c>
      <c r="D46" t="s">
        <v>168</v>
      </c>
    </row>
    <row r="48" spans="1:15" x14ac:dyDescent="0.2">
      <c r="B48" s="173" t="s">
        <v>164</v>
      </c>
      <c r="C48" s="173"/>
      <c r="D48" s="2">
        <f>C46/D29-1</f>
        <v>5.3777011494201554E-2</v>
      </c>
    </row>
    <row r="49" spans="2:4" x14ac:dyDescent="0.2">
      <c r="B49" s="161" t="s">
        <v>163</v>
      </c>
      <c r="C49" s="161"/>
      <c r="D49" s="2">
        <f>'1. Data &amp; Confidence Interval'!V25</f>
        <v>-4.3177433239170504E-2</v>
      </c>
    </row>
  </sheetData>
  <mergeCells count="2">
    <mergeCell ref="B49:C49"/>
    <mergeCell ref="B48:C48"/>
  </mergeCells>
  <conditionalFormatting sqref="O32:O36 R30:R3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2021-10-29T14:32:37Z</dcterms:modified>
</cp:coreProperties>
</file>