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SNN\"/>
    </mc:Choice>
  </mc:AlternateContent>
  <xr:revisionPtr revIDLastSave="0" documentId="13_ncr:1_{34E16CEC-C824-406A-8900-9342CEF2F24E}" xr6:coauthVersionLast="46" xr6:coauthVersionMax="46" xr10:uidLastSave="{00000000-0000-0000-0000-000000000000}"/>
  <bookViews>
    <workbookView xWindow="-28920" yWindow="-120" windowWidth="29040" windowHeight="15840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4" i="1" l="1"/>
  <c r="D48" i="4"/>
  <c r="F34" i="4"/>
  <c r="C46" i="4" s="1"/>
  <c r="E36" i="4"/>
  <c r="E35" i="4"/>
  <c r="E34" i="4"/>
  <c r="E33" i="4"/>
  <c r="E32" i="4"/>
  <c r="E31" i="4"/>
  <c r="P36" i="4"/>
  <c r="P35" i="4"/>
  <c r="P34" i="4"/>
  <c r="P33" i="4"/>
  <c r="P32" i="4"/>
  <c r="P31" i="4"/>
  <c r="P15" i="4"/>
  <c r="P16" i="4"/>
  <c r="P17" i="4"/>
  <c r="P18" i="4"/>
  <c r="P19" i="4"/>
  <c r="P14" i="4"/>
  <c r="R23" i="2"/>
  <c r="G43" i="2"/>
  <c r="G41" i="2"/>
  <c r="G40" i="2"/>
  <c r="G39" i="2"/>
  <c r="G38" i="2"/>
  <c r="G37" i="2"/>
  <c r="G36" i="2"/>
  <c r="G35" i="2"/>
  <c r="G33" i="2"/>
  <c r="G32" i="2"/>
  <c r="G31" i="2"/>
  <c r="G30" i="2"/>
  <c r="G29" i="2"/>
  <c r="G28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6" i="2"/>
  <c r="AK26" i="1"/>
  <c r="AK25" i="1"/>
  <c r="AK23" i="1"/>
  <c r="AK22" i="1"/>
  <c r="S25" i="1"/>
  <c r="V24" i="1"/>
  <c r="S24" i="1"/>
  <c r="P23" i="2" l="1"/>
  <c r="C2" i="4"/>
  <c r="P8" i="2"/>
  <c r="P13" i="2"/>
  <c r="P14" i="2"/>
  <c r="P20" i="2"/>
  <c r="N7" i="2"/>
  <c r="M7" i="2"/>
  <c r="L7" i="2"/>
  <c r="K7" i="2"/>
  <c r="K8" i="2"/>
  <c r="L8" i="2"/>
  <c r="M8" i="2"/>
  <c r="N8" i="2"/>
  <c r="O8" i="2"/>
  <c r="K9" i="2"/>
  <c r="L9" i="2"/>
  <c r="M9" i="2"/>
  <c r="N9" i="2"/>
  <c r="O9" i="2"/>
  <c r="K10" i="2"/>
  <c r="L10" i="2"/>
  <c r="M10" i="2"/>
  <c r="N10" i="2"/>
  <c r="O10" i="2"/>
  <c r="K11" i="2"/>
  <c r="L11" i="2"/>
  <c r="M11" i="2"/>
  <c r="N11" i="2"/>
  <c r="O11" i="2"/>
  <c r="K12" i="2"/>
  <c r="L12" i="2"/>
  <c r="M12" i="2"/>
  <c r="N12" i="2"/>
  <c r="O12" i="2"/>
  <c r="K13" i="2"/>
  <c r="L13" i="2"/>
  <c r="M13" i="2"/>
  <c r="N13" i="2"/>
  <c r="O13" i="2"/>
  <c r="K14" i="2"/>
  <c r="L14" i="2"/>
  <c r="M14" i="2"/>
  <c r="N14" i="2"/>
  <c r="O14" i="2"/>
  <c r="K15" i="2"/>
  <c r="L15" i="2"/>
  <c r="M15" i="2"/>
  <c r="N15" i="2"/>
  <c r="O15" i="2"/>
  <c r="K16" i="2"/>
  <c r="L16" i="2"/>
  <c r="M16" i="2"/>
  <c r="N16" i="2"/>
  <c r="O16" i="2"/>
  <c r="K17" i="2"/>
  <c r="L17" i="2"/>
  <c r="M17" i="2"/>
  <c r="N17" i="2"/>
  <c r="O17" i="2"/>
  <c r="K18" i="2"/>
  <c r="L18" i="2"/>
  <c r="M18" i="2"/>
  <c r="N18" i="2"/>
  <c r="O18" i="2"/>
  <c r="K19" i="2"/>
  <c r="L19" i="2"/>
  <c r="M19" i="2"/>
  <c r="N19" i="2"/>
  <c r="O19" i="2"/>
  <c r="K20" i="2"/>
  <c r="L20" i="2"/>
  <c r="M20" i="2"/>
  <c r="N20" i="2"/>
  <c r="O20" i="2"/>
  <c r="K21" i="2"/>
  <c r="L21" i="2"/>
  <c r="M21" i="2"/>
  <c r="N21" i="2"/>
  <c r="O21" i="2"/>
  <c r="K22" i="2"/>
  <c r="L22" i="2"/>
  <c r="M22" i="2"/>
  <c r="N22" i="2"/>
  <c r="O22" i="2"/>
  <c r="K23" i="2"/>
  <c r="L23" i="2"/>
  <c r="M23" i="2"/>
  <c r="N23" i="2"/>
  <c r="O23" i="2"/>
  <c r="O7" i="2"/>
  <c r="P22" i="2"/>
  <c r="P21" i="2"/>
  <c r="P19" i="2"/>
  <c r="P17" i="2"/>
  <c r="P16" i="2"/>
  <c r="P15" i="2"/>
  <c r="P11" i="2"/>
  <c r="P10" i="2"/>
  <c r="P9" i="2"/>
  <c r="P7" i="2"/>
  <c r="Q20" i="2" l="1"/>
  <c r="Q10" i="2"/>
  <c r="Q14" i="2"/>
  <c r="Q22" i="2"/>
  <c r="Q8" i="2"/>
  <c r="Q30" i="2" s="1"/>
  <c r="Q13" i="2"/>
  <c r="Q16" i="2"/>
  <c r="Q15" i="2"/>
  <c r="Q19" i="2"/>
  <c r="Q11" i="2"/>
  <c r="Q7" i="2"/>
  <c r="Q17" i="2"/>
  <c r="Q21" i="2"/>
  <c r="Q9" i="2"/>
  <c r="Q23" i="2"/>
  <c r="P12" i="2"/>
  <c r="P18" i="2"/>
  <c r="Q18" i="2" s="1"/>
  <c r="AK18" i="1"/>
  <c r="AJ18" i="1"/>
  <c r="J28" i="2"/>
  <c r="J29" i="2"/>
  <c r="J30" i="2"/>
  <c r="J40" i="2"/>
  <c r="J41" i="2"/>
  <c r="J42" i="2"/>
  <c r="J39" i="2"/>
  <c r="AJ17" i="1"/>
  <c r="E44" i="2"/>
  <c r="E43" i="2"/>
  <c r="E42" i="2"/>
  <c r="E41" i="2"/>
  <c r="E40" i="2"/>
  <c r="E38" i="2"/>
  <c r="E37" i="2"/>
  <c r="E36" i="2"/>
  <c r="E35" i="2"/>
  <c r="E34" i="2"/>
  <c r="E33" i="2"/>
  <c r="E32" i="2"/>
  <c r="E31" i="2"/>
  <c r="E30" i="2"/>
  <c r="E29" i="2"/>
  <c r="E28" i="2"/>
  <c r="A28" i="2"/>
  <c r="B28" i="2"/>
  <c r="C28" i="2"/>
  <c r="D28" i="2"/>
  <c r="F28" i="2"/>
  <c r="H28" i="2"/>
  <c r="I28" i="2"/>
  <c r="R28" i="2"/>
  <c r="A29" i="2"/>
  <c r="B29" i="2"/>
  <c r="C29" i="2"/>
  <c r="D29" i="2"/>
  <c r="F29" i="2"/>
  <c r="H29" i="2"/>
  <c r="I29" i="2"/>
  <c r="L29" i="2"/>
  <c r="R29" i="2"/>
  <c r="A30" i="2"/>
  <c r="B30" i="2"/>
  <c r="C30" i="2"/>
  <c r="D30" i="2"/>
  <c r="F30" i="2"/>
  <c r="H30" i="2"/>
  <c r="I30" i="2"/>
  <c r="K30" i="2"/>
  <c r="M30" i="2"/>
  <c r="N30" i="2"/>
  <c r="O30" i="2"/>
  <c r="P30" i="2"/>
  <c r="R30" i="2"/>
  <c r="R24" i="2"/>
  <c r="I24" i="2"/>
  <c r="H24" i="2"/>
  <c r="G24" i="2"/>
  <c r="F24" i="2"/>
  <c r="E24" i="2"/>
  <c r="L30" i="2"/>
  <c r="K24" i="2"/>
  <c r="H39" i="2"/>
  <c r="H40" i="2"/>
  <c r="G44" i="2"/>
  <c r="G42" i="2"/>
  <c r="E39" i="2"/>
  <c r="P24" i="2" l="1"/>
  <c r="Q12" i="2"/>
  <c r="E46" i="2" a="1"/>
  <c r="E46" i="2" s="1"/>
  <c r="E45" i="2" a="1"/>
  <c r="E45" i="2" s="1"/>
  <c r="J24" i="2"/>
  <c r="K29" i="2"/>
  <c r="O24" i="2"/>
  <c r="N24" i="2"/>
  <c r="L24" i="2"/>
  <c r="M24" i="2"/>
  <c r="P29" i="2"/>
  <c r="N29" i="2"/>
  <c r="O29" i="2"/>
  <c r="M29" i="2"/>
  <c r="AJ13" i="1"/>
  <c r="Q31" i="2"/>
  <c r="P31" i="2"/>
  <c r="O31" i="2"/>
  <c r="N31" i="2"/>
  <c r="M31" i="2"/>
  <c r="L31" i="2"/>
  <c r="K31" i="2"/>
  <c r="R31" i="2"/>
  <c r="J31" i="2"/>
  <c r="I31" i="2"/>
  <c r="H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4" i="3"/>
  <c r="E24" i="3"/>
  <c r="Q24" i="2" l="1"/>
  <c r="Q29" i="2"/>
  <c r="F20" i="3"/>
  <c r="R44" i="2" l="1"/>
  <c r="R43" i="2"/>
  <c r="R42" i="2"/>
  <c r="R41" i="2"/>
  <c r="R39" i="2"/>
  <c r="R38" i="2"/>
  <c r="R37" i="2"/>
  <c r="R36" i="2"/>
  <c r="R35" i="2"/>
  <c r="R34" i="2"/>
  <c r="R33" i="2"/>
  <c r="R32" i="2"/>
  <c r="H20" i="3" l="1"/>
  <c r="R40" i="2" l="1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F32" i="2"/>
  <c r="H32" i="2"/>
  <c r="I32" i="2"/>
  <c r="J32" i="2"/>
  <c r="F33" i="2"/>
  <c r="H33" i="2"/>
  <c r="I33" i="2"/>
  <c r="J33" i="2"/>
  <c r="F34" i="2"/>
  <c r="G34" i="2"/>
  <c r="G47" i="2" s="1"/>
  <c r="H34" i="2"/>
  <c r="I34" i="2"/>
  <c r="J34" i="2"/>
  <c r="F35" i="2"/>
  <c r="H35" i="2"/>
  <c r="I35" i="2"/>
  <c r="J35" i="2"/>
  <c r="F36" i="2"/>
  <c r="H36" i="2"/>
  <c r="I36" i="2"/>
  <c r="J36" i="2"/>
  <c r="F37" i="2"/>
  <c r="H37" i="2"/>
  <c r="I37" i="2"/>
  <c r="J37" i="2"/>
  <c r="F38" i="2"/>
  <c r="H38" i="2"/>
  <c r="I38" i="2"/>
  <c r="J38" i="2"/>
  <c r="F39" i="2"/>
  <c r="I39" i="2"/>
  <c r="F40" i="2"/>
  <c r="I40" i="2"/>
  <c r="F41" i="2"/>
  <c r="H41" i="2"/>
  <c r="I41" i="2"/>
  <c r="F42" i="2"/>
  <c r="H42" i="2"/>
  <c r="I42" i="2"/>
  <c r="F43" i="2"/>
  <c r="H43" i="2"/>
  <c r="I43" i="2"/>
  <c r="J43" i="2"/>
  <c r="F44" i="2"/>
  <c r="H44" i="2"/>
  <c r="I44" i="2"/>
  <c r="J44" i="2"/>
  <c r="P45" i="2" l="1" a="1"/>
  <c r="P45" i="2" s="1"/>
  <c r="G46" i="2" a="1"/>
  <c r="G46" i="2" s="1"/>
  <c r="G45" i="2" a="1"/>
  <c r="G45" i="2" s="1"/>
  <c r="Q46" i="2" a="1"/>
  <c r="Q46" i="2" s="1"/>
  <c r="Q45" i="2" a="1"/>
  <c r="Q45" i="2" s="1"/>
  <c r="O46" i="2" a="1"/>
  <c r="O46" i="2" s="1"/>
  <c r="O45" i="2" a="1"/>
  <c r="O45" i="2" s="1"/>
  <c r="P46" i="2" a="1"/>
  <c r="P46" i="2" s="1"/>
  <c r="N46" i="2" a="1"/>
  <c r="N46" i="2" s="1"/>
  <c r="N45" i="2" a="1"/>
  <c r="N45" i="2" s="1"/>
  <c r="M46" i="2" a="1"/>
  <c r="M46" i="2" s="1"/>
  <c r="M45" i="2" a="1"/>
  <c r="M45" i="2" s="1"/>
  <c r="H46" i="2" a="1"/>
  <c r="H46" i="2" s="1"/>
  <c r="H45" i="2" a="1"/>
  <c r="H45" i="2" s="1"/>
  <c r="F46" i="2" a="1"/>
  <c r="F46" i="2" s="1"/>
  <c r="F45" i="2" a="1"/>
  <c r="F45" i="2" s="1"/>
  <c r="L46" i="2" a="1"/>
  <c r="L46" i="2" s="1"/>
  <c r="L45" i="2" a="1"/>
  <c r="L45" i="2" s="1"/>
  <c r="K46" i="2" a="1"/>
  <c r="K46" i="2" s="1"/>
  <c r="K45" i="2" a="1"/>
  <c r="K45" i="2" s="1"/>
  <c r="J46" i="2" a="1"/>
  <c r="J46" i="2" s="1"/>
  <c r="J45" i="2" a="1"/>
  <c r="J45" i="2" s="1"/>
  <c r="R46" i="2" a="1"/>
  <c r="R46" i="2" s="1"/>
  <c r="R45" i="2" a="1"/>
  <c r="R45" i="2" s="1"/>
  <c r="I46" i="2" a="1"/>
  <c r="I46" i="2" s="1"/>
  <c r="I45" i="2" a="1"/>
  <c r="I45" i="2" s="1"/>
  <c r="W22" i="1" l="1"/>
  <c r="X20" i="1"/>
  <c r="W20" i="1"/>
  <c r="Z20" i="1"/>
  <c r="Y20" i="1"/>
  <c r="AB22" i="1"/>
  <c r="Z22" i="1"/>
  <c r="V20" i="1"/>
  <c r="AB20" i="1"/>
  <c r="AA20" i="1"/>
  <c r="AF17" i="1"/>
  <c r="AD22" i="1"/>
  <c r="I17" i="1"/>
  <c r="I18" i="1"/>
  <c r="U22" i="1"/>
  <c r="S22" i="1"/>
  <c r="K18" i="1"/>
  <c r="K13" i="1"/>
  <c r="K17" i="1"/>
  <c r="H17" i="1"/>
  <c r="H18" i="1"/>
  <c r="U17" i="1"/>
  <c r="U18" i="1"/>
  <c r="U13" i="1"/>
  <c r="U20" i="1"/>
  <c r="Q17" i="1"/>
  <c r="Q18" i="1"/>
  <c r="Q13" i="1"/>
  <c r="AB18" i="1"/>
  <c r="AB13" i="1"/>
  <c r="AB17" i="1"/>
  <c r="L17" i="1"/>
  <c r="L13" i="1"/>
  <c r="L18" i="1"/>
  <c r="M17" i="1"/>
  <c r="M13" i="1"/>
  <c r="M18" i="1"/>
  <c r="Y18" i="1"/>
  <c r="Y22" i="1"/>
  <c r="Y13" i="1"/>
  <c r="Y17" i="1"/>
  <c r="R17" i="1"/>
  <c r="R18" i="1"/>
  <c r="R13" i="1"/>
  <c r="W17" i="1"/>
  <c r="W13" i="1"/>
  <c r="W18" i="1"/>
  <c r="AF20" i="1"/>
  <c r="AC17" i="1"/>
  <c r="AC20" i="1"/>
  <c r="AC18" i="1"/>
  <c r="AC13" i="1"/>
  <c r="AC22" i="1"/>
  <c r="J18" i="1"/>
  <c r="J13" i="1"/>
  <c r="J17" i="1"/>
  <c r="AF13" i="1"/>
  <c r="AF22" i="1"/>
  <c r="N18" i="1"/>
  <c r="N13" i="1"/>
  <c r="N17" i="1"/>
  <c r="S17" i="1"/>
  <c r="S18" i="1"/>
  <c r="S13" i="1"/>
  <c r="S20" i="1"/>
  <c r="AA22" i="1"/>
  <c r="F18" i="1"/>
  <c r="F17" i="1"/>
  <c r="P17" i="1"/>
  <c r="P13" i="1"/>
  <c r="P18" i="1"/>
  <c r="G17" i="1"/>
  <c r="G18" i="1"/>
  <c r="T22" i="1"/>
  <c r="T20" i="1"/>
  <c r="T18" i="1"/>
  <c r="T13" i="1"/>
  <c r="T17" i="1"/>
  <c r="O18" i="1"/>
  <c r="O13" i="1"/>
  <c r="O17" i="1"/>
  <c r="AA17" i="1"/>
  <c r="AA13" i="1"/>
  <c r="AA18" i="1"/>
  <c r="AD20" i="1"/>
  <c r="AD13" i="1"/>
  <c r="AD17" i="1"/>
  <c r="V17" i="1"/>
  <c r="V22" i="1"/>
  <c r="V13" i="1"/>
  <c r="V18" i="1"/>
  <c r="Z17" i="1"/>
  <c r="Z13" i="1"/>
  <c r="Z18" i="1"/>
  <c r="X17" i="1"/>
  <c r="X18" i="1"/>
  <c r="X13" i="1"/>
  <c r="X22" i="1"/>
  <c r="AE17" i="1"/>
  <c r="AE22" i="1"/>
  <c r="AE13" i="1"/>
  <c r="AE20" i="1"/>
  <c r="AG22" i="1"/>
  <c r="AG20" i="1"/>
  <c r="AG17" i="1"/>
  <c r="AI22" i="1"/>
  <c r="AI18" i="1"/>
  <c r="AI20" i="1"/>
  <c r="AI13" i="1"/>
  <c r="AI17" i="1"/>
  <c r="AG13" i="1"/>
  <c r="AH22" i="1"/>
  <c r="AH18" i="1"/>
  <c r="AH20" i="1"/>
  <c r="AH17" i="1"/>
  <c r="AH13" i="1"/>
  <c r="AK20" i="1" l="1"/>
  <c r="V25" i="1"/>
  <c r="D49" i="4" s="1"/>
  <c r="J10" i="1"/>
  <c r="B7" i="1"/>
  <c r="Z21" i="1"/>
  <c r="AD23" i="1"/>
  <c r="AH21" i="1"/>
  <c r="AE21" i="1"/>
  <c r="W21" i="1"/>
  <c r="AH23" i="1"/>
  <c r="AI23" i="1"/>
  <c r="AJ10" i="1"/>
  <c r="AG21" i="1"/>
  <c r="AG23" i="1"/>
  <c r="AA21" i="1"/>
  <c r="V21" i="1"/>
  <c r="X23" i="1"/>
  <c r="AE23" i="1"/>
  <c r="W23" i="1"/>
  <c r="AF23" i="1"/>
  <c r="AA23" i="1"/>
  <c r="AI21" i="1"/>
  <c r="Y23" i="1"/>
  <c r="AF21" i="1"/>
  <c r="AC21" i="1"/>
  <c r="AC23" i="1"/>
  <c r="V23" i="1"/>
  <c r="Z23" i="1"/>
  <c r="X21" i="1"/>
  <c r="AD21" i="1"/>
  <c r="AB23" i="1"/>
  <c r="AB21" i="1"/>
  <c r="Y21" i="1"/>
  <c r="AK21" i="1" l="1"/>
  <c r="M2" i="1"/>
  <c r="C7" i="1"/>
  <c r="M3" i="1" s="1"/>
  <c r="N2" i="1"/>
  <c r="O2" i="1" s="1"/>
  <c r="N3" i="1" l="1"/>
  <c r="O3" i="1" s="1"/>
  <c r="P3" i="1" s="1"/>
  <c r="P2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<sst xmlns="http://schemas.openxmlformats.org/spreadsheetml/2006/main" count="313" uniqueCount="175">
  <si>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</si>
  <si>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</si>
  <si>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</si>
  <si>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</si>
  <si>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</si>
  <si>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</si>
  <si>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</si>
  <si>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</si>
  <si>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</si>
  <si>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</si>
  <si>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</si>
  <si>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</si>
  <si>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</si>
  <si>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</si>
  <si>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</si>
  <si>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</si>
  <si>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</si>
  <si>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</si>
  <si>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</si>
  <si>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</si>
  <si>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</si>
  <si>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</si>
  <si>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</si>
  <si>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</si>
  <si>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</si>
  <si>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</si>
  <si>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</si>
  <si>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</si>
  <si>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</si>
  <si>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</si>
  <si>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</si>
  <si>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</si>
  <si>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</si>
  <si>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</si>
  <si>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</si>
  <si>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</si>
  <si>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</si>
  <si>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</si>
  <si>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</si>
  <si>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</si>
  <si>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</si>
  <si>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</si>
  <si>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</si>
  <si>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</si>
  <si>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</si>
  <si>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</si>
  <si>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</si>
  <si>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</si>
  <si>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</si>
  <si>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</si>
  <si>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</si>
  <si>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</si>
  <si>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</si>
  <si>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</si>
  <si>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</si>
  <si>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</si>
  <si>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</si>
  <si>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</si>
  <si>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</si>
  <si>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</si>
  <si>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</si>
  <si>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</si>
  <si>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</si>
  <si>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</si>
  <si>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</si>
  <si>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</si>
  <si>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</si>
  <si>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</si>
  <si>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</si>
  <si>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</si>
  <si>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</si>
  <si>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</si>
  <si>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</si>
  <si>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</si>
  <si>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</si>
  <si>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</si>
  <si>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</si>
  <si>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</si>
  <si>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</si>
  <si>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</si>
  <si>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</si>
  <si>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</si>
  <si>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</si>
  <si>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</si>
  <si>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</si>
  <si>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</si>
  <si>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</si>
  <si>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</si>
  <si>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</si>
  <si>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</si>
  <si>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</si>
  <si>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</si>
  <si>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</si>
  <si>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</si>
  <si>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</si>
  <si>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</si>
  <si>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</si>
  <si>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</si>
  <si>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</si>
  <si>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</si>
  <si>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</si>
  <si>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</si>
  <si>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</si>
  <si>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</si>
  <si>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</si>
  <si>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</si>
  <si>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</si>
  <si>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</si>
  <si>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</si>
  <si>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</si>
  <si>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</si>
  <si>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</si>
  <si>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</si>
  <si>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</si>
  <si>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</si>
  <si>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</si>
  <si>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</si>
  <si>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</si>
  <si>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</si>
  <si>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</si>
  <si>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</si>
  <si>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</si>
  <si>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</si>
  <si>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</si>
  <si>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</si>
  <si>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</si>
  <si>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</si>
  <si>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</si>
  <si>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</si>
  <si>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</si>
  <si>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</si>
  <si>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</si>
  <si>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</si>
  <si>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</si>
  <si>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</si>
  <si>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</si>
  <si>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</si>
  <si>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</si>
  <si>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</si>
  <si>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</si>
  <si>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</si>
  <si>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</si>
  <si>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</si>
  <si>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</si>
  <si>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</si>
  <si>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</si>
  <si>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</si>
  <si>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</si>
  <si>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</si>
  <si>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</si>
  <si>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</si>
  <si>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</si>
  <si>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</si>
  <si>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</si>
  <si>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</si>
  <si>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</si>
  <si>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</si>
  <si>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</si>
  <si>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</si>
  <si>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</si>
  <si>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</si>
  <si>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</si>
  <si>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</si>
  <si>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</si>
  <si>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</si>
  <si>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</si>
  <si>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</si>
  <si>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</si>
  <si>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</si>
  <si>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2017Q2</t>
  </si>
  <si>
    <t>2017Q3</t>
  </si>
  <si>
    <t>CORRELATION</t>
  </si>
  <si>
    <t>NSS_12_12</t>
  </si>
  <si>
    <t>SNN_SMT</t>
  </si>
  <si>
    <t>Sport Medicine &amp; ENT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</si>
</sst>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5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4" fontId="0" fillId="0" borderId="0" xfId="0" applyNumberFormat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8" fillId="0" borderId="0" xfId="0" applyFont="1" applyBorder="1" applyAlignment="1">
      <alignment horizontal="center" vertical="top"/>
    </xf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5" fontId="0" fillId="0" borderId="0" xfId="0" applyNumberFormat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6" borderId="5" xfId="0" applyFill="1" applyBorder="1"/>
    <xf numFmtId="164" fontId="0" fillId="0" borderId="1" xfId="1" applyNumberFormat="1" applyFont="1" applyFill="1" applyBorder="1" applyAlignment="1">
      <alignment horizontal="center"/>
    </xf>
    <xf numFmtId="164" fontId="0" fillId="17" borderId="0" xfId="0" applyNumberFormat="1" applyFill="1"/>
    <xf numFmtId="0" fontId="0" fillId="10" borderId="6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abSelected="1" topLeftCell="E1" zoomScale="70" zoomScaleNormal="70" workbookViewId="0">
      <selection activeCell="AK24" sqref="AK24"/>
    </sheetView>
  </sheetViews>
  <sheetFormatPr defaultRowHeight="12.75" x14ac:dyDescent="0.2"/>
  <cols>
    <col min="1" max="1" width="17.85546875" bestFit="1" customWidth="1"/>
    <col min="2" max="5" width="17.85546875" customWidth="1"/>
    <col min="6" max="35" width="10.7109375" customWidth="1"/>
    <col min="36" max="36" width="17.85546875" customWidth="1"/>
    <col min="37" max="38" width="10.7109375" customWidth="1"/>
  </cols>
  <sheetData>
    <row r="1" spans="1:37" x14ac:dyDescent="0.2">
      <c r="A1" s="131" t="s">
        <v>173</v>
      </c>
      <c r="B1" s="132"/>
      <c r="C1" s="133"/>
      <c r="K1" s="140" t="s">
        <v>35</v>
      </c>
      <c r="L1" s="141"/>
      <c r="M1" s="61" t="s">
        <v>31</v>
      </c>
      <c r="N1" s="61" t="s">
        <v>32</v>
      </c>
      <c r="O1" s="4" t="s">
        <v>39</v>
      </c>
      <c r="P1" s="142" t="s">
        <v>41</v>
      </c>
      <c r="Q1" s="143"/>
    </row>
    <row r="2" spans="1:37" x14ac:dyDescent="0.2">
      <c r="A2" s="134"/>
      <c r="B2" s="135"/>
      <c r="C2" s="136"/>
      <c r="K2" s="59" t="s">
        <v>37</v>
      </c>
      <c r="L2" s="60"/>
      <c r="M2" s="62">
        <f>$B$7*($AK$25-2*$AK$26)</f>
        <v>168.03564449281942</v>
      </c>
      <c r="N2" s="62">
        <f>$B$7*($AK$25+2*$AK$26)</f>
        <v>202.2893819307217</v>
      </c>
      <c r="O2" s="64">
        <f>AVERAGE(M2:N2)</f>
        <v>185.16251321177054</v>
      </c>
      <c r="P2" s="144">
        <f>$O$2/AF14-1</f>
        <v>7.9231484044981482E-3</v>
      </c>
      <c r="Q2" s="145"/>
    </row>
    <row r="3" spans="1:37" x14ac:dyDescent="0.2">
      <c r="A3" s="137"/>
      <c r="B3" s="138"/>
      <c r="C3" s="139"/>
      <c r="K3" s="45" t="s">
        <v>38</v>
      </c>
      <c r="L3" s="19"/>
      <c r="M3" s="63">
        <f>$C$7*($AK$25-2*$AK$26)</f>
        <v>172.61843479716904</v>
      </c>
      <c r="N3" s="63">
        <f>$C$7*($AK$25+2*$AK$26)</f>
        <v>207.80636507428684</v>
      </c>
      <c r="O3" s="65">
        <f>AVERAGE(M3:N3)</f>
        <v>190.21239993572794</v>
      </c>
      <c r="P3" s="146">
        <f>$O$3/AF15-1</f>
        <v>3.5411961542802795E-2</v>
      </c>
      <c r="Q3" s="147"/>
    </row>
    <row r="4" spans="1:37" x14ac:dyDescent="0.2">
      <c r="A4" s="50"/>
      <c r="B4" s="50"/>
      <c r="C4" s="50"/>
      <c r="N4" s="4" t="s">
        <v>40</v>
      </c>
      <c r="O4" s="65">
        <f>AVERAGE(O2:O3)</f>
        <v>187.68745657374924</v>
      </c>
      <c r="P4" s="146">
        <f>$O$4/AF15-1</f>
        <v>2.1667554973650471E-2</v>
      </c>
      <c r="Q4" s="147"/>
    </row>
    <row r="5" spans="1:37" x14ac:dyDescent="0.2">
      <c r="A5" s="58" t="s">
        <v>34</v>
      </c>
      <c r="B5" s="48" t="s">
        <v>31</v>
      </c>
      <c r="C5" s="49" t="s">
        <v>32</v>
      </c>
    </row>
    <row r="6" spans="1:37" ht="15.75" x14ac:dyDescent="0.25">
      <c r="A6" s="52" t="s">
        <v>33</v>
      </c>
      <c r="B6" s="56">
        <v>5016.2200000000012</v>
      </c>
      <c r="C6" s="57">
        <v>5153.0260000000007</v>
      </c>
    </row>
    <row r="7" spans="1:37" ht="14.25" x14ac:dyDescent="0.2">
      <c r="A7" s="53" t="s">
        <v>36</v>
      </c>
      <c r="B7" s="54">
        <f>B6*$AK$24</f>
        <v>763.7224317675915</v>
      </c>
      <c r="C7" s="55">
        <f>C6*$AK$24</f>
        <v>784.55122536125305</v>
      </c>
    </row>
    <row r="8" spans="1:37" x14ac:dyDescent="0.2">
      <c r="F8" s="50"/>
    </row>
    <row r="9" spans="1:37" x14ac:dyDescent="0.2">
      <c r="F9" s="50"/>
      <c r="G9" s="50"/>
      <c r="H9" s="50"/>
    </row>
    <row r="10" spans="1:37" x14ac:dyDescent="0.2">
      <c r="H10" s="115" t="s">
        <v>15</v>
      </c>
      <c r="I10" s="115"/>
      <c r="J10" s="35">
        <f>AVERAGE(F13:AJ13)</f>
        <v>1.1001609814090672</v>
      </c>
      <c r="AG10" s="115" t="s">
        <v>16</v>
      </c>
      <c r="AH10" s="115"/>
      <c r="AI10" s="115"/>
      <c r="AJ10" s="80">
        <f>AVERAGE(AG13:AJ13)</f>
        <v>1.2024439002911944</v>
      </c>
    </row>
    <row r="11" spans="1:37" x14ac:dyDescent="0.2">
      <c r="A11" s="51" t="s">
        <v>6</v>
      </c>
      <c r="B11" s="148">
        <v>2012</v>
      </c>
      <c r="C11" s="149"/>
      <c r="D11" s="149"/>
      <c r="E11" s="150"/>
      <c r="F11" s="121">
        <v>2014</v>
      </c>
      <c r="G11" s="121"/>
      <c r="H11" s="121"/>
      <c r="I11" s="122"/>
      <c r="J11" s="123">
        <v>2015</v>
      </c>
      <c r="K11" s="124"/>
      <c r="L11" s="124"/>
      <c r="M11" s="125"/>
      <c r="N11" s="123">
        <v>2016</v>
      </c>
      <c r="O11" s="124"/>
      <c r="P11" s="124"/>
      <c r="Q11" s="125"/>
      <c r="R11" s="157">
        <v>2017</v>
      </c>
      <c r="S11" s="158"/>
      <c r="T11" s="158"/>
      <c r="U11" s="159"/>
      <c r="V11" s="153">
        <v>2018</v>
      </c>
      <c r="W11" s="154"/>
      <c r="X11" s="154"/>
      <c r="Y11" s="155"/>
      <c r="Z11" s="117">
        <v>2019</v>
      </c>
      <c r="AA11" s="118"/>
      <c r="AB11" s="118"/>
      <c r="AC11" s="119"/>
      <c r="AD11" s="120">
        <v>2020</v>
      </c>
      <c r="AE11" s="121"/>
      <c r="AF11" s="121"/>
      <c r="AG11" s="122"/>
      <c r="AH11" s="123">
        <v>2021</v>
      </c>
      <c r="AI11" s="124"/>
      <c r="AJ11" s="124"/>
      <c r="AK11" s="125"/>
    </row>
    <row r="12" spans="1:37" x14ac:dyDescent="0.2">
      <c r="A12" s="14" t="s">
        <v>19</v>
      </c>
      <c r="B12" s="103" t="s">
        <v>20</v>
      </c>
      <c r="C12" s="103" t="s">
        <v>3</v>
      </c>
      <c r="D12" s="103" t="s">
        <v>4</v>
      </c>
      <c r="E12" s="103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7" t="s">
        <v>20</v>
      </c>
      <c r="AI12" s="38" t="s">
        <v>3</v>
      </c>
      <c r="AJ12" s="39" t="s">
        <v>21</v>
      </c>
      <c r="AK12" s="30" t="s">
        <v>22</v>
      </c>
    </row>
    <row r="13" spans="1:37" x14ac:dyDescent="0.2">
      <c r="A13" s="34" t="s">
        <v>2</v>
      </c>
      <c r="B13" s="104"/>
      <c r="C13" s="104"/>
      <c r="D13" s="104"/>
      <c r="E13" s="104"/>
      <c r="F13" s="84"/>
      <c r="G13" s="84"/>
      <c r="H13" s="84"/>
      <c r="I13" s="84"/>
      <c r="J13" s="84">
        <f>J15/F15</f>
        <v>1.5499830244024217</v>
      </c>
      <c r="K13" s="84">
        <f t="shared" ref="K13:AI13" si="0">K15/G15</f>
        <v>1.4331840329000263</v>
      </c>
      <c r="L13" s="84">
        <f t="shared" si="0"/>
        <v>1.2039191769721742</v>
      </c>
      <c r="M13" s="84">
        <f t="shared" si="0"/>
        <v>1.3105884406903452</v>
      </c>
      <c r="N13" s="84">
        <f t="shared" si="0"/>
        <v>0.95374209022227241</v>
      </c>
      <c r="O13" s="84">
        <f t="shared" si="0"/>
        <v>0.93011460704801741</v>
      </c>
      <c r="P13" s="84">
        <f t="shared" si="0"/>
        <v>0.89279929004806768</v>
      </c>
      <c r="Q13" s="84">
        <f t="shared" si="0"/>
        <v>0.85646914816986741</v>
      </c>
      <c r="R13" s="84">
        <f t="shared" si="0"/>
        <v>1.1600261563247567</v>
      </c>
      <c r="S13" s="84">
        <f t="shared" si="0"/>
        <v>1.1573923055775754</v>
      </c>
      <c r="T13" s="84">
        <f t="shared" si="0"/>
        <v>1.1841937151276689</v>
      </c>
      <c r="U13" s="84">
        <f t="shared" si="0"/>
        <v>1.1718355599653001</v>
      </c>
      <c r="V13" s="84">
        <f t="shared" si="0"/>
        <v>0.99829445196144606</v>
      </c>
      <c r="W13" s="84">
        <f t="shared" si="0"/>
        <v>1.0352485967500766</v>
      </c>
      <c r="X13" s="84">
        <f t="shared" si="0"/>
        <v>1.0546066717304539</v>
      </c>
      <c r="Y13" s="84">
        <f t="shared" si="0"/>
        <v>1.0383449151726276</v>
      </c>
      <c r="Z13" s="84">
        <f t="shared" si="0"/>
        <v>1.0548491355565144</v>
      </c>
      <c r="AA13" s="84">
        <f t="shared" si="0"/>
        <v>1.0767376106654787</v>
      </c>
      <c r="AB13" s="84">
        <f t="shared" si="0"/>
        <v>1.0908115475144848</v>
      </c>
      <c r="AC13" s="84">
        <f t="shared" si="0"/>
        <v>1.1275202222517309</v>
      </c>
      <c r="AD13" s="84">
        <f t="shared" si="0"/>
        <v>0.96575340267711163</v>
      </c>
      <c r="AE13" s="84">
        <f t="shared" si="0"/>
        <v>0.64323705122494268</v>
      </c>
      <c r="AF13" s="84">
        <f t="shared" si="0"/>
        <v>1.0049197439266757</v>
      </c>
      <c r="AG13" s="84">
        <f t="shared" si="0"/>
        <v>0.97148428399102627</v>
      </c>
      <c r="AH13" s="84">
        <f t="shared" si="0"/>
        <v>1.123995521205901</v>
      </c>
      <c r="AI13" s="84">
        <f t="shared" si="0"/>
        <v>1.6441535128337963</v>
      </c>
      <c r="AJ13" s="84">
        <f>AJ14/AF14</f>
        <v>1.0701422831340546</v>
      </c>
      <c r="AK13" s="31"/>
    </row>
    <row r="14" spans="1:37" x14ac:dyDescent="0.2">
      <c r="A14" s="15" t="s">
        <v>0</v>
      </c>
      <c r="B14" s="6"/>
      <c r="C14" s="6"/>
      <c r="D14" s="6"/>
      <c r="E14" s="6"/>
      <c r="F14" s="100">
        <v>96.338940361608337</v>
      </c>
      <c r="G14" s="100">
        <v>109.02591130522427</v>
      </c>
      <c r="H14" s="100">
        <v>124.84757370750856</v>
      </c>
      <c r="I14" s="100">
        <v>141.65694998465801</v>
      </c>
      <c r="J14" s="100">
        <v>149.32372214941023</v>
      </c>
      <c r="K14" s="100">
        <v>156.25419525502201</v>
      </c>
      <c r="L14" s="100">
        <v>150.30638818491656</v>
      </c>
      <c r="M14" s="100">
        <v>185.65396119334304</v>
      </c>
      <c r="N14" s="100">
        <v>142.41631888254835</v>
      </c>
      <c r="O14" s="100">
        <v>145.33430941922887</v>
      </c>
      <c r="P14" s="100">
        <v>134.19343666118277</v>
      </c>
      <c r="Q14" s="100">
        <v>159.00688999762411</v>
      </c>
      <c r="R14" s="100">
        <v>165.20665499124343</v>
      </c>
      <c r="S14" s="100">
        <v>168.20881145824606</v>
      </c>
      <c r="T14" s="100">
        <v>158.91102430555554</v>
      </c>
      <c r="U14" s="100">
        <v>186.32992797870673</v>
      </c>
      <c r="V14" s="100">
        <v>164.92488710486705</v>
      </c>
      <c r="W14" s="100">
        <v>174.13793602314743</v>
      </c>
      <c r="X14" s="100">
        <v>167.58862644415919</v>
      </c>
      <c r="Y14" s="100">
        <v>193.47473326117208</v>
      </c>
      <c r="Z14" s="100">
        <v>173.97087459432473</v>
      </c>
      <c r="AA14" s="100">
        <v>187.50086515978174</v>
      </c>
      <c r="AB14" s="100">
        <v>182.80760895738021</v>
      </c>
      <c r="AC14" s="100">
        <v>218.1466742467311</v>
      </c>
      <c r="AD14" s="100">
        <v>168.01296410618218</v>
      </c>
      <c r="AE14" s="100">
        <v>120.6075036075036</v>
      </c>
      <c r="AF14" s="100">
        <v>183.70697558129839</v>
      </c>
      <c r="AG14" s="100">
        <v>211.92606563560921</v>
      </c>
      <c r="AH14" s="100">
        <v>188.84581915987658</v>
      </c>
      <c r="AI14" s="100">
        <v>198.2972507303918</v>
      </c>
      <c r="AJ14" s="100">
        <v>196.59260227622269</v>
      </c>
      <c r="AK14">
        <v>226.89695534034698</v>
      </c>
    </row>
    <row r="15" spans="1:37" x14ac:dyDescent="0.2">
      <c r="A15" s="15" t="s">
        <v>1</v>
      </c>
      <c r="B15" s="6"/>
      <c r="C15" s="6"/>
      <c r="D15" s="6"/>
      <c r="E15" s="6"/>
      <c r="F15" s="100">
        <v>96.338940361608337</v>
      </c>
      <c r="G15" s="100">
        <v>109.02591130522427</v>
      </c>
      <c r="H15" s="100">
        <v>124.84757370750856</v>
      </c>
      <c r="I15" s="100">
        <v>141.6569499846579</v>
      </c>
      <c r="J15" s="100">
        <v>149.32372214941023</v>
      </c>
      <c r="K15" s="100">
        <v>156.2541952550219</v>
      </c>
      <c r="L15" s="100">
        <v>150.30638818491656</v>
      </c>
      <c r="M15" s="100">
        <v>185.65396119334301</v>
      </c>
      <c r="N15" s="100">
        <v>142.41631888254835</v>
      </c>
      <c r="O15" s="100">
        <v>145.33430941922887</v>
      </c>
      <c r="P15" s="100">
        <v>134.19343666118277</v>
      </c>
      <c r="Q15" s="100">
        <v>159.00688999762411</v>
      </c>
      <c r="R15" s="100">
        <v>165.20665499124343</v>
      </c>
      <c r="S15" s="100">
        <v>168.20881145824606</v>
      </c>
      <c r="T15" s="100">
        <v>158.91102430555554</v>
      </c>
      <c r="U15" s="100">
        <v>186.32992797870673</v>
      </c>
      <c r="V15" s="100">
        <v>164.92488710486705</v>
      </c>
      <c r="W15" s="100">
        <v>174.13793602314743</v>
      </c>
      <c r="X15" s="100">
        <v>167.58862644415919</v>
      </c>
      <c r="Y15" s="100">
        <v>193.47473326117208</v>
      </c>
      <c r="Z15" s="100">
        <v>173.97087459432473</v>
      </c>
      <c r="AA15" s="100">
        <v>187.50086515978174</v>
      </c>
      <c r="AB15" s="100">
        <v>182.80760895738021</v>
      </c>
      <c r="AC15" s="100">
        <v>218.1466742467311</v>
      </c>
      <c r="AD15" s="100">
        <v>168.01296410618218</v>
      </c>
      <c r="AE15" s="100">
        <v>120.6075036075036</v>
      </c>
      <c r="AF15" s="100">
        <v>183.70697558129839</v>
      </c>
      <c r="AG15" s="100">
        <v>211.92606563560921</v>
      </c>
      <c r="AH15" s="100">
        <v>188.84581915987658</v>
      </c>
      <c r="AI15" s="100">
        <v>198.2972507303918</v>
      </c>
      <c r="AJ15" s="100"/>
      <c r="AK15" s="100"/>
    </row>
    <row r="16" spans="1:37" x14ac:dyDescent="0.2">
      <c r="A16" s="15" t="s">
        <v>157</v>
      </c>
      <c r="B16" s="9"/>
      <c r="C16" s="9"/>
      <c r="D16" s="9"/>
      <c r="E16" s="9"/>
      <c r="F16" s="81">
        <v>1111.7</v>
      </c>
      <c r="G16" s="81">
        <v>1190.5999999999999</v>
      </c>
      <c r="H16" s="81">
        <v>1197.3</v>
      </c>
      <c r="I16" s="81">
        <v>1303.5999999999999</v>
      </c>
      <c r="J16" s="81">
        <v>1144.5</v>
      </c>
      <c r="K16" s="81">
        <v>1209.7</v>
      </c>
      <c r="L16" s="81">
        <v>1144.3</v>
      </c>
      <c r="M16" s="81">
        <v>1303.9000000000001</v>
      </c>
      <c r="N16" s="81">
        <v>1174.0999999999999</v>
      </c>
      <c r="O16" s="81">
        <v>1229.4000000000001</v>
      </c>
      <c r="P16" s="81">
        <v>1154.9000000000001</v>
      </c>
      <c r="Q16" s="81">
        <v>1262.7</v>
      </c>
      <c r="R16" s="81">
        <v>1142</v>
      </c>
      <c r="S16" s="81">
        <v>1193.9000000000001</v>
      </c>
      <c r="T16" s="81">
        <v>1152</v>
      </c>
      <c r="U16" s="81">
        <v>1277.4000000000001</v>
      </c>
      <c r="V16" s="81">
        <v>1195.8</v>
      </c>
      <c r="W16" s="81">
        <v>1244.2</v>
      </c>
      <c r="X16" s="81">
        <v>1168.5</v>
      </c>
      <c r="Y16" s="81">
        <v>1293.4000000000001</v>
      </c>
      <c r="Z16" s="81">
        <v>1201.7</v>
      </c>
      <c r="AA16" s="81">
        <v>1283</v>
      </c>
      <c r="AB16" s="81">
        <v>1245.9000000000001</v>
      </c>
      <c r="AC16" s="81">
        <v>1407.2</v>
      </c>
      <c r="AD16" s="81">
        <v>1133.9000000000001</v>
      </c>
      <c r="AE16">
        <v>900.9</v>
      </c>
      <c r="AF16" s="81">
        <v>1199.9000000000001</v>
      </c>
      <c r="AG16" s="81">
        <v>1325.5</v>
      </c>
      <c r="AH16" s="81">
        <v>1264.0999999999999</v>
      </c>
      <c r="AI16" s="81">
        <v>1334.9</v>
      </c>
      <c r="AJ16" s="81">
        <v>1300.4000000000001</v>
      </c>
      <c r="AK16" s="81"/>
    </row>
    <row r="17" spans="1:38" x14ac:dyDescent="0.2">
      <c r="A17" s="85" t="s">
        <v>18</v>
      </c>
      <c r="B17" s="86"/>
      <c r="C17" s="86"/>
      <c r="D17" s="86"/>
      <c r="E17" s="86"/>
      <c r="F17" s="86">
        <f t="shared" ref="F17:K17" si="1">F15/F16</f>
        <v>8.6659116993440977E-2</v>
      </c>
      <c r="G17" s="86">
        <f t="shared" si="1"/>
        <v>9.1572241983222141E-2</v>
      </c>
      <c r="H17" s="86">
        <f t="shared" si="1"/>
        <v>0.10427426184540931</v>
      </c>
      <c r="I17" s="86">
        <f t="shared" si="1"/>
        <v>0.1086659634739628</v>
      </c>
      <c r="J17" s="86">
        <f t="shared" si="1"/>
        <v>0.13047070524194865</v>
      </c>
      <c r="K17" s="86">
        <f t="shared" si="1"/>
        <v>0.12916772361331064</v>
      </c>
      <c r="L17" s="86">
        <f t="shared" ref="L17:X17" si="2">L15/L16</f>
        <v>0.13135225743678805</v>
      </c>
      <c r="M17" s="86">
        <f t="shared" si="2"/>
        <v>0.14238358861365366</v>
      </c>
      <c r="N17" s="86">
        <f t="shared" si="2"/>
        <v>0.12129828709866992</v>
      </c>
      <c r="O17" s="86">
        <f t="shared" si="2"/>
        <v>0.11821564130407423</v>
      </c>
      <c r="P17" s="86">
        <f t="shared" si="2"/>
        <v>0.11619485380654841</v>
      </c>
      <c r="Q17" s="86">
        <f t="shared" si="2"/>
        <v>0.12592610279371513</v>
      </c>
      <c r="R17" s="86">
        <f t="shared" si="2"/>
        <v>0.14466432135835677</v>
      </c>
      <c r="S17" s="86">
        <f t="shared" si="2"/>
        <v>0.14089020140568392</v>
      </c>
      <c r="T17" s="86">
        <f t="shared" si="2"/>
        <v>0.13794359748746141</v>
      </c>
      <c r="U17" s="86">
        <f t="shared" si="2"/>
        <v>0.14586654765829554</v>
      </c>
      <c r="V17" s="86">
        <f t="shared" si="2"/>
        <v>0.13792012636299303</v>
      </c>
      <c r="W17" s="86">
        <f t="shared" si="2"/>
        <v>0.1399597621147303</v>
      </c>
      <c r="X17" s="86">
        <f t="shared" si="2"/>
        <v>0.14342201664027315</v>
      </c>
      <c r="Y17" s="86">
        <f t="shared" ref="Y17:Z17" si="3">Y15/Y16</f>
        <v>0.14958615529702493</v>
      </c>
      <c r="Z17" s="86">
        <f t="shared" si="3"/>
        <v>0.14477063709272259</v>
      </c>
      <c r="AA17" s="86">
        <f>AA15/AA16</f>
        <v>0.14614252935290861</v>
      </c>
      <c r="AB17" s="86">
        <f>AB15/AB16</f>
        <v>0.14672735288336158</v>
      </c>
      <c r="AC17" s="86">
        <f>AC15/AC16</f>
        <v>0.15502179807186689</v>
      </c>
      <c r="AD17" s="86">
        <f>AD15/AD16</f>
        <v>0.14817264671151087</v>
      </c>
      <c r="AE17" s="86">
        <f t="shared" ref="AE17" si="4">AE15/AE16</f>
        <v>0.13387446287879187</v>
      </c>
      <c r="AF17" s="86">
        <f>AF15/AF16</f>
        <v>0.15310190480981614</v>
      </c>
      <c r="AG17" s="86">
        <f>AG15/AG16</f>
        <v>0.15988386694500883</v>
      </c>
      <c r="AH17" s="86">
        <f>AH15/AH16</f>
        <v>0.14939151899365288</v>
      </c>
      <c r="AI17" s="86">
        <f>AI15/AI16</f>
        <v>0.14854839368521372</v>
      </c>
      <c r="AJ17" s="87">
        <f>AJ14/AJ16</f>
        <v>0.15117856219334258</v>
      </c>
      <c r="AK17" s="88"/>
    </row>
    <row r="18" spans="1:38" x14ac:dyDescent="0.2">
      <c r="A18" s="85" t="s">
        <v>24</v>
      </c>
      <c r="B18" s="86"/>
      <c r="C18" s="86"/>
      <c r="D18" s="86"/>
      <c r="E18" s="89"/>
      <c r="F18" s="86">
        <f>F15/SUM(F15:I15)</f>
        <v>0.20416442641210505</v>
      </c>
      <c r="G18" s="86">
        <f>G15/SUM(F15:I15)</f>
        <v>0.2310510429338144</v>
      </c>
      <c r="H18" s="86">
        <f>H15/SUM(F15:I15)</f>
        <v>0.26458079338699253</v>
      </c>
      <c r="I18" s="89">
        <f>I15/SUM(F15:I15)</f>
        <v>0.30020373726708804</v>
      </c>
      <c r="J18" s="86">
        <f>J15/SUM(J15:M15)</f>
        <v>0.23275887017350855</v>
      </c>
      <c r="K18" s="86">
        <f>K15/SUM(J15:M15)</f>
        <v>0.24356176918118258</v>
      </c>
      <c r="L18" s="86">
        <f>L15/SUM(J15:M15)</f>
        <v>0.23429060426699355</v>
      </c>
      <c r="M18" s="89">
        <f>M15/SUM(J15:M15)</f>
        <v>0.28938875637831529</v>
      </c>
      <c r="N18" s="86">
        <f>N15/SUM(N15:Q15)</f>
        <v>0.2451434457013861</v>
      </c>
      <c r="O18" s="86">
        <f>O15/SUM(N15:Q15)</f>
        <v>0.25016622862611421</v>
      </c>
      <c r="P18" s="86">
        <f>P15/SUM(N15:Q15)</f>
        <v>0.23098926943030401</v>
      </c>
      <c r="Q18" s="89">
        <f>Q15/SUM(N15:Q15)</f>
        <v>0.27370105624219565</v>
      </c>
      <c r="R18" s="86">
        <f>R15/SUM(R15:U15)</f>
        <v>0.24343194940893467</v>
      </c>
      <c r="S18" s="86">
        <f>S15/SUM(R15:U15)</f>
        <v>0.24785562593232791</v>
      </c>
      <c r="T18" s="86">
        <f>T15/SUM(R15:U15)</f>
        <v>0.23415533975506242</v>
      </c>
      <c r="U18" s="89">
        <f>U15/SUM(R15:U15)</f>
        <v>0.27455708490367509</v>
      </c>
      <c r="V18" s="86">
        <f>V15/SUM(V15:Y15)</f>
        <v>0.23556451843784976</v>
      </c>
      <c r="W18" s="86">
        <f>W15/SUM(V15:Y15)</f>
        <v>0.24872364481274983</v>
      </c>
      <c r="X18" s="86">
        <f>X15/SUM(V15:Y15)</f>
        <v>0.2393691745192896</v>
      </c>
      <c r="Y18" s="89">
        <f>Y15/SUM(V15:Y15)</f>
        <v>0.27634266223011084</v>
      </c>
      <c r="Z18" s="86">
        <f>Z15/SUM(Z15:AC15)</f>
        <v>0.22818066193401509</v>
      </c>
      <c r="AA18" s="86">
        <f>AA15/SUM(Z15:AC15)</f>
        <v>0.24592663355360983</v>
      </c>
      <c r="AB18" s="86">
        <f>AB15/SUM(Z15:AC15)</f>
        <v>0.23977094623303324</v>
      </c>
      <c r="AC18" s="89">
        <f>AC15/SUM(Z15:AC15)</f>
        <v>0.28612175827934178</v>
      </c>
      <c r="AD18" s="86"/>
      <c r="AE18" s="86"/>
      <c r="AF18" s="86"/>
      <c r="AG18" s="89"/>
      <c r="AH18" s="86">
        <f>AH15/SUM(AH15:AI15,AJ14:AK14)</f>
        <v>0.23296103901058879</v>
      </c>
      <c r="AI18" s="86">
        <f>AI15/SUM(AH15:AI15,AJ14:AK14)</f>
        <v>0.24462036686121305</v>
      </c>
      <c r="AJ18" s="86">
        <f>AJ14/SUM(AH15:AI15,AJ14:AK14)</f>
        <v>0.24251750497738797</v>
      </c>
      <c r="AK18" s="89">
        <f>AK14/SUM(AH15:AI15,AJ14:AK14)</f>
        <v>0.27990108915081019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/>
      <c r="L19" s="12"/>
      <c r="M19" s="13"/>
      <c r="N19" s="9"/>
      <c r="O19" s="12"/>
      <c r="P19" s="12"/>
      <c r="Q19" s="6"/>
      <c r="R19" s="82"/>
      <c r="S19">
        <v>168.29550213585725</v>
      </c>
      <c r="T19">
        <v>164.62598958333331</v>
      </c>
      <c r="U19">
        <v>196.12576326914044</v>
      </c>
      <c r="V19">
        <v>178.32824887104869</v>
      </c>
      <c r="W19">
        <v>180.71752933611964</v>
      </c>
      <c r="X19">
        <v>161.69902439024392</v>
      </c>
      <c r="Y19">
        <v>184.92286995515695</v>
      </c>
      <c r="Z19">
        <v>177.61504535241741</v>
      </c>
      <c r="AA19">
        <v>178.52303195635227</v>
      </c>
      <c r="AB19">
        <v>177.50501645396901</v>
      </c>
      <c r="AC19">
        <v>206.93803297328026</v>
      </c>
      <c r="AD19">
        <v>180.7368374636211</v>
      </c>
      <c r="AE19">
        <v>108.62626262626263</v>
      </c>
      <c r="AF19">
        <v>168.77239769980829</v>
      </c>
      <c r="AG19">
        <v>228.82474537910221</v>
      </c>
      <c r="AH19">
        <v>162.70247606993118</v>
      </c>
      <c r="AI19">
        <v>181.95310510150574</v>
      </c>
      <c r="AJ19" s="83"/>
      <c r="AK19" s="13"/>
    </row>
    <row r="20" spans="1:38" x14ac:dyDescent="0.2">
      <c r="I20" s="7"/>
      <c r="J20" s="7"/>
      <c r="K20" s="7"/>
      <c r="N20" s="7"/>
      <c r="O20" s="7"/>
      <c r="P20" s="7"/>
      <c r="Q20" s="126" t="s">
        <v>7</v>
      </c>
      <c r="R20" s="127"/>
      <c r="S20" s="7">
        <f t="shared" ref="S20:AH20" si="5">IF(S15&gt;S19,1,0)</f>
        <v>0</v>
      </c>
      <c r="T20" s="7">
        <f t="shared" si="5"/>
        <v>0</v>
      </c>
      <c r="U20" s="7">
        <f t="shared" si="5"/>
        <v>0</v>
      </c>
      <c r="V20" s="7">
        <f t="shared" si="5"/>
        <v>0</v>
      </c>
      <c r="W20" s="7">
        <f t="shared" si="5"/>
        <v>0</v>
      </c>
      <c r="X20" s="7">
        <f t="shared" si="5"/>
        <v>1</v>
      </c>
      <c r="Y20" s="7">
        <f t="shared" si="5"/>
        <v>1</v>
      </c>
      <c r="Z20" s="7">
        <f t="shared" si="5"/>
        <v>0</v>
      </c>
      <c r="AA20" s="7">
        <f t="shared" si="5"/>
        <v>1</v>
      </c>
      <c r="AB20" s="7">
        <f t="shared" si="5"/>
        <v>1</v>
      </c>
      <c r="AC20" s="7">
        <f t="shared" si="5"/>
        <v>1</v>
      </c>
      <c r="AD20" s="7">
        <f t="shared" si="5"/>
        <v>0</v>
      </c>
      <c r="AE20" s="7">
        <f t="shared" si="5"/>
        <v>1</v>
      </c>
      <c r="AF20" s="7">
        <f t="shared" si="5"/>
        <v>1</v>
      </c>
      <c r="AG20" s="7">
        <f t="shared" si="5"/>
        <v>0</v>
      </c>
      <c r="AH20" s="7">
        <f t="shared" si="5"/>
        <v>1</v>
      </c>
      <c r="AI20" s="8">
        <f>IF(AI15&gt;AI19,1,0)</f>
        <v>1</v>
      </c>
      <c r="AJ20" s="45" t="s">
        <v>8</v>
      </c>
      <c r="AK20" s="42">
        <f>AVERAGE(S20:AI20)</f>
        <v>0.52941176470588236</v>
      </c>
    </row>
    <row r="21" spans="1:38" x14ac:dyDescent="0.2">
      <c r="N21" s="6"/>
      <c r="O21" s="6"/>
      <c r="P21" s="6"/>
      <c r="Q21" s="151" t="s">
        <v>9</v>
      </c>
      <c r="R21" s="152"/>
      <c r="S21" s="6"/>
      <c r="T21" s="6"/>
      <c r="U21" s="6"/>
      <c r="V21" s="6">
        <f t="shared" ref="V21:AI21" si="6">AVERAGE(S20:V20)</f>
        <v>0</v>
      </c>
      <c r="W21" s="6">
        <f t="shared" si="6"/>
        <v>0</v>
      </c>
      <c r="X21" s="6">
        <f t="shared" si="6"/>
        <v>0.25</v>
      </c>
      <c r="Y21" s="6">
        <f t="shared" si="6"/>
        <v>0.5</v>
      </c>
      <c r="Z21" s="6">
        <f t="shared" si="6"/>
        <v>0.5</v>
      </c>
      <c r="AA21" s="6">
        <f t="shared" si="6"/>
        <v>0.75</v>
      </c>
      <c r="AB21" s="6">
        <f t="shared" si="6"/>
        <v>0.75</v>
      </c>
      <c r="AC21" s="6">
        <f t="shared" si="6"/>
        <v>0.75</v>
      </c>
      <c r="AD21" s="6">
        <f t="shared" si="6"/>
        <v>0.75</v>
      </c>
      <c r="AE21" s="6">
        <f t="shared" si="6"/>
        <v>0.75</v>
      </c>
      <c r="AF21" s="6">
        <f t="shared" si="6"/>
        <v>0.75</v>
      </c>
      <c r="AG21" s="6">
        <f t="shared" si="6"/>
        <v>0.5</v>
      </c>
      <c r="AH21" s="6">
        <f>AVERAGE(AE20:AH20)</f>
        <v>0.75</v>
      </c>
      <c r="AI21" s="10">
        <f t="shared" si="6"/>
        <v>0.75</v>
      </c>
      <c r="AJ21" s="41" t="s">
        <v>10</v>
      </c>
      <c r="AK21" s="42">
        <f>AVERAGE(V21:AI21)</f>
        <v>0.5535714285714286</v>
      </c>
    </row>
    <row r="22" spans="1:38" x14ac:dyDescent="0.2">
      <c r="I22" s="18"/>
      <c r="J22" s="18"/>
      <c r="K22" s="18"/>
      <c r="N22" s="18"/>
      <c r="O22" s="18"/>
      <c r="P22" s="18"/>
      <c r="Q22" s="111" t="s">
        <v>11</v>
      </c>
      <c r="R22" s="156"/>
      <c r="S22" s="18">
        <f t="shared" ref="S22:AI22" si="7">S15/S19-1</f>
        <v>-5.1510989010983277E-4</v>
      </c>
      <c r="T22" s="18">
        <f t="shared" si="7"/>
        <v>-3.4714842366276977E-2</v>
      </c>
      <c r="U22" s="18">
        <f t="shared" si="7"/>
        <v>-4.994670321303496E-2</v>
      </c>
      <c r="V22" s="18">
        <f t="shared" si="7"/>
        <v>-7.5161180861893384E-2</v>
      </c>
      <c r="W22" s="18">
        <f t="shared" si="7"/>
        <v>-3.6408163265306159E-2</v>
      </c>
      <c r="X22" s="18">
        <f t="shared" si="7"/>
        <v>3.6423238025860449E-2</v>
      </c>
      <c r="Y22" s="18">
        <f t="shared" si="7"/>
        <v>4.6245568804382575E-2</v>
      </c>
      <c r="Z22" s="18">
        <f t="shared" si="7"/>
        <v>-2.0517241379310214E-2</v>
      </c>
      <c r="AA22" s="18">
        <f t="shared" si="7"/>
        <v>5.0289495450785759E-2</v>
      </c>
      <c r="AB22" s="18">
        <f t="shared" si="7"/>
        <v>2.9872916322825738E-2</v>
      </c>
      <c r="AC22" s="18">
        <f t="shared" si="7"/>
        <v>5.4164239953407245E-2</v>
      </c>
      <c r="AD22" s="18">
        <f t="shared" si="7"/>
        <v>-7.0399999999999907E-2</v>
      </c>
      <c r="AE22" s="18">
        <f t="shared" si="7"/>
        <v>0.11029782937910149</v>
      </c>
      <c r="AF22" s="18">
        <f t="shared" si="7"/>
        <v>8.8489457310749975E-2</v>
      </c>
      <c r="AG22" s="18">
        <f t="shared" si="7"/>
        <v>-7.384987893462458E-2</v>
      </c>
      <c r="AH22" s="18">
        <f t="shared" si="7"/>
        <v>0.16068190061661225</v>
      </c>
      <c r="AI22" s="40">
        <f t="shared" si="7"/>
        <v>8.9826142949130716E-2</v>
      </c>
      <c r="AJ22" s="41" t="s">
        <v>13</v>
      </c>
      <c r="AK22" s="43">
        <f>MEDIAN(S22:AI22)</f>
        <v>2.9872916322825738E-2</v>
      </c>
    </row>
    <row r="23" spans="1:38" x14ac:dyDescent="0.2">
      <c r="N23" s="32"/>
      <c r="O23" s="32"/>
      <c r="P23" s="32"/>
      <c r="Q23" s="151" t="s">
        <v>12</v>
      </c>
      <c r="R23" s="152"/>
      <c r="S23" s="32"/>
      <c r="T23" s="32"/>
      <c r="U23" s="32"/>
      <c r="V23" s="32">
        <f t="shared" ref="V23:AI23" si="8">AVERAGE(S22:V22)</f>
        <v>-4.0084459082828788E-2</v>
      </c>
      <c r="W23" s="32">
        <f t="shared" si="8"/>
        <v>-4.905772242662787E-2</v>
      </c>
      <c r="X23" s="32">
        <f t="shared" si="8"/>
        <v>-3.1273202328593513E-2</v>
      </c>
      <c r="Y23" s="32">
        <f t="shared" si="8"/>
        <v>-7.2251343242391297E-3</v>
      </c>
      <c r="Z23" s="32">
        <f t="shared" si="8"/>
        <v>6.4358505464066629E-3</v>
      </c>
      <c r="AA23" s="32">
        <f t="shared" si="8"/>
        <v>2.8110265225429643E-2</v>
      </c>
      <c r="AB23" s="32">
        <f t="shared" si="8"/>
        <v>2.6472684799670965E-2</v>
      </c>
      <c r="AC23" s="32">
        <f t="shared" si="8"/>
        <v>2.8452352586927132E-2</v>
      </c>
      <c r="AD23" s="32">
        <f t="shared" si="8"/>
        <v>1.5981662931754709E-2</v>
      </c>
      <c r="AE23" s="32">
        <f t="shared" si="8"/>
        <v>3.098374641383364E-2</v>
      </c>
      <c r="AF23" s="32">
        <f t="shared" si="8"/>
        <v>4.56378816608147E-2</v>
      </c>
      <c r="AG23" s="32">
        <f t="shared" si="8"/>
        <v>1.3634351938806744E-2</v>
      </c>
      <c r="AH23" s="32">
        <f t="shared" si="8"/>
        <v>7.1404827092959783E-2</v>
      </c>
      <c r="AI23" s="33">
        <f t="shared" si="8"/>
        <v>6.628690548546709E-2</v>
      </c>
      <c r="AJ23" s="19" t="s">
        <v>14</v>
      </c>
      <c r="AK23" s="33">
        <f>MEDIAN(V23:AI23)</f>
        <v>2.1227173865712837E-2</v>
      </c>
    </row>
    <row r="24" spans="1:38" x14ac:dyDescent="0.2">
      <c r="Q24" s="126" t="s">
        <v>25</v>
      </c>
      <c r="R24" s="127"/>
      <c r="S24" s="99">
        <f>AVERAGE(X22:Y22,AA22:AC22,AE22:AF22,AH22:AI22)</f>
        <v>7.4032309868095128E-2</v>
      </c>
      <c r="T24" s="111" t="s">
        <v>29</v>
      </c>
      <c r="U24" s="112"/>
      <c r="V24" s="46">
        <f>MEDIAN(X22:Y22,AA22:AC22,AE22:AF22,AH22:AI22)</f>
        <v>5.4164239953407245E-2</v>
      </c>
      <c r="AF24" s="3"/>
      <c r="AG24" s="128" t="s">
        <v>23</v>
      </c>
      <c r="AH24" s="129"/>
      <c r="AI24" s="129"/>
      <c r="AJ24" s="130"/>
      <c r="AK24" s="44">
        <f>AVERAGE(AG17:AJ17)</f>
        <v>0.1522505854543045</v>
      </c>
    </row>
    <row r="25" spans="1:38" x14ac:dyDescent="0.2">
      <c r="Q25" s="113" t="s">
        <v>26</v>
      </c>
      <c r="R25" s="116"/>
      <c r="S25" s="98">
        <f>AVERAGE(S22:W22,Z22,AD22,AG22)</f>
        <v>-4.5189139988819502E-2</v>
      </c>
      <c r="T25" s="113" t="s">
        <v>30</v>
      </c>
      <c r="U25" s="114"/>
      <c r="V25" s="33">
        <f>MEDIAN(S22:W22,Z22,AD22,AG22)</f>
        <v>-4.317743323917056E-2</v>
      </c>
      <c r="AG25" s="107" t="s">
        <v>27</v>
      </c>
      <c r="AH25" s="108"/>
      <c r="AI25" s="108"/>
      <c r="AJ25" s="108"/>
      <c r="AK25" s="46">
        <f>AVERAGE(AJ18,AB18,L18,X18,H18,T18)</f>
        <v>0.24244739385645989</v>
      </c>
    </row>
    <row r="26" spans="1:38" x14ac:dyDescent="0.2">
      <c r="AG26" s="109" t="s">
        <v>28</v>
      </c>
      <c r="AH26" s="110"/>
      <c r="AI26" s="110"/>
      <c r="AJ26" s="110"/>
      <c r="AK26" s="47">
        <f>_xlfn.STDEV.S(AJ18,P18,L18,T18,AB18,H18,X18)</f>
        <v>1.1212757414570108E-2</v>
      </c>
    </row>
    <row r="29" spans="1:38" ht="18" customHeight="1" x14ac:dyDescent="0.2"/>
  </sheetData>
  <mergeCells count="28">
    <mergeCell ref="P4:Q4"/>
    <mergeCell ref="B11:E11"/>
    <mergeCell ref="Q21:R21"/>
    <mergeCell ref="V11:Y11"/>
    <mergeCell ref="Q24:R24"/>
    <mergeCell ref="Q23:R23"/>
    <mergeCell ref="Q22:R22"/>
    <mergeCell ref="F11:I11"/>
    <mergeCell ref="J11:M11"/>
    <mergeCell ref="N11:Q11"/>
    <mergeCell ref="R11:U11"/>
    <mergeCell ref="A1:C3"/>
    <mergeCell ref="K1:L1"/>
    <mergeCell ref="P1:Q1"/>
    <mergeCell ref="P2:Q2"/>
    <mergeCell ref="P3:Q3"/>
    <mergeCell ref="AG25:AJ25"/>
    <mergeCell ref="AG26:AJ26"/>
    <mergeCell ref="T24:U24"/>
    <mergeCell ref="T25:U25"/>
    <mergeCell ref="H10:I10"/>
    <mergeCell ref="AG10:AI10"/>
    <mergeCell ref="Q25:R25"/>
    <mergeCell ref="Z11:AC11"/>
    <mergeCell ref="AD11:AG11"/>
    <mergeCell ref="AH11:AK11"/>
    <mergeCell ref="Q20:R20"/>
    <mergeCell ref="AG24:AJ24"/>
  </mergeCells>
  <conditionalFormatting sqref="I20:K20 N20:P20 S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:P21 S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K22 N22:P22 S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3:P23 S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I22:K22 N22:P22 S22:AI22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N23:P23 S23:AI23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8"/>
  <sheetViews>
    <sheetView zoomScale="85" zoomScaleNormal="85" workbookViewId="0">
      <selection activeCell="S7" sqref="A7:XFD22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79</v>
      </c>
      <c r="B1" t="s">
        <v>80</v>
      </c>
    </row>
    <row r="4" spans="1:21" x14ac:dyDescent="0.2">
      <c r="A4" s="162" t="s">
        <v>75</v>
      </c>
      <c r="B4" s="162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173</v>
      </c>
      <c r="B6" t="s">
        <v>174</v>
      </c>
      <c r="C6" t="s">
        <v>169</v>
      </c>
      <c r="D6">
        <v>20170720</v>
      </c>
      <c r="E6">
        <v>222.09177</v>
      </c>
      <c r="F6">
        <v>221.74177700000001</v>
      </c>
      <c r="G6">
        <v>201.29884100000001</v>
      </c>
      <c r="H6">
        <v>228.11774</v>
      </c>
      <c r="I6">
        <v>137.83575400000001</v>
      </c>
      <c r="J6">
        <f>AVERAGE(E6:H6)</f>
        <v>218.312532</v>
      </c>
      <c r="R6">
        <v>168.29550213585725</v>
      </c>
      <c r="S6" s="100">
        <v>168.20881145824606</v>
      </c>
    </row>
    <row r="7" spans="1:21" x14ac:dyDescent="0.2">
      <c r="A7" t="s">
        <v>173</v>
      </c>
      <c r="B7" t="s">
        <v>174</v>
      </c>
      <c r="C7" t="s">
        <v>170</v>
      </c>
      <c r="D7">
        <v>20171026</v>
      </c>
      <c r="E7">
        <v>189.033458</v>
      </c>
      <c r="F7">
        <v>186.18858399999999</v>
      </c>
      <c r="G7">
        <v>172.664466</v>
      </c>
      <c r="H7">
        <v>171.90589499999999</v>
      </c>
      <c r="I7">
        <v>102.73894199999999</v>
      </c>
      <c r="J7">
        <f t="shared" ref="J7:J23" si="0">AVERAGE(E7:H7)</f>
        <v>179.94810075000001</v>
      </c>
      <c r="K7">
        <f>(E7/E6)*$S6</f>
        <v>143.17096620024361</v>
      </c>
      <c r="L7">
        <f>(F7/F6)*$S6</f>
        <v>141.2388808525414</v>
      </c>
      <c r="M7">
        <f>(G7/G6)*$S6</f>
        <v>144.28142985151482</v>
      </c>
      <c r="N7">
        <f>(H7/H6)*$S6</f>
        <v>126.75948078661501</v>
      </c>
      <c r="O7">
        <f t="shared" ref="O7:P7" si="1">(I7/I6)*$S6</f>
        <v>125.37817527589884</v>
      </c>
      <c r="P7">
        <f t="shared" si="1"/>
        <v>138.64919193611027</v>
      </c>
      <c r="Q7">
        <f>AVERAGE(K7:P7)</f>
        <v>136.57968748382066</v>
      </c>
      <c r="R7">
        <v>164.62598958333331</v>
      </c>
      <c r="S7" s="100">
        <v>158.91102430555554</v>
      </c>
      <c r="T7" s="91"/>
      <c r="U7" s="90"/>
    </row>
    <row r="8" spans="1:21" x14ac:dyDescent="0.2">
      <c r="A8" t="s">
        <v>173</v>
      </c>
      <c r="B8" t="s">
        <v>174</v>
      </c>
      <c r="C8" t="s">
        <v>167</v>
      </c>
      <c r="D8">
        <v>20180201</v>
      </c>
      <c r="E8">
        <v>232.970347</v>
      </c>
      <c r="F8">
        <v>233.653291</v>
      </c>
      <c r="G8">
        <v>221.090361</v>
      </c>
      <c r="H8">
        <v>208.571247</v>
      </c>
      <c r="I8">
        <v>131.23191299999999</v>
      </c>
      <c r="J8">
        <f t="shared" si="0"/>
        <v>224.07131150000001</v>
      </c>
      <c r="K8">
        <f t="shared" ref="K8:K23" si="2">(E8/E7)*$S7</f>
        <v>195.84658116231842</v>
      </c>
      <c r="L8">
        <f t="shared" ref="L8:L23" si="3">(F8/F7)*$S7</f>
        <v>199.42191410174775</v>
      </c>
      <c r="M8">
        <f t="shared" ref="M8:M23" si="4">(G8/G7)*$S7</f>
        <v>203.47959568354409</v>
      </c>
      <c r="N8">
        <f t="shared" ref="N8:N23" si="5">(H8/H7)*$S7</f>
        <v>192.80473483156021</v>
      </c>
      <c r="O8">
        <f t="shared" ref="O8:O23" si="6">(I8/I7)*$S7</f>
        <v>202.98240677237604</v>
      </c>
      <c r="P8">
        <f t="shared" ref="P8:P22" si="7">(J8/J7)*$S7</f>
        <v>197.87595134123251</v>
      </c>
      <c r="Q8">
        <f t="shared" ref="Q8:Q23" si="8">AVERAGE(K8:P8)</f>
        <v>198.73519731546318</v>
      </c>
      <c r="R8">
        <v>196.12576326914044</v>
      </c>
      <c r="S8" s="100">
        <v>186.32992797870673</v>
      </c>
      <c r="T8" s="91"/>
      <c r="U8" s="90"/>
    </row>
    <row r="9" spans="1:21" x14ac:dyDescent="0.2">
      <c r="A9" t="s">
        <v>173</v>
      </c>
      <c r="B9" t="s">
        <v>174</v>
      </c>
      <c r="C9" t="s">
        <v>42</v>
      </c>
      <c r="D9">
        <v>20180426</v>
      </c>
      <c r="E9">
        <v>183.93405100000001</v>
      </c>
      <c r="F9">
        <v>184.094561</v>
      </c>
      <c r="G9">
        <v>171.30217999999999</v>
      </c>
      <c r="H9">
        <v>168.40961100000001</v>
      </c>
      <c r="I9">
        <v>119.93317399999999</v>
      </c>
      <c r="J9">
        <f t="shared" si="0"/>
        <v>176.93510075</v>
      </c>
      <c r="K9">
        <f t="shared" si="2"/>
        <v>147.1106469857375</v>
      </c>
      <c r="L9">
        <f t="shared" si="3"/>
        <v>146.80865887055549</v>
      </c>
      <c r="M9">
        <f t="shared" si="4"/>
        <v>144.36958136766285</v>
      </c>
      <c r="N9">
        <f t="shared" si="5"/>
        <v>150.45099044046094</v>
      </c>
      <c r="O9">
        <f t="shared" si="6"/>
        <v>170.28738789838187</v>
      </c>
      <c r="P9">
        <f t="shared" si="7"/>
        <v>147.13309061723737</v>
      </c>
      <c r="Q9">
        <f t="shared" si="8"/>
        <v>151.02672603000602</v>
      </c>
      <c r="R9">
        <v>178.32824887104869</v>
      </c>
      <c r="S9" s="100">
        <v>164.92488710486705</v>
      </c>
      <c r="T9" s="9"/>
      <c r="U9" s="62"/>
    </row>
    <row r="10" spans="1:21" x14ac:dyDescent="0.2">
      <c r="A10" t="s">
        <v>173</v>
      </c>
      <c r="B10" t="s">
        <v>174</v>
      </c>
      <c r="C10" t="s">
        <v>43</v>
      </c>
      <c r="D10">
        <v>20180719</v>
      </c>
      <c r="E10">
        <v>182.92257799999999</v>
      </c>
      <c r="F10">
        <v>181.806164</v>
      </c>
      <c r="G10">
        <v>166.009321</v>
      </c>
      <c r="H10">
        <v>168.85352700000001</v>
      </c>
      <c r="I10">
        <v>120.676967</v>
      </c>
      <c r="J10">
        <f t="shared" si="0"/>
        <v>174.8978975</v>
      </c>
      <c r="K10">
        <f t="shared" si="2"/>
        <v>164.01794752827595</v>
      </c>
      <c r="L10">
        <f t="shared" si="3"/>
        <v>162.87477973164533</v>
      </c>
      <c r="M10">
        <f t="shared" si="4"/>
        <v>159.82907236954389</v>
      </c>
      <c r="N10">
        <f t="shared" si="5"/>
        <v>165.35961761549117</v>
      </c>
      <c r="O10">
        <f t="shared" si="6"/>
        <v>165.94770650056148</v>
      </c>
      <c r="P10">
        <f t="shared" si="7"/>
        <v>163.02596758809659</v>
      </c>
      <c r="Q10">
        <f t="shared" si="8"/>
        <v>163.50918188893573</v>
      </c>
      <c r="R10">
        <v>180.71752933611964</v>
      </c>
      <c r="S10" s="100">
        <v>174.13793602314743</v>
      </c>
      <c r="T10" s="9"/>
      <c r="U10" s="62"/>
    </row>
    <row r="11" spans="1:21" x14ac:dyDescent="0.2">
      <c r="A11" t="s">
        <v>173</v>
      </c>
      <c r="B11" t="s">
        <v>174</v>
      </c>
      <c r="C11" t="s">
        <v>44</v>
      </c>
      <c r="D11">
        <v>20181025</v>
      </c>
      <c r="E11">
        <v>167.96942799999999</v>
      </c>
      <c r="F11">
        <v>167.22450699999999</v>
      </c>
      <c r="G11">
        <v>151.946832</v>
      </c>
      <c r="H11">
        <v>153.286575</v>
      </c>
      <c r="I11">
        <v>106.97063300000001</v>
      </c>
      <c r="J11">
        <f t="shared" si="0"/>
        <v>160.10683549999999</v>
      </c>
      <c r="K11">
        <f t="shared" si="2"/>
        <v>159.90289349031954</v>
      </c>
      <c r="L11">
        <f t="shared" si="3"/>
        <v>160.1713047609781</v>
      </c>
      <c r="M11">
        <f t="shared" si="4"/>
        <v>159.38687990739948</v>
      </c>
      <c r="N11">
        <f t="shared" si="5"/>
        <v>158.08380354742243</v>
      </c>
      <c r="O11">
        <f t="shared" si="6"/>
        <v>154.35957423183814</v>
      </c>
      <c r="P11">
        <f t="shared" si="7"/>
        <v>159.4111437341183</v>
      </c>
      <c r="Q11">
        <f t="shared" si="8"/>
        <v>158.55259994534597</v>
      </c>
      <c r="R11">
        <v>161.69902439024392</v>
      </c>
      <c r="S11" s="100">
        <v>167.58862644415919</v>
      </c>
      <c r="T11" s="9"/>
      <c r="U11" s="62"/>
    </row>
    <row r="12" spans="1:21" x14ac:dyDescent="0.2">
      <c r="A12" t="s">
        <v>173</v>
      </c>
      <c r="B12" t="s">
        <v>174</v>
      </c>
      <c r="C12" t="s">
        <v>45</v>
      </c>
      <c r="D12">
        <v>20190131</v>
      </c>
      <c r="E12">
        <v>191.16734700000001</v>
      </c>
      <c r="F12">
        <v>192.57420500000001</v>
      </c>
      <c r="G12">
        <v>176.10402999999999</v>
      </c>
      <c r="H12">
        <v>186.292743</v>
      </c>
      <c r="I12">
        <v>126.897953</v>
      </c>
      <c r="J12">
        <f t="shared" si="0"/>
        <v>186.53458125</v>
      </c>
      <c r="K12">
        <f t="shared" si="2"/>
        <v>190.73395370914733</v>
      </c>
      <c r="L12">
        <f t="shared" si="3"/>
        <v>192.99352160461706</v>
      </c>
      <c r="M12">
        <f t="shared" si="4"/>
        <v>194.23262802202419</v>
      </c>
      <c r="N12">
        <f t="shared" si="5"/>
        <v>203.67435906167745</v>
      </c>
      <c r="O12">
        <f t="shared" si="6"/>
        <v>198.80833688107157</v>
      </c>
      <c r="P12">
        <f t="shared" si="7"/>
        <v>195.25134050896855</v>
      </c>
      <c r="Q12">
        <f t="shared" si="8"/>
        <v>195.94902329791771</v>
      </c>
      <c r="R12">
        <v>184.92286995515695</v>
      </c>
      <c r="S12" s="100">
        <v>193.47473326117208</v>
      </c>
      <c r="T12" s="9"/>
      <c r="U12" s="62"/>
    </row>
    <row r="13" spans="1:21" x14ac:dyDescent="0.2">
      <c r="A13" t="s">
        <v>173</v>
      </c>
      <c r="B13" t="s">
        <v>174</v>
      </c>
      <c r="C13" t="s">
        <v>46</v>
      </c>
      <c r="D13">
        <v>20190425</v>
      </c>
      <c r="E13">
        <v>182.841849</v>
      </c>
      <c r="F13">
        <v>184.49296200000001</v>
      </c>
      <c r="G13">
        <v>178.64968300000001</v>
      </c>
      <c r="H13">
        <v>172.81302099999999</v>
      </c>
      <c r="I13">
        <v>115.18321299999999</v>
      </c>
      <c r="J13">
        <f t="shared" si="0"/>
        <v>179.69937874999999</v>
      </c>
      <c r="K13">
        <f t="shared" si="2"/>
        <v>185.04874665784058</v>
      </c>
      <c r="L13">
        <f t="shared" si="3"/>
        <v>185.35570021703353</v>
      </c>
      <c r="M13">
        <f t="shared" si="4"/>
        <v>196.27148660719433</v>
      </c>
      <c r="N13">
        <f t="shared" si="5"/>
        <v>179.47533867184686</v>
      </c>
      <c r="O13">
        <f t="shared" si="6"/>
        <v>175.61387622493618</v>
      </c>
      <c r="P13">
        <f t="shared" si="7"/>
        <v>186.38522218171587</v>
      </c>
      <c r="Q13">
        <f t="shared" si="8"/>
        <v>184.69172842676122</v>
      </c>
      <c r="R13">
        <v>177.61504535241741</v>
      </c>
      <c r="S13" s="100">
        <v>173.97087459432473</v>
      </c>
      <c r="T13" s="9"/>
      <c r="U13" s="62"/>
    </row>
    <row r="14" spans="1:21" x14ac:dyDescent="0.2">
      <c r="A14" t="s">
        <v>173</v>
      </c>
      <c r="B14" t="s">
        <v>174</v>
      </c>
      <c r="C14" t="s">
        <v>47</v>
      </c>
      <c r="D14">
        <v>20190725</v>
      </c>
      <c r="E14">
        <v>190.96892500000001</v>
      </c>
      <c r="F14">
        <v>191.33515700000001</v>
      </c>
      <c r="G14">
        <v>187.776051</v>
      </c>
      <c r="H14">
        <v>176.40710999999999</v>
      </c>
      <c r="I14">
        <v>115.63807</v>
      </c>
      <c r="J14">
        <f t="shared" si="0"/>
        <v>186.62181074999998</v>
      </c>
      <c r="K14">
        <f t="shared" si="2"/>
        <v>181.70364762931271</v>
      </c>
      <c r="L14">
        <f t="shared" si="3"/>
        <v>180.42284238426632</v>
      </c>
      <c r="M14">
        <f t="shared" si="4"/>
        <v>182.85822438508623</v>
      </c>
      <c r="N14">
        <f t="shared" si="5"/>
        <v>177.58904412276462</v>
      </c>
      <c r="O14">
        <f t="shared" si="6"/>
        <v>174.65788330023184</v>
      </c>
      <c r="P14">
        <f t="shared" si="7"/>
        <v>180.67263148261748</v>
      </c>
      <c r="Q14">
        <f t="shared" si="8"/>
        <v>179.65071221737989</v>
      </c>
      <c r="R14">
        <v>178.52303195635227</v>
      </c>
      <c r="S14" s="100">
        <v>187.50086515978174</v>
      </c>
      <c r="T14" s="9"/>
      <c r="U14" s="62"/>
    </row>
    <row r="15" spans="1:21" x14ac:dyDescent="0.2">
      <c r="A15" t="s">
        <v>173</v>
      </c>
      <c r="B15" t="s">
        <v>174</v>
      </c>
      <c r="C15" t="s">
        <v>48</v>
      </c>
      <c r="D15">
        <v>20191024</v>
      </c>
      <c r="E15">
        <v>179.12035499999999</v>
      </c>
      <c r="F15">
        <v>180.931533</v>
      </c>
      <c r="G15">
        <v>171.54999699999999</v>
      </c>
      <c r="H15">
        <v>176.64139599999999</v>
      </c>
      <c r="I15">
        <v>108.824862</v>
      </c>
      <c r="J15">
        <f t="shared" si="0"/>
        <v>177.06082024999998</v>
      </c>
      <c r="K15">
        <f t="shared" si="2"/>
        <v>175.86746917189396</v>
      </c>
      <c r="L15">
        <f t="shared" si="3"/>
        <v>177.30572626642578</v>
      </c>
      <c r="M15">
        <f t="shared" si="4"/>
        <v>171.29859044515726</v>
      </c>
      <c r="N15">
        <f t="shared" si="5"/>
        <v>187.74988475822551</v>
      </c>
      <c r="O15">
        <f t="shared" si="6"/>
        <v>176.45361753178565</v>
      </c>
      <c r="P15">
        <f t="shared" si="7"/>
        <v>177.89483902955646</v>
      </c>
      <c r="Q15">
        <f t="shared" si="8"/>
        <v>177.76168786717412</v>
      </c>
      <c r="R15">
        <v>177.50501645396901</v>
      </c>
      <c r="S15" s="100">
        <v>182.80760895738021</v>
      </c>
      <c r="T15" s="9"/>
      <c r="U15" s="62"/>
    </row>
    <row r="16" spans="1:21" x14ac:dyDescent="0.2">
      <c r="A16" t="s">
        <v>173</v>
      </c>
      <c r="B16" t="s">
        <v>174</v>
      </c>
      <c r="C16" t="s">
        <v>49</v>
      </c>
      <c r="D16">
        <v>20200213</v>
      </c>
      <c r="E16">
        <v>211.39418699999999</v>
      </c>
      <c r="F16">
        <v>207.79012599999999</v>
      </c>
      <c r="G16">
        <v>205.60522599999999</v>
      </c>
      <c r="H16">
        <v>208.89996199999999</v>
      </c>
      <c r="I16">
        <v>126.63115999999999</v>
      </c>
      <c r="J16">
        <f t="shared" si="0"/>
        <v>208.42237524999999</v>
      </c>
      <c r="K16">
        <f t="shared" si="2"/>
        <v>215.74580886108288</v>
      </c>
      <c r="L16">
        <f t="shared" si="3"/>
        <v>209.94469824678245</v>
      </c>
      <c r="M16">
        <f t="shared" si="4"/>
        <v>219.09764157093971</v>
      </c>
      <c r="N16">
        <f t="shared" si="5"/>
        <v>216.19225973795852</v>
      </c>
      <c r="O16">
        <f t="shared" si="6"/>
        <v>212.71921832622627</v>
      </c>
      <c r="P16">
        <f t="shared" si="7"/>
        <v>215.18705278148829</v>
      </c>
      <c r="Q16">
        <f t="shared" si="8"/>
        <v>214.81444658741304</v>
      </c>
      <c r="R16">
        <v>206.93803297328026</v>
      </c>
      <c r="S16" s="100">
        <v>218.1466742467311</v>
      </c>
      <c r="T16" s="9"/>
      <c r="U16" s="62"/>
    </row>
    <row r="17" spans="1:21" x14ac:dyDescent="0.2">
      <c r="A17" t="s">
        <v>173</v>
      </c>
      <c r="B17" t="s">
        <v>174</v>
      </c>
      <c r="C17" t="s">
        <v>50</v>
      </c>
      <c r="D17">
        <v>20200430</v>
      </c>
      <c r="E17">
        <v>179.69508200000001</v>
      </c>
      <c r="F17">
        <v>179.37751700000001</v>
      </c>
      <c r="G17">
        <v>173.786348</v>
      </c>
      <c r="H17">
        <v>170.215418</v>
      </c>
      <c r="I17">
        <v>105.865815</v>
      </c>
      <c r="J17">
        <f t="shared" si="0"/>
        <v>175.76859125000001</v>
      </c>
      <c r="K17">
        <f t="shared" si="2"/>
        <v>185.43501632234398</v>
      </c>
      <c r="L17">
        <f t="shared" si="3"/>
        <v>188.31794138373292</v>
      </c>
      <c r="M17">
        <f t="shared" si="4"/>
        <v>184.38691750804549</v>
      </c>
      <c r="N17">
        <f t="shared" si="5"/>
        <v>177.74980419679144</v>
      </c>
      <c r="O17">
        <f t="shared" si="6"/>
        <v>182.37434971510726</v>
      </c>
      <c r="P17">
        <f t="shared" si="7"/>
        <v>183.96937263683057</v>
      </c>
      <c r="Q17">
        <f t="shared" si="8"/>
        <v>183.70556696047527</v>
      </c>
      <c r="R17">
        <v>180.7368374636211</v>
      </c>
      <c r="S17" s="100">
        <v>168.01296410618218</v>
      </c>
      <c r="T17" s="9"/>
      <c r="U17" s="62"/>
    </row>
    <row r="18" spans="1:21" x14ac:dyDescent="0.2">
      <c r="A18" t="s">
        <v>173</v>
      </c>
      <c r="B18" t="s">
        <v>174</v>
      </c>
      <c r="C18" t="s">
        <v>51</v>
      </c>
      <c r="D18">
        <v>20200723</v>
      </c>
      <c r="E18">
        <v>130.842918</v>
      </c>
      <c r="F18">
        <v>131.853996</v>
      </c>
      <c r="G18">
        <v>115.309354</v>
      </c>
      <c r="H18">
        <v>129.896387</v>
      </c>
      <c r="I18">
        <v>79.721378000000001</v>
      </c>
      <c r="J18">
        <f t="shared" si="0"/>
        <v>126.97566375</v>
      </c>
      <c r="K18">
        <f t="shared" si="2"/>
        <v>122.33671751507443</v>
      </c>
      <c r="L18">
        <f t="shared" si="3"/>
        <v>123.50031970397208</v>
      </c>
      <c r="M18">
        <f t="shared" si="4"/>
        <v>111.47864361997557</v>
      </c>
      <c r="N18">
        <f t="shared" si="5"/>
        <v>128.21562971783055</v>
      </c>
      <c r="O18">
        <f t="shared" si="6"/>
        <v>126.52077557244878</v>
      </c>
      <c r="P18">
        <f t="shared" si="7"/>
        <v>121.37297957656246</v>
      </c>
      <c r="Q18">
        <f t="shared" si="8"/>
        <v>122.23751095097731</v>
      </c>
      <c r="R18">
        <v>108.62626262626263</v>
      </c>
      <c r="S18" s="100">
        <v>120.6075036075036</v>
      </c>
      <c r="T18" s="9"/>
      <c r="U18" s="62"/>
    </row>
    <row r="19" spans="1:21" x14ac:dyDescent="0.2">
      <c r="A19" t="s">
        <v>173</v>
      </c>
      <c r="B19" t="s">
        <v>174</v>
      </c>
      <c r="C19" t="s">
        <v>52</v>
      </c>
      <c r="D19">
        <v>20201022</v>
      </c>
      <c r="E19">
        <v>173.07493700000001</v>
      </c>
      <c r="F19">
        <v>174.26443</v>
      </c>
      <c r="G19">
        <v>172.27651299999999</v>
      </c>
      <c r="H19">
        <v>163.25139100000001</v>
      </c>
      <c r="I19">
        <v>99.585595999999995</v>
      </c>
      <c r="J19">
        <f t="shared" si="0"/>
        <v>170.71681775000002</v>
      </c>
      <c r="K19">
        <f t="shared" si="2"/>
        <v>159.53584961011003</v>
      </c>
      <c r="L19">
        <f t="shared" si="3"/>
        <v>159.40053777273889</v>
      </c>
      <c r="M19">
        <f t="shared" si="4"/>
        <v>180.19214783854952</v>
      </c>
      <c r="N19">
        <f t="shared" si="5"/>
        <v>151.5772931310436</v>
      </c>
      <c r="O19">
        <f t="shared" si="6"/>
        <v>150.65933919036615</v>
      </c>
      <c r="P19">
        <f t="shared" si="7"/>
        <v>162.15492484594051</v>
      </c>
      <c r="Q19">
        <f t="shared" si="8"/>
        <v>160.58668206479146</v>
      </c>
      <c r="R19">
        <v>168.77239769980829</v>
      </c>
      <c r="S19" s="100">
        <v>183.70697558129839</v>
      </c>
      <c r="T19" s="9"/>
      <c r="U19" s="62"/>
    </row>
    <row r="20" spans="1:21" x14ac:dyDescent="0.2">
      <c r="A20" t="s">
        <v>173</v>
      </c>
      <c r="B20" t="s">
        <v>174</v>
      </c>
      <c r="C20" t="s">
        <v>53</v>
      </c>
      <c r="D20">
        <v>20210211</v>
      </c>
      <c r="E20">
        <v>191.13755800000001</v>
      </c>
      <c r="F20">
        <v>189.56060400000001</v>
      </c>
      <c r="G20">
        <v>197.312637</v>
      </c>
      <c r="H20">
        <v>190.62641500000001</v>
      </c>
      <c r="I20">
        <v>112.96989000000001</v>
      </c>
      <c r="J20">
        <f t="shared" si="0"/>
        <v>192.15930350000002</v>
      </c>
      <c r="K20">
        <f t="shared" si="2"/>
        <v>202.87918810668126</v>
      </c>
      <c r="L20">
        <f t="shared" si="3"/>
        <v>199.83197517820577</v>
      </c>
      <c r="M20">
        <f t="shared" si="4"/>
        <v>210.40423419320425</v>
      </c>
      <c r="N20">
        <f t="shared" si="5"/>
        <v>214.51212115892756</v>
      </c>
      <c r="O20">
        <f t="shared" si="6"/>
        <v>208.39717446338292</v>
      </c>
      <c r="P20">
        <f t="shared" si="7"/>
        <v>206.78105965804184</v>
      </c>
      <c r="Q20">
        <f t="shared" si="8"/>
        <v>207.13429212640725</v>
      </c>
      <c r="R20">
        <v>228.82474537910221</v>
      </c>
      <c r="S20" s="100">
        <v>211.92606563560921</v>
      </c>
    </row>
    <row r="21" spans="1:21" x14ac:dyDescent="0.2">
      <c r="A21" t="s">
        <v>173</v>
      </c>
      <c r="B21" t="s">
        <v>174</v>
      </c>
      <c r="C21" t="s">
        <v>54</v>
      </c>
      <c r="D21">
        <v>20210422</v>
      </c>
      <c r="E21">
        <v>185.79793799999999</v>
      </c>
      <c r="F21">
        <v>181.257803</v>
      </c>
      <c r="G21">
        <v>175.67936700000001</v>
      </c>
      <c r="H21">
        <v>178.59578300000001</v>
      </c>
      <c r="I21">
        <v>104.68979400000001</v>
      </c>
      <c r="J21">
        <f t="shared" si="0"/>
        <v>180.33272275000002</v>
      </c>
      <c r="K21">
        <f t="shared" si="2"/>
        <v>206.00569775799295</v>
      </c>
      <c r="L21">
        <f t="shared" si="3"/>
        <v>202.64365192434352</v>
      </c>
      <c r="M21">
        <f t="shared" si="4"/>
        <v>188.6905858019843</v>
      </c>
      <c r="N21">
        <f t="shared" si="5"/>
        <v>198.55119045438178</v>
      </c>
      <c r="O21">
        <f t="shared" si="6"/>
        <v>196.39300484954359</v>
      </c>
      <c r="P21">
        <f t="shared" si="7"/>
        <v>198.88292547732209</v>
      </c>
      <c r="Q21">
        <f t="shared" si="8"/>
        <v>198.52784271092801</v>
      </c>
      <c r="R21">
        <v>162.70247606993118</v>
      </c>
      <c r="S21" s="100">
        <v>188.84581915987658</v>
      </c>
    </row>
    <row r="22" spans="1:21" x14ac:dyDescent="0.2">
      <c r="A22" t="s">
        <v>173</v>
      </c>
      <c r="B22" t="s">
        <v>174</v>
      </c>
      <c r="C22" t="s">
        <v>55</v>
      </c>
      <c r="D22">
        <v>20210722</v>
      </c>
      <c r="E22">
        <v>204.980189</v>
      </c>
      <c r="F22">
        <v>202.342287</v>
      </c>
      <c r="G22">
        <v>190.88505799999999</v>
      </c>
      <c r="H22">
        <v>195.25801999999999</v>
      </c>
      <c r="I22">
        <v>108.62508200000001</v>
      </c>
      <c r="J22">
        <f t="shared" si="0"/>
        <v>198.3663885</v>
      </c>
      <c r="K22">
        <f t="shared" si="2"/>
        <v>208.34274115168773</v>
      </c>
      <c r="L22">
        <f t="shared" si="3"/>
        <v>210.81296532761047</v>
      </c>
      <c r="M22">
        <f t="shared" si="4"/>
        <v>205.19111469356869</v>
      </c>
      <c r="N22">
        <f t="shared" si="5"/>
        <v>206.46434151491451</v>
      </c>
      <c r="O22">
        <f t="shared" si="6"/>
        <v>195.94453105523127</v>
      </c>
      <c r="P22">
        <f t="shared" si="7"/>
        <v>207.73081312592126</v>
      </c>
      <c r="Q22">
        <f t="shared" si="8"/>
        <v>205.74775114482233</v>
      </c>
      <c r="R22">
        <v>181.95310510150574</v>
      </c>
      <c r="S22" s="100">
        <v>198.2972507303918</v>
      </c>
    </row>
    <row r="23" spans="1:21" x14ac:dyDescent="0.2">
      <c r="A23" t="s">
        <v>173</v>
      </c>
      <c r="B23" t="s">
        <v>174</v>
      </c>
      <c r="C23" t="s">
        <v>71</v>
      </c>
      <c r="D23">
        <v>20211028</v>
      </c>
      <c r="E23">
        <v>198.95207600000001</v>
      </c>
      <c r="F23">
        <v>193.64059800000001</v>
      </c>
      <c r="G23">
        <v>177.511886</v>
      </c>
      <c r="H23">
        <v>189.269407</v>
      </c>
      <c r="I23">
        <v>100.341655</v>
      </c>
      <c r="J23">
        <f t="shared" si="0"/>
        <v>189.84349175</v>
      </c>
      <c r="K23">
        <f t="shared" si="2"/>
        <v>192.46567139180442</v>
      </c>
      <c r="L23">
        <f t="shared" si="3"/>
        <v>189.76951769448473</v>
      </c>
      <c r="M23">
        <f t="shared" si="4"/>
        <v>184.40478963925364</v>
      </c>
      <c r="N23">
        <f t="shared" si="5"/>
        <v>192.2154237529991</v>
      </c>
      <c r="O23">
        <f t="shared" si="6"/>
        <v>183.17568975678628</v>
      </c>
      <c r="P23">
        <f>(J23/J22)*$S22</f>
        <v>189.77732451424257</v>
      </c>
      <c r="Q23">
        <f t="shared" si="8"/>
        <v>188.63473612492842</v>
      </c>
      <c r="R23" s="6">
        <f>'1. Data &amp; Confidence Interval'!AJ14</f>
        <v>196.59260227622269</v>
      </c>
      <c r="S23" s="10"/>
    </row>
    <row r="24" spans="1:21" x14ac:dyDescent="0.2">
      <c r="A24" s="160" t="s">
        <v>171</v>
      </c>
      <c r="B24" s="161"/>
      <c r="C24" s="161"/>
      <c r="D24" s="161"/>
      <c r="E24" s="101">
        <f t="shared" ref="E24:R24" si="9">CORREL(E6:E22,$S6:$S22)</f>
        <v>0.62295929336179212</v>
      </c>
      <c r="F24" s="101">
        <f t="shared" si="9"/>
        <v>0.60459167985895435</v>
      </c>
      <c r="G24" s="101">
        <f t="shared" si="9"/>
        <v>0.75613522104312092</v>
      </c>
      <c r="H24" s="101">
        <f t="shared" si="9"/>
        <v>0.63833010845126659</v>
      </c>
      <c r="I24" s="101">
        <f t="shared" si="9"/>
        <v>0.51672174635422918</v>
      </c>
      <c r="J24" s="101">
        <f>CORREL(J6:J22,$S6:$S22)</f>
        <v>0.66945226433818728</v>
      </c>
      <c r="K24" s="101">
        <f t="shared" si="9"/>
        <v>0.88246929121765039</v>
      </c>
      <c r="L24" s="101">
        <f t="shared" si="9"/>
        <v>0.85867432347388339</v>
      </c>
      <c r="M24" s="102">
        <f t="shared" si="9"/>
        <v>0.91262547929874061</v>
      </c>
      <c r="N24" s="101">
        <f t="shared" si="9"/>
        <v>0.87294580271823552</v>
      </c>
      <c r="O24" s="101">
        <f t="shared" si="9"/>
        <v>0.84322373148602936</v>
      </c>
      <c r="P24" s="101">
        <f t="shared" si="9"/>
        <v>0.89773228821405415</v>
      </c>
      <c r="Q24" s="101">
        <f t="shared" si="9"/>
        <v>0.8964401416198039</v>
      </c>
      <c r="R24" s="102">
        <f t="shared" si="9"/>
        <v>0.866849058980246</v>
      </c>
      <c r="S24" s="5"/>
    </row>
    <row r="26" spans="1:21" x14ac:dyDescent="0.2">
      <c r="A26" s="163" t="s">
        <v>76</v>
      </c>
      <c r="B26" s="164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9" si="10">A6</f>
        <v>SNN_SMT</v>
      </c>
      <c r="B28" s="9" t="str">
        <f t="shared" si="10"/>
        <v>Sport Medicine &amp; ENT Revenue</v>
      </c>
      <c r="C28" s="9" t="str">
        <f t="shared" si="10"/>
        <v>2017Q2</v>
      </c>
      <c r="D28" s="9">
        <f t="shared" si="10"/>
        <v>20170720</v>
      </c>
      <c r="E28" s="18">
        <f t="shared" ref="E28:E38" si="11">$S6/E6-1</f>
        <v>-0.24261573736727815</v>
      </c>
      <c r="F28" s="18">
        <f t="shared" ref="E28:R39" si="12">$S6/F6-1</f>
        <v>-0.24142029646381857</v>
      </c>
      <c r="G28" s="18">
        <f>$S6/G6-1</f>
        <v>-0.1643826133194376</v>
      </c>
      <c r="H28" s="18">
        <f t="shared" si="12"/>
        <v>-0.26262283916083828</v>
      </c>
      <c r="I28" s="18">
        <f t="shared" si="12"/>
        <v>0.2203568854728799</v>
      </c>
      <c r="J28" s="18">
        <f t="shared" si="12"/>
        <v>-0.22950455515652191</v>
      </c>
      <c r="K28" s="18"/>
      <c r="L28" s="18"/>
      <c r="M28" s="18"/>
      <c r="N28" s="18"/>
      <c r="O28" s="18"/>
      <c r="P28" s="18"/>
      <c r="Q28" s="18"/>
      <c r="R28" s="40">
        <f t="shared" si="12"/>
        <v>-5.1510989010983277E-4</v>
      </c>
    </row>
    <row r="29" spans="1:21" x14ac:dyDescent="0.2">
      <c r="A29" s="9" t="str">
        <f t="shared" si="10"/>
        <v>SNN_SMT</v>
      </c>
      <c r="B29" s="9" t="str">
        <f t="shared" si="10"/>
        <v>Sport Medicine &amp; ENT Revenue</v>
      </c>
      <c r="C29" s="9" t="str">
        <f t="shared" si="10"/>
        <v>2017Q3</v>
      </c>
      <c r="D29" s="9">
        <f t="shared" si="10"/>
        <v>20171026</v>
      </c>
      <c r="E29" s="18">
        <f t="shared" si="11"/>
        <v>-0.15934974693445247</v>
      </c>
      <c r="F29" s="18">
        <f t="shared" si="12"/>
        <v>-0.14650500642104058</v>
      </c>
      <c r="G29" s="18">
        <f>$S7/G7-1</f>
        <v>-7.9654152432524605E-2</v>
      </c>
      <c r="H29" s="18">
        <f t="shared" si="12"/>
        <v>-7.5592932368284682E-2</v>
      </c>
      <c r="I29" s="18">
        <f t="shared" si="12"/>
        <v>0.54674577343375352</v>
      </c>
      <c r="J29" s="18">
        <f t="shared" si="12"/>
        <v>-0.11690635442532982</v>
      </c>
      <c r="K29" s="18">
        <f t="shared" si="12"/>
        <v>0.109938896991848</v>
      </c>
      <c r="L29" s="18">
        <f t="shared" si="12"/>
        <v>0.12512236960773215</v>
      </c>
      <c r="M29" s="18">
        <f t="shared" si="12"/>
        <v>0.10139623975931311</v>
      </c>
      <c r="N29" s="18">
        <f t="shared" si="12"/>
        <v>0.2536421206478745</v>
      </c>
      <c r="O29" s="18">
        <f t="shared" si="12"/>
        <v>0.26745363741230532</v>
      </c>
      <c r="P29" s="18">
        <f t="shared" si="12"/>
        <v>0.14613739962351846</v>
      </c>
      <c r="Q29" s="18">
        <f t="shared" si="12"/>
        <v>0.16350408492756485</v>
      </c>
      <c r="R29" s="40">
        <f t="shared" si="12"/>
        <v>-3.4714842366276977E-2</v>
      </c>
    </row>
    <row r="30" spans="1:21" x14ac:dyDescent="0.2">
      <c r="A30" s="9" t="str">
        <f t="shared" ref="A30:D30" si="13">A8</f>
        <v>SNN_SMT</v>
      </c>
      <c r="B30" s="9" t="str">
        <f t="shared" si="13"/>
        <v>Sport Medicine &amp; ENT Revenue</v>
      </c>
      <c r="C30" s="9" t="str">
        <f t="shared" si="13"/>
        <v>2017Q4</v>
      </c>
      <c r="D30" s="9">
        <f t="shared" si="13"/>
        <v>20180201</v>
      </c>
      <c r="E30" s="18">
        <f t="shared" si="11"/>
        <v>-0.20019895073295857</v>
      </c>
      <c r="F30" s="18">
        <f t="shared" si="12"/>
        <v>-0.20253668509763578</v>
      </c>
      <c r="G30" s="18">
        <f>$S8/G8-1</f>
        <v>-0.15722274306338158</v>
      </c>
      <c r="H30" s="18">
        <f t="shared" si="12"/>
        <v>-0.10663655389322801</v>
      </c>
      <c r="I30" s="18">
        <f t="shared" si="12"/>
        <v>0.41985225787805702</v>
      </c>
      <c r="J30" s="18">
        <f t="shared" si="12"/>
        <v>-0.16843469727847449</v>
      </c>
      <c r="K30" s="18">
        <f t="shared" si="12"/>
        <v>-4.8592388629568384E-2</v>
      </c>
      <c r="L30" s="18">
        <f t="shared" si="12"/>
        <v>-6.564968640488178E-2</v>
      </c>
      <c r="M30" s="18">
        <f t="shared" si="12"/>
        <v>-8.4282002071150663E-2</v>
      </c>
      <c r="N30" s="18">
        <f t="shared" si="12"/>
        <v>-3.3582198375522565E-2</v>
      </c>
      <c r="O30" s="18">
        <f t="shared" si="12"/>
        <v>-8.2039025245884245E-2</v>
      </c>
      <c r="P30" s="18">
        <f t="shared" si="12"/>
        <v>-5.8349805947944255E-2</v>
      </c>
      <c r="Q30" s="18">
        <f t="shared" si="12"/>
        <v>-6.2421098548863907E-2</v>
      </c>
      <c r="R30" s="40">
        <f t="shared" si="12"/>
        <v>-4.994670321303496E-2</v>
      </c>
    </row>
    <row r="31" spans="1:21" x14ac:dyDescent="0.2">
      <c r="A31" s="9" t="str">
        <f>A9</f>
        <v>SNN_SMT</v>
      </c>
      <c r="B31" s="9" t="str">
        <f t="shared" ref="B31:D31" si="14">B9</f>
        <v>Sport Medicine &amp; ENT Revenue</v>
      </c>
      <c r="C31" s="9" t="str">
        <f t="shared" si="14"/>
        <v>2018Q1</v>
      </c>
      <c r="D31" s="9">
        <f t="shared" si="14"/>
        <v>20180426</v>
      </c>
      <c r="E31" s="18">
        <f t="shared" si="11"/>
        <v>-0.10334771507388241</v>
      </c>
      <c r="F31" s="18">
        <f t="shared" ref="F31:J31" si="15">$S9/F9-1</f>
        <v>-0.10412949622739232</v>
      </c>
      <c r="G31" s="18">
        <f>$S9/G9-1</f>
        <v>-3.7228323043716927E-2</v>
      </c>
      <c r="H31" s="18">
        <f t="shared" si="15"/>
        <v>-2.0691953828769094E-2</v>
      </c>
      <c r="I31" s="18">
        <f t="shared" si="15"/>
        <v>0.375139851671624</v>
      </c>
      <c r="J31" s="18">
        <f t="shared" si="15"/>
        <v>-6.7879203132807153E-2</v>
      </c>
      <c r="K31" s="18">
        <f t="shared" ref="K31:Q31" si="16">$S9/K9-1</f>
        <v>0.12109415928852973</v>
      </c>
      <c r="L31" s="18">
        <f t="shared" si="16"/>
        <v>0.12340027062221881</v>
      </c>
      <c r="M31" s="18">
        <f t="shared" si="16"/>
        <v>0.14237975578010764</v>
      </c>
      <c r="N31" s="18">
        <f t="shared" si="16"/>
        <v>9.6203399007426027E-2</v>
      </c>
      <c r="O31" s="18">
        <f t="shared" si="16"/>
        <v>-3.1490886434377918E-2</v>
      </c>
      <c r="P31" s="18">
        <f t="shared" si="16"/>
        <v>0.12092314796754011</v>
      </c>
      <c r="Q31" s="18">
        <f t="shared" si="16"/>
        <v>9.2024514072428065E-2</v>
      </c>
      <c r="R31" s="40">
        <f>$S9/R9-1</f>
        <v>-7.5161180861893384E-2</v>
      </c>
    </row>
    <row r="32" spans="1:21" x14ac:dyDescent="0.2">
      <c r="A32" s="9" t="str">
        <f t="shared" ref="A32:D32" si="17">A10</f>
        <v>SNN_SMT</v>
      </c>
      <c r="B32" s="9" t="str">
        <f t="shared" si="17"/>
        <v>Sport Medicine &amp; ENT Revenue</v>
      </c>
      <c r="C32" s="9" t="str">
        <f t="shared" si="17"/>
        <v>2018Q2</v>
      </c>
      <c r="D32" s="9">
        <f t="shared" si="17"/>
        <v>20180719</v>
      </c>
      <c r="E32" s="18">
        <f t="shared" si="11"/>
        <v>-4.8023825559972977E-2</v>
      </c>
      <c r="F32" s="18">
        <f t="shared" ref="F32:J32" si="18">$S10/F10-1</f>
        <v>-4.2178041756893103E-2</v>
      </c>
      <c r="G32" s="18">
        <f>$S10/G10-1</f>
        <v>4.8964810976773077E-2</v>
      </c>
      <c r="H32" s="18">
        <f t="shared" si="18"/>
        <v>3.129581665858483E-2</v>
      </c>
      <c r="I32" s="18">
        <f t="shared" si="18"/>
        <v>0.44300888854082165</v>
      </c>
      <c r="J32" s="18">
        <f t="shared" si="18"/>
        <v>-4.3451721702518764E-3</v>
      </c>
      <c r="K32" s="18">
        <f t="shared" ref="K32:Q32" si="19">$S10/K10-1</f>
        <v>6.1700494655481775E-2</v>
      </c>
      <c r="L32" s="18">
        <f t="shared" si="19"/>
        <v>6.9152242661874475E-2</v>
      </c>
      <c r="M32" s="18">
        <f t="shared" si="19"/>
        <v>8.9526038294958754E-2</v>
      </c>
      <c r="N32" s="18">
        <f t="shared" si="19"/>
        <v>5.3086228271695513E-2</v>
      </c>
      <c r="O32" s="18">
        <f t="shared" si="19"/>
        <v>4.935427970231232E-2</v>
      </c>
      <c r="P32" s="18">
        <f t="shared" si="19"/>
        <v>6.8160726781431924E-2</v>
      </c>
      <c r="Q32" s="18">
        <f t="shared" si="19"/>
        <v>6.5004020027641829E-2</v>
      </c>
      <c r="R32" s="40">
        <f t="shared" ref="R32:R39" si="20">$S10/R10-1</f>
        <v>-3.6408163265306159E-2</v>
      </c>
    </row>
    <row r="33" spans="1:18" x14ac:dyDescent="0.2">
      <c r="A33" s="9" t="str">
        <f t="shared" ref="A33:D33" si="21">A11</f>
        <v>SNN_SMT</v>
      </c>
      <c r="B33" s="9" t="str">
        <f t="shared" si="21"/>
        <v>Sport Medicine &amp; ENT Revenue</v>
      </c>
      <c r="C33" s="9" t="str">
        <f t="shared" si="21"/>
        <v>2018Q3</v>
      </c>
      <c r="D33" s="9">
        <f t="shared" si="21"/>
        <v>20181025</v>
      </c>
      <c r="E33" s="18">
        <f t="shared" si="11"/>
        <v>-2.2670884837495686E-3</v>
      </c>
      <c r="F33" s="18">
        <f t="shared" ref="F33:J33" si="22">$S11/F11-1</f>
        <v>2.1774287195788222E-3</v>
      </c>
      <c r="G33" s="18">
        <f>$S11/G11-1</f>
        <v>0.10294255061638391</v>
      </c>
      <c r="H33" s="18">
        <f t="shared" si="22"/>
        <v>9.3302700801809912E-2</v>
      </c>
      <c r="I33" s="18">
        <f t="shared" si="22"/>
        <v>0.5666788327237362</v>
      </c>
      <c r="J33" s="18">
        <f t="shared" si="22"/>
        <v>4.6729990763943352E-2</v>
      </c>
      <c r="K33" s="18">
        <f t="shared" ref="K33:Q33" si="23">$S11/K11-1</f>
        <v>4.8065002365357046E-2</v>
      </c>
      <c r="L33" s="18">
        <f t="shared" si="23"/>
        <v>4.6308679911485129E-2</v>
      </c>
      <c r="M33" s="18">
        <f t="shared" si="23"/>
        <v>5.1458103336515348E-2</v>
      </c>
      <c r="N33" s="18">
        <f t="shared" si="23"/>
        <v>6.0125216394388392E-2</v>
      </c>
      <c r="O33" s="18">
        <f t="shared" si="23"/>
        <v>8.5702829112834111E-2</v>
      </c>
      <c r="P33" s="18">
        <f t="shared" si="23"/>
        <v>5.1298061844911702E-2</v>
      </c>
      <c r="Q33" s="18">
        <f t="shared" si="23"/>
        <v>5.6990717919024991E-2</v>
      </c>
      <c r="R33" s="40">
        <f t="shared" si="20"/>
        <v>3.6423238025860449E-2</v>
      </c>
    </row>
    <row r="34" spans="1:18" x14ac:dyDescent="0.2">
      <c r="A34" s="9" t="str">
        <f t="shared" ref="A34:D34" si="24">A12</f>
        <v>SNN_SMT</v>
      </c>
      <c r="B34" s="9" t="str">
        <f t="shared" si="24"/>
        <v>Sport Medicine &amp; ENT Revenue</v>
      </c>
      <c r="C34" s="9" t="str">
        <f t="shared" si="24"/>
        <v>2018Q4</v>
      </c>
      <c r="D34" s="9">
        <f t="shared" si="24"/>
        <v>20190131</v>
      </c>
      <c r="E34" s="18">
        <f t="shared" si="11"/>
        <v>1.2069981078787873E-2</v>
      </c>
      <c r="F34" s="18">
        <f t="shared" ref="F34:J34" si="25">$S12/F12-1</f>
        <v>4.676266279650898E-3</v>
      </c>
      <c r="G34" s="18">
        <f t="shared" si="25"/>
        <v>9.8638874199370008E-2</v>
      </c>
      <c r="H34" s="18">
        <f t="shared" si="25"/>
        <v>3.8552174097152392E-2</v>
      </c>
      <c r="I34" s="18">
        <f t="shared" si="25"/>
        <v>0.52464818137115321</v>
      </c>
      <c r="J34" s="18">
        <f t="shared" si="25"/>
        <v>3.7205712552948356E-2</v>
      </c>
      <c r="K34" s="18">
        <f t="shared" ref="K34:Q34" si="26">$S12/K12-1</f>
        <v>1.4369646823366278E-2</v>
      </c>
      <c r="L34" s="18">
        <f t="shared" si="26"/>
        <v>2.493408341140535E-3</v>
      </c>
      <c r="M34" s="18">
        <f t="shared" si="26"/>
        <v>-3.901995089960697E-3</v>
      </c>
      <c r="N34" s="18">
        <f t="shared" si="26"/>
        <v>-5.0078104320518291E-2</v>
      </c>
      <c r="O34" s="18">
        <f t="shared" si="26"/>
        <v>-2.6827866997801486E-2</v>
      </c>
      <c r="P34" s="18">
        <f t="shared" si="26"/>
        <v>-9.0990783631258454E-3</v>
      </c>
      <c r="Q34" s="18">
        <f t="shared" si="26"/>
        <v>-1.2627212910287122E-2</v>
      </c>
      <c r="R34" s="40">
        <f t="shared" si="20"/>
        <v>4.6245568804382575E-2</v>
      </c>
    </row>
    <row r="35" spans="1:18" x14ac:dyDescent="0.2">
      <c r="A35" s="9" t="str">
        <f t="shared" ref="A35:D35" si="27">A13</f>
        <v>SNN_SMT</v>
      </c>
      <c r="B35" s="9" t="str">
        <f t="shared" si="27"/>
        <v>Sport Medicine &amp; ENT Revenue</v>
      </c>
      <c r="C35" s="9" t="str">
        <f t="shared" si="27"/>
        <v>2019Q1</v>
      </c>
      <c r="D35" s="9">
        <f t="shared" si="27"/>
        <v>20190425</v>
      </c>
      <c r="E35" s="18">
        <f t="shared" si="11"/>
        <v>-4.8517199176186798E-2</v>
      </c>
      <c r="F35" s="18">
        <f t="shared" ref="F35:J35" si="28">$S13/F13-1</f>
        <v>-5.7032459621279674E-2</v>
      </c>
      <c r="G35" s="18">
        <f>$S13/G13-1</f>
        <v>-2.6189850029990192E-2</v>
      </c>
      <c r="H35" s="18">
        <f t="shared" si="28"/>
        <v>6.7000367658911486E-3</v>
      </c>
      <c r="I35" s="18">
        <f t="shared" si="28"/>
        <v>0.5103839358459703</v>
      </c>
      <c r="J35" s="18">
        <f t="shared" si="28"/>
        <v>-3.1878263550620511E-2</v>
      </c>
      <c r="K35" s="18">
        <f t="shared" ref="K35:Q35" si="29">$S13/K13-1</f>
        <v>-5.9864615478855909E-2</v>
      </c>
      <c r="L35" s="18">
        <f t="shared" si="29"/>
        <v>-6.1421502599479205E-2</v>
      </c>
      <c r="M35" s="18">
        <f t="shared" si="29"/>
        <v>-0.11362125186069783</v>
      </c>
      <c r="N35" s="18">
        <f t="shared" si="29"/>
        <v>-3.066975172330777E-2</v>
      </c>
      <c r="O35" s="18">
        <f t="shared" si="29"/>
        <v>-9.3557620042905576E-3</v>
      </c>
      <c r="P35" s="18">
        <f t="shared" si="29"/>
        <v>-6.6605857707365934E-2</v>
      </c>
      <c r="Q35" s="18">
        <f t="shared" si="29"/>
        <v>-5.8047287356931099E-2</v>
      </c>
      <c r="R35" s="40">
        <f t="shared" si="20"/>
        <v>-2.0517241379310214E-2</v>
      </c>
    </row>
    <row r="36" spans="1:18" x14ac:dyDescent="0.2">
      <c r="A36" s="9" t="str">
        <f t="shared" ref="A36:D36" si="30">A14</f>
        <v>SNN_SMT</v>
      </c>
      <c r="B36" s="9" t="str">
        <f t="shared" si="30"/>
        <v>Sport Medicine &amp; ENT Revenue</v>
      </c>
      <c r="C36" s="9" t="str">
        <f t="shared" si="30"/>
        <v>2019Q2</v>
      </c>
      <c r="D36" s="9">
        <f t="shared" si="30"/>
        <v>20190725</v>
      </c>
      <c r="E36" s="18">
        <f t="shared" si="11"/>
        <v>-1.8160335982507436E-2</v>
      </c>
      <c r="F36" s="18">
        <f t="shared" ref="F36:J36" si="31">$S14/F14-1</f>
        <v>-2.0039661818231691E-2</v>
      </c>
      <c r="G36" s="18">
        <f>$S14/G14-1</f>
        <v>-1.4655001995874661E-3</v>
      </c>
      <c r="H36" s="18">
        <f t="shared" si="31"/>
        <v>6.2887233738944781E-2</v>
      </c>
      <c r="I36" s="18">
        <f t="shared" si="31"/>
        <v>0.62144581935500764</v>
      </c>
      <c r="J36" s="18">
        <f t="shared" si="31"/>
        <v>4.7103519478726152E-3</v>
      </c>
      <c r="K36" s="18">
        <f t="shared" ref="K36:Q36" si="32">$S14/K14-1</f>
        <v>3.190479446123029E-2</v>
      </c>
      <c r="L36" s="18">
        <f t="shared" si="32"/>
        <v>3.9230192152945875E-2</v>
      </c>
      <c r="M36" s="18">
        <f t="shared" si="32"/>
        <v>2.5389291568961303E-2</v>
      </c>
      <c r="N36" s="18">
        <f t="shared" si="32"/>
        <v>5.5813246171679598E-2</v>
      </c>
      <c r="O36" s="18">
        <f t="shared" si="32"/>
        <v>7.3532219770882978E-2</v>
      </c>
      <c r="P36" s="18">
        <f t="shared" si="32"/>
        <v>3.7793403578234797E-2</v>
      </c>
      <c r="Q36" s="18">
        <f t="shared" si="32"/>
        <v>4.3696753803586619E-2</v>
      </c>
      <c r="R36" s="40">
        <f t="shared" si="20"/>
        <v>5.0289495450785759E-2</v>
      </c>
    </row>
    <row r="37" spans="1:18" x14ac:dyDescent="0.2">
      <c r="A37" s="9" t="str">
        <f t="shared" ref="A37:D37" si="33">A15</f>
        <v>SNN_SMT</v>
      </c>
      <c r="B37" s="9" t="str">
        <f t="shared" si="33"/>
        <v>Sport Medicine &amp; ENT Revenue</v>
      </c>
      <c r="C37" s="9" t="str">
        <f t="shared" si="33"/>
        <v>2019Q3</v>
      </c>
      <c r="D37" s="9">
        <f t="shared" si="33"/>
        <v>20191024</v>
      </c>
      <c r="E37" s="18">
        <f t="shared" si="11"/>
        <v>2.0585343063775241E-2</v>
      </c>
      <c r="F37" s="18">
        <f t="shared" ref="F37:J37" si="34">$S15/F15-1</f>
        <v>1.0368982820591066E-2</v>
      </c>
      <c r="G37" s="18">
        <f>$S15/G15-1</f>
        <v>6.5622921330509953E-2</v>
      </c>
      <c r="H37" s="18">
        <f t="shared" si="34"/>
        <v>3.4908085516830001E-2</v>
      </c>
      <c r="I37" s="18">
        <f t="shared" si="34"/>
        <v>0.67983313369494747</v>
      </c>
      <c r="J37" s="18">
        <f t="shared" si="34"/>
        <v>3.2456580169831328E-2</v>
      </c>
      <c r="K37" s="18">
        <f t="shared" ref="K37:Q37" si="35">$S15/K15-1</f>
        <v>3.9462328184770357E-2</v>
      </c>
      <c r="L37" s="18">
        <f t="shared" si="35"/>
        <v>3.1030485065592917E-2</v>
      </c>
      <c r="M37" s="18">
        <f t="shared" si="35"/>
        <v>6.7186883921894536E-2</v>
      </c>
      <c r="N37" s="18">
        <f t="shared" si="35"/>
        <v>-2.6323722154129148E-2</v>
      </c>
      <c r="O37" s="18">
        <f t="shared" si="35"/>
        <v>3.6009414340570034E-2</v>
      </c>
      <c r="P37" s="18">
        <f t="shared" si="35"/>
        <v>2.7616146452722701E-2</v>
      </c>
      <c r="Q37" s="18">
        <f t="shared" si="35"/>
        <v>2.8385875217254108E-2</v>
      </c>
      <c r="R37" s="40">
        <f t="shared" si="20"/>
        <v>2.9872916322825738E-2</v>
      </c>
    </row>
    <row r="38" spans="1:18" x14ac:dyDescent="0.2">
      <c r="A38" s="9" t="str">
        <f t="shared" ref="A38:D38" si="36">A16</f>
        <v>SNN_SMT</v>
      </c>
      <c r="B38" s="9" t="str">
        <f t="shared" si="36"/>
        <v>Sport Medicine &amp; ENT Revenue</v>
      </c>
      <c r="C38" s="9" t="str">
        <f t="shared" si="36"/>
        <v>2019Q4</v>
      </c>
      <c r="D38" s="9">
        <f t="shared" si="36"/>
        <v>20200213</v>
      </c>
      <c r="E38" s="18">
        <f t="shared" si="11"/>
        <v>3.1942634480914611E-2</v>
      </c>
      <c r="F38" s="18">
        <f t="shared" ref="F38:J38" si="37">$S16/F16-1</f>
        <v>4.9841387779567148E-2</v>
      </c>
      <c r="G38" s="18">
        <f>$S16/G16-1</f>
        <v>6.0997711443050218E-2</v>
      </c>
      <c r="H38" s="18">
        <f t="shared" si="37"/>
        <v>4.426382924249217E-2</v>
      </c>
      <c r="I38" s="18">
        <f t="shared" si="37"/>
        <v>0.72269348434248815</v>
      </c>
      <c r="J38" s="18">
        <f t="shared" si="37"/>
        <v>4.6656694057281234E-2</v>
      </c>
      <c r="K38" s="18">
        <f t="shared" ref="K38:Q38" si="38">$S16/K16-1</f>
        <v>1.1128213328093439E-2</v>
      </c>
      <c r="L38" s="18">
        <f t="shared" si="38"/>
        <v>3.9067316624054493E-2</v>
      </c>
      <c r="M38" s="18">
        <f t="shared" si="38"/>
        <v>-4.3403813815162673E-3</v>
      </c>
      <c r="N38" s="18">
        <f t="shared" si="38"/>
        <v>9.0401687421255428E-3</v>
      </c>
      <c r="O38" s="18">
        <f t="shared" si="38"/>
        <v>2.5514647727697515E-2</v>
      </c>
      <c r="P38" s="18">
        <f t="shared" si="38"/>
        <v>1.3753715323422178E-2</v>
      </c>
      <c r="Q38" s="18">
        <f t="shared" si="38"/>
        <v>1.5512120866424617E-2</v>
      </c>
      <c r="R38" s="40">
        <f t="shared" si="20"/>
        <v>5.4164239953407245E-2</v>
      </c>
    </row>
    <row r="39" spans="1:18" x14ac:dyDescent="0.2">
      <c r="A39" s="9" t="str">
        <f t="shared" ref="A39:D39" si="39">A17</f>
        <v>SNN_SMT</v>
      </c>
      <c r="B39" s="9" t="str">
        <f t="shared" si="39"/>
        <v>Sport Medicine &amp; ENT Revenue</v>
      </c>
      <c r="C39" s="9" t="str">
        <f t="shared" si="39"/>
        <v>2020Q1</v>
      </c>
      <c r="D39" s="9">
        <f t="shared" si="39"/>
        <v>20200430</v>
      </c>
      <c r="E39" s="18">
        <f t="shared" si="12"/>
        <v>-6.5010782508882592E-2</v>
      </c>
      <c r="F39" s="18">
        <f t="shared" ref="F39:J39" si="40">$S17/F17-1</f>
        <v>-6.3355503431446358E-2</v>
      </c>
      <c r="G39" s="18">
        <f>$S17/G17-1</f>
        <v>-3.3221158970541342E-2</v>
      </c>
      <c r="H39" s="18">
        <f t="shared" si="40"/>
        <v>-1.2939215023505257E-2</v>
      </c>
      <c r="I39" s="18">
        <f t="shared" si="40"/>
        <v>0.58703698739939969</v>
      </c>
      <c r="J39" s="18">
        <f t="shared" si="40"/>
        <v>-4.4124078646035292E-2</v>
      </c>
      <c r="K39" s="18">
        <f t="shared" ref="K39:Q39" si="41">$S17/K17-1</f>
        <v>-9.3952331990398319E-2</v>
      </c>
      <c r="L39" s="18">
        <f t="shared" si="41"/>
        <v>-0.107822850697882</v>
      </c>
      <c r="M39" s="18">
        <f t="shared" si="41"/>
        <v>-8.8802142923989469E-2</v>
      </c>
      <c r="N39" s="18">
        <f t="shared" si="41"/>
        <v>-5.4778344958565262E-2</v>
      </c>
      <c r="O39" s="18">
        <f t="shared" si="41"/>
        <v>-7.8746740598990228E-2</v>
      </c>
      <c r="P39" s="18">
        <f t="shared" si="41"/>
        <v>-8.6734048727488688E-2</v>
      </c>
      <c r="Q39" s="18">
        <f t="shared" si="41"/>
        <v>-8.5422576538844885E-2</v>
      </c>
      <c r="R39" s="40">
        <f t="shared" si="20"/>
        <v>-7.0399999999999907E-2</v>
      </c>
    </row>
    <row r="40" spans="1:18" x14ac:dyDescent="0.2">
      <c r="A40" s="9" t="str">
        <f t="shared" ref="A40:D40" si="42">A18</f>
        <v>SNN_SMT</v>
      </c>
      <c r="B40" s="9" t="str">
        <f t="shared" si="42"/>
        <v>Sport Medicine &amp; ENT Revenue</v>
      </c>
      <c r="C40" s="9" t="str">
        <f t="shared" si="42"/>
        <v>2020Q2</v>
      </c>
      <c r="D40" s="9">
        <f t="shared" si="42"/>
        <v>20200723</v>
      </c>
      <c r="E40" s="18">
        <f>$S18/E18-1</f>
        <v>-7.8226735913184076E-2</v>
      </c>
      <c r="F40" s="18">
        <f t="shared" ref="F40:J40" si="43">$S18/F18-1</f>
        <v>-8.5295044015931021E-2</v>
      </c>
      <c r="G40" s="18">
        <f>$S18/G18-1</f>
        <v>4.5947266407403653E-2</v>
      </c>
      <c r="H40" s="18">
        <f t="shared" si="43"/>
        <v>-7.1509944248845048E-2</v>
      </c>
      <c r="I40" s="18">
        <f t="shared" si="43"/>
        <v>0.51286275567770034</v>
      </c>
      <c r="J40" s="18">
        <f t="shared" si="43"/>
        <v>-5.0152603691322684E-2</v>
      </c>
      <c r="K40" s="18">
        <f t="shared" ref="K40:Q40" si="44">$S18/K18-1</f>
        <v>-1.41348725280106E-2</v>
      </c>
      <c r="L40" s="18">
        <f t="shared" si="44"/>
        <v>-2.3423551480696636E-2</v>
      </c>
      <c r="M40" s="18">
        <f t="shared" si="44"/>
        <v>8.188886849617405E-2</v>
      </c>
      <c r="N40" s="18">
        <f t="shared" si="44"/>
        <v>-5.9338523135365584E-2</v>
      </c>
      <c r="O40" s="18">
        <f t="shared" si="44"/>
        <v>-4.6737557039073785E-2</v>
      </c>
      <c r="P40" s="18">
        <f t="shared" si="44"/>
        <v>-6.3068070976702861E-3</v>
      </c>
      <c r="Q40" s="18">
        <f t="shared" si="44"/>
        <v>-1.3334755680090793E-2</v>
      </c>
      <c r="R40" s="40">
        <f t="shared" ref="R40" si="45">$S18/R18-1</f>
        <v>0.11029782937910149</v>
      </c>
    </row>
    <row r="41" spans="1:18" x14ac:dyDescent="0.2">
      <c r="A41" s="9" t="str">
        <f t="shared" ref="A41:D41" si="46">A19</f>
        <v>SNN_SMT</v>
      </c>
      <c r="B41" s="9" t="str">
        <f t="shared" si="46"/>
        <v>Sport Medicine &amp; ENT Revenue</v>
      </c>
      <c r="C41" s="9" t="str">
        <f t="shared" si="46"/>
        <v>2020Q3</v>
      </c>
      <c r="D41" s="9">
        <f t="shared" si="46"/>
        <v>20201022</v>
      </c>
      <c r="E41" s="18">
        <f>$S19/E19-1</f>
        <v>6.143026116657424E-2</v>
      </c>
      <c r="F41" s="18">
        <f t="shared" ref="F41:I41" si="47">$S19/F19-1</f>
        <v>5.4185157471885681E-2</v>
      </c>
      <c r="G41" s="18">
        <f>$S19/G19-1</f>
        <v>6.6349512085251083E-2</v>
      </c>
      <c r="H41" s="18">
        <f t="shared" si="47"/>
        <v>0.12530113499185047</v>
      </c>
      <c r="I41" s="18">
        <f t="shared" si="47"/>
        <v>0.8447143257675378</v>
      </c>
      <c r="J41" s="18">
        <f>$S19/J19-1</f>
        <v>7.6091846149108466E-2</v>
      </c>
      <c r="K41" s="18">
        <f t="shared" ref="K41:Q41" si="48">$S19/K19-1</f>
        <v>0.15150905599124087</v>
      </c>
      <c r="L41" s="18">
        <f t="shared" si="48"/>
        <v>0.15248654834034348</v>
      </c>
      <c r="M41" s="18">
        <f t="shared" si="48"/>
        <v>1.9505998374014233E-2</v>
      </c>
      <c r="N41" s="18">
        <f t="shared" si="48"/>
        <v>0.21196896834988088</v>
      </c>
      <c r="O41" s="18">
        <f t="shared" si="48"/>
        <v>0.21935338737398014</v>
      </c>
      <c r="P41" s="18">
        <f t="shared" si="48"/>
        <v>0.13291024466777035</v>
      </c>
      <c r="Q41" s="18">
        <f t="shared" si="48"/>
        <v>0.14397391626273626</v>
      </c>
      <c r="R41" s="40">
        <f>$S19/R19-1</f>
        <v>8.8489457310749975E-2</v>
      </c>
    </row>
    <row r="42" spans="1:18" x14ac:dyDescent="0.2">
      <c r="A42" s="9" t="str">
        <f t="shared" ref="A42:D42" si="49">A20</f>
        <v>SNN_SMT</v>
      </c>
      <c r="B42" s="9" t="str">
        <f t="shared" si="49"/>
        <v>Sport Medicine &amp; ENT Revenue</v>
      </c>
      <c r="C42" s="9" t="str">
        <f t="shared" si="49"/>
        <v>2020Q4</v>
      </c>
      <c r="D42" s="9">
        <f t="shared" si="49"/>
        <v>20210211</v>
      </c>
      <c r="E42" s="18">
        <f>$S20/E20-1</f>
        <v>0.10876202381747069</v>
      </c>
      <c r="F42" s="18">
        <f t="shared" ref="F42:I42" si="50">$S20/F20-1</f>
        <v>0.11798581120584095</v>
      </c>
      <c r="G42" s="18">
        <f t="shared" ref="G39:G44" si="51">$S20/G20-1</f>
        <v>7.4062304664293865E-2</v>
      </c>
      <c r="H42" s="18">
        <f t="shared" si="50"/>
        <v>0.111735042783075</v>
      </c>
      <c r="I42" s="18">
        <f t="shared" si="50"/>
        <v>0.87595177472164654</v>
      </c>
      <c r="J42" s="18">
        <f>$S20/J20-1</f>
        <v>0.10286653716773686</v>
      </c>
      <c r="K42" s="18">
        <f t="shared" ref="K42:Q42" si="52">$S20/K20-1</f>
        <v>4.4592437565211362E-2</v>
      </c>
      <c r="L42" s="18">
        <f t="shared" si="52"/>
        <v>6.0521297688311382E-2</v>
      </c>
      <c r="M42" s="18">
        <f t="shared" si="52"/>
        <v>7.2328936166157209E-3</v>
      </c>
      <c r="N42" s="18">
        <f t="shared" si="52"/>
        <v>-1.2055521661651913E-2</v>
      </c>
      <c r="O42" s="18">
        <f t="shared" si="52"/>
        <v>1.693348857206467E-2</v>
      </c>
      <c r="P42" s="18">
        <f t="shared" si="52"/>
        <v>2.4881417989035315E-2</v>
      </c>
      <c r="Q42" s="18">
        <f t="shared" si="52"/>
        <v>2.3133656238232714E-2</v>
      </c>
      <c r="R42" s="40">
        <f>$S20/R20-1</f>
        <v>-7.384987893462458E-2</v>
      </c>
    </row>
    <row r="43" spans="1:18" x14ac:dyDescent="0.2">
      <c r="A43" s="9" t="str">
        <f t="shared" ref="A43:D43" si="53">A21</f>
        <v>SNN_SMT</v>
      </c>
      <c r="B43" s="9" t="str">
        <f t="shared" si="53"/>
        <v>Sport Medicine &amp; ENT Revenue</v>
      </c>
      <c r="C43" s="9" t="str">
        <f t="shared" si="53"/>
        <v>2021Q1</v>
      </c>
      <c r="D43" s="9">
        <f t="shared" si="53"/>
        <v>20210422</v>
      </c>
      <c r="E43" s="18">
        <f>$S21/E21-1</f>
        <v>1.6404278716357856E-2</v>
      </c>
      <c r="F43" s="18">
        <f t="shared" ref="F43:J43" si="54">$S21/F21-1</f>
        <v>4.1863114493761122E-2</v>
      </c>
      <c r="G43" s="18">
        <f>$S21/G21-1</f>
        <v>7.4945922134820542E-2</v>
      </c>
      <c r="H43" s="18">
        <f t="shared" si="54"/>
        <v>5.7392375047716326E-2</v>
      </c>
      <c r="I43" s="18">
        <f t="shared" si="54"/>
        <v>0.80386083441788569</v>
      </c>
      <c r="J43" s="18">
        <f t="shared" si="54"/>
        <v>4.7207718488665451E-2</v>
      </c>
      <c r="K43" s="18">
        <f t="shared" ref="K43:Q43" si="55">$S21/K21-1</f>
        <v>-8.3298077601111187E-2</v>
      </c>
      <c r="L43" s="18">
        <f t="shared" si="55"/>
        <v>-6.8089143841615685E-2</v>
      </c>
      <c r="M43" s="18">
        <f t="shared" si="55"/>
        <v>8.2268734941126631E-4</v>
      </c>
      <c r="N43" s="18">
        <f t="shared" si="55"/>
        <v>-4.8880952424886437E-2</v>
      </c>
      <c r="O43" s="18">
        <f t="shared" si="55"/>
        <v>-3.8428994431084162E-2</v>
      </c>
      <c r="P43" s="18">
        <f t="shared" si="55"/>
        <v>-5.0467410881835595E-2</v>
      </c>
      <c r="Q43" s="18">
        <f t="shared" si="55"/>
        <v>-4.8769096660911226E-2</v>
      </c>
      <c r="R43" s="40">
        <f>$S21/R21-1</f>
        <v>0.16068190061661225</v>
      </c>
    </row>
    <row r="44" spans="1:18" x14ac:dyDescent="0.2">
      <c r="A44" s="9" t="str">
        <f t="shared" ref="A44:D44" si="56">A22</f>
        <v>SNN_SMT</v>
      </c>
      <c r="B44" s="9" t="str">
        <f t="shared" si="56"/>
        <v>Sport Medicine &amp; ENT Revenue</v>
      </c>
      <c r="C44" s="9" t="str">
        <f t="shared" si="56"/>
        <v>2021Q2</v>
      </c>
      <c r="D44" s="9">
        <f t="shared" si="56"/>
        <v>20210722</v>
      </c>
      <c r="E44" s="18">
        <f>$S22/E22-1</f>
        <v>-3.2602849583713622E-2</v>
      </c>
      <c r="F44" s="18">
        <f t="shared" ref="F44:J44" si="57">$S22/F22-1</f>
        <v>-1.9991057378966004E-2</v>
      </c>
      <c r="G44" s="18">
        <f t="shared" si="51"/>
        <v>3.8830659707224546E-2</v>
      </c>
      <c r="H44" s="18">
        <f t="shared" si="57"/>
        <v>1.5565203059991095E-2</v>
      </c>
      <c r="I44" s="18">
        <f t="shared" si="57"/>
        <v>0.82551991749374953</v>
      </c>
      <c r="J44" s="18">
        <f t="shared" si="57"/>
        <v>-3.4853570774262543E-4</v>
      </c>
      <c r="K44" s="18">
        <f t="shared" ref="K44:Q44" si="58">$S22/K22-1</f>
        <v>-4.8216176698866242E-2</v>
      </c>
      <c r="L44" s="18">
        <f t="shared" si="58"/>
        <v>-5.9368808639301829E-2</v>
      </c>
      <c r="M44" s="18">
        <f t="shared" si="58"/>
        <v>-3.3597283066921113E-2</v>
      </c>
      <c r="N44" s="18">
        <f t="shared" si="58"/>
        <v>-3.9556907137558883E-2</v>
      </c>
      <c r="O44" s="18">
        <f t="shared" si="58"/>
        <v>1.2007069870693998E-2</v>
      </c>
      <c r="P44" s="18">
        <f t="shared" si="58"/>
        <v>-4.5412436670197232E-2</v>
      </c>
      <c r="Q44" s="18">
        <f t="shared" si="58"/>
        <v>-3.621181943897045E-2</v>
      </c>
      <c r="R44" s="40">
        <f>$S22/R22-1</f>
        <v>8.9826142949130716E-2</v>
      </c>
    </row>
    <row r="45" spans="1:18" x14ac:dyDescent="0.2">
      <c r="A45" s="169" t="s">
        <v>77</v>
      </c>
      <c r="B45" s="169"/>
      <c r="C45" s="165"/>
      <c r="D45" s="166"/>
      <c r="E45" s="73" cm="1">
        <f t="array" ref="E45">SUM(ABS(E28:E44))/COUNT(E28:E44)</f>
        <v>7.3500911155332305E-2</v>
      </c>
      <c r="F45" s="73" cm="1">
        <f t="array" ref="F45">SUM(ABS(F28:F44))/COUNT(F28:F44)</f>
        <v>7.4328317706088859E-2</v>
      </c>
      <c r="G45" s="73" cm="1">
        <f t="array" ref="G45">SUM(ABS(G28:G44))/COUNT(G28:G44)</f>
        <v>6.9215698507309451E-2</v>
      </c>
      <c r="H45" s="73" cm="1">
        <f t="array" ref="H45">SUM(ABS(H28:H44))/COUNT(H28:H44)</f>
        <v>6.8935121836929916E-2</v>
      </c>
      <c r="I45" s="73" cm="1">
        <f t="array" ref="I45">SUM(ABS(I28:I44))/COUNT(I28:I44)</f>
        <v>0.5929843317534329</v>
      </c>
      <c r="J45" s="73" cm="1">
        <f t="array" ref="J45">SUM(ABS(J28:J44))/COUNT(J28:J44)</f>
        <v>6.5146993826852587E-2</v>
      </c>
      <c r="K45" s="73" cm="1">
        <f t="array" ref="K45">SUM(ABS(K28:K44))/COUNT(K28:K44)</f>
        <v>6.1363968286371237E-2</v>
      </c>
      <c r="L45" s="73" cm="1">
        <f t="array" ref="L45">SUM(ABS(L28:L44))/COUNT(L28:L44)</f>
        <v>6.7161772167472267E-2</v>
      </c>
      <c r="M45" s="75" cm="1">
        <f t="array" ref="M45">SUM(ABS(M28:M44))/COUNT(M28:M44)</f>
        <v>5.7208238555762625E-2</v>
      </c>
      <c r="N45" s="73" cm="1">
        <f t="array" ref="N45">SUM(ABS(N28:N44))/COUNT(N28:N44)</f>
        <v>6.8446460842286033E-2</v>
      </c>
      <c r="O45" s="73" cm="1">
        <f t="array" ref="O45">SUM(ABS(O28:O44))/COUNT(O28:O44)</f>
        <v>6.8717987914677717E-2</v>
      </c>
      <c r="P45" s="75" cm="1">
        <f t="array" ref="P45">SUM(ABS(P28:P44))/COUNT(P28:P44)</f>
        <v>5.9153106851513461E-2</v>
      </c>
      <c r="Q45" s="73" cm="1">
        <f t="array" ref="Q45">SUM(ABS(Q28:Q44))/COUNT(Q28:Q44)</f>
        <v>5.9316219154362096E-2</v>
      </c>
      <c r="R45" s="75" cm="1">
        <f t="array" ref="R45">SUM(ABS(R28:R44))/COUNT(R28:R44)</f>
        <v>6.0459053454318359E-2</v>
      </c>
    </row>
    <row r="46" spans="1:18" x14ac:dyDescent="0.2">
      <c r="A46" s="170" t="s">
        <v>78</v>
      </c>
      <c r="B46" s="170"/>
      <c r="C46" s="167"/>
      <c r="D46" s="168"/>
      <c r="E46" s="74" cm="1">
        <f t="array" ref="E46">SQRT(SUM(POWER(E28:E44,2))/COUNT(E28:E44))</f>
        <v>9.9670265080116657E-2</v>
      </c>
      <c r="F46" s="74" cm="1">
        <f t="array" ref="F46">SQRT(SUM(POWER(F28:F44,2))/COUNT(F28:F44))</f>
        <v>9.9988561806577059E-2</v>
      </c>
      <c r="G46" s="74" cm="1">
        <f t="array" ref="G46">SQRT(SUM(POWER(G28:G44,2))/COUNT(G28:G44))</f>
        <v>8.0854935757380314E-2</v>
      </c>
      <c r="H46" s="74" cm="1">
        <f t="array" ref="H46">SQRT(SUM(POWER(H28:H44,2))/COUNT(H28:H44))</f>
        <v>9.1341491267570768E-2</v>
      </c>
      <c r="I46" s="74" cm="1">
        <f t="array" ref="I46">SQRT(SUM(POWER(I28:I44,2))/COUNT(I28:I44))</f>
        <v>0.61855747051768295</v>
      </c>
      <c r="J46" s="74" cm="1">
        <f t="array" ref="J46">SQRT(SUM(POWER(J28:J44,2))/COUNT(J28:J44))</f>
        <v>8.7526532806191756E-2</v>
      </c>
      <c r="K46" s="74" cm="1">
        <f t="array" ref="K46">SQRT(SUM(POWER(K28:K44,2))/COUNT(K28:K44))</f>
        <v>7.2866206075591577E-2</v>
      </c>
      <c r="L46" s="74" cm="1">
        <f t="array" ref="L46">SQRT(SUM(POWER(L28:L44,2))/COUNT(L28:L44))</f>
        <v>7.7932986440880703E-2</v>
      </c>
      <c r="M46" s="76" cm="1">
        <f t="array" ref="M46">SQRT(SUM(POWER(M28:M44,2))/COUNT(M28:M44))</f>
        <v>7.1840058151954822E-2</v>
      </c>
      <c r="N46" s="74" cm="1">
        <f t="array" ref="N46">SQRT(SUM(POWER(N28:N44,2))/COUNT(N28:N44))</f>
        <v>9.488170506158565E-2</v>
      </c>
      <c r="O46" s="74" cm="1">
        <f t="array" ref="O46">SQRT(SUM(POWER(O28:O44,2))/COUNT(O28:O44))</f>
        <v>9.8617103665110603E-2</v>
      </c>
      <c r="P46" s="76" cm="1">
        <f t="array" ref="P46">SQRT(SUM(POWER(P28:P44,2))/COUNT(P28:P44))</f>
        <v>7.2463763419407232E-2</v>
      </c>
      <c r="Q46" s="74" cm="1">
        <f t="array" ref="Q46">SQRT(SUM(POWER(Q28:Q44,2))/COUNT(Q28:Q44))</f>
        <v>7.3094496547162963E-2</v>
      </c>
      <c r="R46" s="76" cm="1">
        <f t="array" ref="R46">SQRT(SUM(POWER(R28:R44,2))/COUNT(R28:R44))</f>
        <v>7.0797821789403415E-2</v>
      </c>
    </row>
    <row r="47" spans="1:18" x14ac:dyDescent="0.2">
      <c r="G47" s="3">
        <f>AVERAGE(G28:G44)</f>
        <v>1.0466952500347126E-2</v>
      </c>
      <c r="J47" s="3"/>
    </row>
    <row r="48" spans="1:18" x14ac:dyDescent="0.2">
      <c r="B48" t="s">
        <v>158</v>
      </c>
      <c r="G48" s="3"/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C9" sqref="C9:M11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103</v>
      </c>
      <c r="B1" t="s">
        <v>83</v>
      </c>
    </row>
    <row r="2" spans="1:17" x14ac:dyDescent="0.2">
      <c r="A2" s="67" t="s">
        <v>98</v>
      </c>
      <c r="B2" t="s">
        <v>81</v>
      </c>
    </row>
    <row r="3" spans="1:17" x14ac:dyDescent="0.2">
      <c r="A3" s="67" t="s">
        <v>99</v>
      </c>
      <c r="B3" t="s">
        <v>147</v>
      </c>
    </row>
    <row r="4" spans="1:17" x14ac:dyDescent="0.2">
      <c r="A4" s="67" t="s">
        <v>100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101</v>
      </c>
      <c r="B7" s="171" t="s">
        <v>82</v>
      </c>
      <c r="C7" s="171"/>
      <c r="D7" s="171" t="s">
        <v>112</v>
      </c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6"/>
      <c r="P7" s="6"/>
      <c r="Q7" s="6"/>
    </row>
    <row r="8" spans="1:17" ht="15" x14ac:dyDescent="0.2">
      <c r="A8" s="67" t="s">
        <v>60</v>
      </c>
      <c r="C8" s="71" t="s">
        <v>84</v>
      </c>
      <c r="D8" s="71" t="s">
        <v>85</v>
      </c>
      <c r="E8" s="71" t="s">
        <v>86</v>
      </c>
      <c r="F8" s="71" t="s">
        <v>87</v>
      </c>
      <c r="G8" s="71" t="s">
        <v>88</v>
      </c>
      <c r="H8" s="71" t="s">
        <v>89</v>
      </c>
      <c r="I8" s="71" t="s">
        <v>90</v>
      </c>
      <c r="J8" s="71" t="s">
        <v>91</v>
      </c>
      <c r="K8" s="71" t="s">
        <v>92</v>
      </c>
      <c r="L8" s="71" t="s">
        <v>93</v>
      </c>
      <c r="M8" s="71" t="s">
        <v>94</v>
      </c>
      <c r="O8" s="6"/>
      <c r="P8" s="6"/>
      <c r="Q8" s="6"/>
    </row>
    <row r="9" spans="1:17" ht="15" x14ac:dyDescent="0.2">
      <c r="B9" s="71" t="s">
        <v>95</v>
      </c>
      <c r="C9" s="2">
        <v>7.0569244371280065E-2</v>
      </c>
      <c r="D9" s="2">
        <v>4.5490459202727929E-2</v>
      </c>
      <c r="E9" s="2">
        <v>6.3839153495289194E-2</v>
      </c>
      <c r="F9" s="2">
        <v>7.7091139364427214E-2</v>
      </c>
      <c r="G9" s="2">
        <v>5.6480212361712433E-2</v>
      </c>
      <c r="H9" s="2">
        <v>6.3841162162921253E-2</v>
      </c>
      <c r="I9" s="2">
        <v>6.4867415991013463E-2</v>
      </c>
      <c r="J9" s="2">
        <v>5.6099298244721187E-2</v>
      </c>
      <c r="K9" s="2">
        <v>5.426938365421459E-2</v>
      </c>
      <c r="L9" s="2">
        <v>8.9381841575129295E-2</v>
      </c>
      <c r="M9" s="2">
        <v>0.1167605771526664</v>
      </c>
      <c r="O9" s="6"/>
      <c r="P9" s="6"/>
      <c r="Q9" s="6"/>
    </row>
    <row r="10" spans="1:17" ht="15" x14ac:dyDescent="0.2">
      <c r="B10" s="71" t="s">
        <v>96</v>
      </c>
      <c r="C10" s="2">
        <v>7.7892749111181298E-2</v>
      </c>
      <c r="D10" s="2">
        <v>6.1508367805501472E-2</v>
      </c>
      <c r="E10" s="2">
        <v>8.181952704537114E-2</v>
      </c>
      <c r="F10" s="2">
        <v>8.8379878949725987E-2</v>
      </c>
      <c r="G10" s="2">
        <v>6.0669311583640403E-2</v>
      </c>
      <c r="H10" s="2">
        <v>8.1824686359779727E-2</v>
      </c>
      <c r="I10" s="2">
        <v>8.4128019146222505E-2</v>
      </c>
      <c r="J10" s="2">
        <v>6.0309805403086239E-2</v>
      </c>
      <c r="K10" s="2">
        <v>6.0353533313566653E-2</v>
      </c>
      <c r="L10" s="2">
        <v>0.1490964449959658</v>
      </c>
      <c r="M10" s="2">
        <v>0.19756614337407419</v>
      </c>
      <c r="O10" s="6"/>
      <c r="P10" s="6"/>
      <c r="Q10" s="6"/>
    </row>
    <row r="11" spans="1:17" ht="15" x14ac:dyDescent="0.2">
      <c r="B11" s="71" t="s">
        <v>97</v>
      </c>
      <c r="C11" s="2">
        <v>-4.9527684955525009E-2</v>
      </c>
      <c r="D11" s="2">
        <v>-3.81917652859326E-3</v>
      </c>
      <c r="E11" s="2">
        <v>-1.4153911113550469E-2</v>
      </c>
      <c r="F11" s="2">
        <v>-7.2660499184775795E-2</v>
      </c>
      <c r="G11" s="2">
        <v>-4.7169528887315397E-2</v>
      </c>
      <c r="H11" s="2">
        <v>-1.415394696498851E-2</v>
      </c>
      <c r="I11" s="2">
        <v>-1.4154576446576471E-2</v>
      </c>
      <c r="J11" s="2">
        <v>-4.7143046879445483E-2</v>
      </c>
      <c r="K11" s="2">
        <v>-3.2663180053350949E-2</v>
      </c>
      <c r="L11" s="2">
        <v>-8.1896377517541863E-3</v>
      </c>
      <c r="M11" s="2">
        <v>-3.2697853020071832E-2</v>
      </c>
      <c r="O11" s="6"/>
      <c r="P11" s="6"/>
      <c r="Q11" s="6"/>
    </row>
    <row r="12" spans="1:17" ht="15" x14ac:dyDescent="0.2">
      <c r="B12" s="9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67" t="s">
        <v>102</v>
      </c>
      <c r="B15" t="s">
        <v>105</v>
      </c>
      <c r="O15" s="6"/>
      <c r="P15" s="6"/>
      <c r="Q15" s="6"/>
    </row>
    <row r="16" spans="1:17" x14ac:dyDescent="0.2">
      <c r="B16" t="s">
        <v>139</v>
      </c>
      <c r="H16" s="68" t="s">
        <v>106</v>
      </c>
      <c r="O16" s="6"/>
      <c r="P16" s="6"/>
      <c r="Q16" s="6"/>
    </row>
    <row r="17" spans="1:17" x14ac:dyDescent="0.2">
      <c r="B17" t="s">
        <v>140</v>
      </c>
      <c r="H17" s="68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7" t="s">
        <v>104</v>
      </c>
      <c r="B20" s="172" t="s">
        <v>108</v>
      </c>
      <c r="C20" s="172"/>
      <c r="D20" s="172"/>
      <c r="E20" s="172"/>
      <c r="F20" s="66" t="e">
        <f>#REF!+#REF!*'2. Past Proj &amp; Candidate Model'!R22</f>
        <v>#REF!</v>
      </c>
      <c r="G20" s="69" t="s">
        <v>109</v>
      </c>
      <c r="H20" s="2" t="e">
        <f>'2. Past Proj &amp; Candidate Model'!S22/'3.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73" t="s">
        <v>159</v>
      </c>
      <c r="C24" s="173"/>
      <c r="D24" s="173"/>
      <c r="E24" s="3">
        <f>C9</f>
        <v>7.0569244371280065E-2</v>
      </c>
      <c r="F24" t="s">
        <v>110</v>
      </c>
      <c r="G24" s="173" t="s">
        <v>111</v>
      </c>
      <c r="H24" s="173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7" t="s">
        <v>107</v>
      </c>
      <c r="B27" t="s">
        <v>113</v>
      </c>
      <c r="O27" s="6"/>
      <c r="P27" s="6"/>
      <c r="Q27" s="6"/>
    </row>
    <row r="28" spans="1:17" x14ac:dyDescent="0.2">
      <c r="B28" t="s">
        <v>114</v>
      </c>
      <c r="O28" s="6"/>
      <c r="P28" s="6"/>
      <c r="Q28" s="6"/>
    </row>
    <row r="29" spans="1:17" x14ac:dyDescent="0.2">
      <c r="B29" t="s">
        <v>115</v>
      </c>
      <c r="O29" s="6"/>
      <c r="P29" s="6"/>
      <c r="Q29" s="6"/>
    </row>
    <row r="30" spans="1:17" x14ac:dyDescent="0.2">
      <c r="B30" t="s">
        <v>116</v>
      </c>
      <c r="O30" s="6"/>
      <c r="P30" s="6"/>
      <c r="Q30" s="6"/>
    </row>
    <row r="31" spans="1:17" x14ac:dyDescent="0.2">
      <c r="B31" t="s">
        <v>117</v>
      </c>
      <c r="O31" s="6"/>
      <c r="P31" s="6"/>
      <c r="Q31" s="6"/>
    </row>
    <row r="32" spans="1:17" x14ac:dyDescent="0.2">
      <c r="B32" t="s">
        <v>118</v>
      </c>
      <c r="O32" s="6"/>
      <c r="P32" s="6"/>
      <c r="Q32" s="6"/>
    </row>
    <row r="33" spans="2:17" x14ac:dyDescent="0.2">
      <c r="B33" t="s">
        <v>119</v>
      </c>
      <c r="O33" s="6"/>
      <c r="P33" s="6"/>
      <c r="Q33" s="6"/>
    </row>
    <row r="34" spans="2:17" x14ac:dyDescent="0.2">
      <c r="B34" t="s">
        <v>120</v>
      </c>
      <c r="O34" s="6"/>
      <c r="P34" s="6"/>
      <c r="Q34" s="6"/>
    </row>
    <row r="35" spans="2:17" x14ac:dyDescent="0.2">
      <c r="B35" t="s">
        <v>121</v>
      </c>
      <c r="O35" s="6"/>
      <c r="P35" s="6"/>
      <c r="Q35" s="6"/>
    </row>
    <row r="36" spans="2:17" x14ac:dyDescent="0.2">
      <c r="B36" t="s">
        <v>122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9"/>
  <sheetViews>
    <sheetView topLeftCell="A4" zoomScale="85" zoomScaleNormal="85" workbookViewId="0">
      <selection activeCell="D48" sqref="D48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7" t="s">
        <v>124</v>
      </c>
      <c r="B1" t="s">
        <v>83</v>
      </c>
    </row>
    <row r="2" spans="1:25" x14ac:dyDescent="0.2">
      <c r="A2" s="67" t="s">
        <v>98</v>
      </c>
      <c r="B2" s="77" t="s">
        <v>160</v>
      </c>
      <c r="C2" s="105">
        <f>F6</f>
        <v>7.0810996870820139E-2</v>
      </c>
      <c r="D2" t="s">
        <v>161</v>
      </c>
    </row>
    <row r="4" spans="1:25" x14ac:dyDescent="0.2">
      <c r="A4" s="67" t="s">
        <v>99</v>
      </c>
      <c r="B4" t="s">
        <v>123</v>
      </c>
    </row>
    <row r="5" spans="1:25" ht="15" x14ac:dyDescent="0.2">
      <c r="A5" s="67" t="s">
        <v>172</v>
      </c>
      <c r="C5" s="71" t="s">
        <v>84</v>
      </c>
      <c r="D5" s="71" t="s">
        <v>85</v>
      </c>
      <c r="E5" s="71" t="s">
        <v>86</v>
      </c>
      <c r="F5" s="71" t="s">
        <v>87</v>
      </c>
      <c r="G5" s="71" t="s">
        <v>88</v>
      </c>
      <c r="H5" s="71" t="s">
        <v>89</v>
      </c>
      <c r="I5" s="71" t="s">
        <v>90</v>
      </c>
      <c r="J5" s="71" t="s">
        <v>91</v>
      </c>
      <c r="K5" s="71" t="s">
        <v>92</v>
      </c>
      <c r="L5" s="71" t="s">
        <v>93</v>
      </c>
      <c r="M5" s="71" t="s">
        <v>94</v>
      </c>
    </row>
    <row r="6" spans="1:25" ht="15" x14ac:dyDescent="0.2">
      <c r="B6" s="71" t="s">
        <v>95</v>
      </c>
      <c r="C6" s="2">
        <v>6.4153858519345505E-2</v>
      </c>
      <c r="D6" s="2">
        <v>4.6990897121529027E-2</v>
      </c>
      <c r="E6" s="2">
        <v>6.3748853671829475E-2</v>
      </c>
      <c r="F6" s="2">
        <v>7.0810996870820139E-2</v>
      </c>
      <c r="G6" s="2">
        <v>5.4713138827501812E-2</v>
      </c>
      <c r="H6" s="2">
        <v>6.375068134657294E-2</v>
      </c>
      <c r="I6" s="2">
        <v>6.4683673428254485E-2</v>
      </c>
      <c r="J6" s="2">
        <v>5.4366854268543881E-2</v>
      </c>
      <c r="K6" s="2">
        <v>5.2703771255684838E-2</v>
      </c>
      <c r="L6" s="2">
        <v>8.6550158065873281E-2</v>
      </c>
      <c r="M6" s="2">
        <v>0.1134221827921721</v>
      </c>
    </row>
    <row r="7" spans="1:25" ht="15" x14ac:dyDescent="0.2">
      <c r="B7" s="71" t="s">
        <v>96</v>
      </c>
      <c r="C7" s="2">
        <v>7.4267822251004242E-2</v>
      </c>
      <c r="D7" s="2">
        <v>6.1552791374311508E-2</v>
      </c>
      <c r="E7" s="2">
        <v>8.028016374769259E-2</v>
      </c>
      <c r="F7" s="2">
        <v>8.4301506119544775E-2</v>
      </c>
      <c r="G7" s="2">
        <v>5.891426230803793E-2</v>
      </c>
      <c r="H7" s="2">
        <v>8.028494524046452E-2</v>
      </c>
      <c r="I7" s="2">
        <v>8.2420698480028989E-2</v>
      </c>
      <c r="J7" s="2">
        <v>5.8577739139829242E-2</v>
      </c>
      <c r="K7" s="2">
        <v>5.8618968387210819E-2</v>
      </c>
      <c r="L7" s="2">
        <v>0.14323807867541391</v>
      </c>
      <c r="M7" s="2">
        <v>0.18991144582511571</v>
      </c>
    </row>
    <row r="8" spans="1:25" ht="15" x14ac:dyDescent="0.2">
      <c r="B8" s="71" t="s">
        <v>97</v>
      </c>
      <c r="C8" s="2">
        <v>-4.7877162666666639E-2</v>
      </c>
      <c r="D8" s="2">
        <v>-7.0588286927797386E-3</v>
      </c>
      <c r="E8" s="2">
        <v>-2.0459888757982991E-2</v>
      </c>
      <c r="F8" s="2">
        <v>-6.7583244222171879E-2</v>
      </c>
      <c r="G8" s="2">
        <v>-4.1731456468255379E-2</v>
      </c>
      <c r="H8" s="2">
        <v>-2.0459917168124449E-2</v>
      </c>
      <c r="I8" s="2">
        <v>-2.0460382884291198E-2</v>
      </c>
      <c r="J8" s="2">
        <v>-4.1730172157611212E-2</v>
      </c>
      <c r="K8" s="2">
        <v>-3.7047647270387341E-2</v>
      </c>
      <c r="L8" s="2">
        <v>-1.19413111282205E-2</v>
      </c>
      <c r="M8" s="2">
        <v>-3.5494510582976369E-2</v>
      </c>
    </row>
    <row r="10" spans="1:25" ht="15" x14ac:dyDescent="0.2">
      <c r="A10" s="67" t="s">
        <v>100</v>
      </c>
      <c r="B10" s="72" t="s">
        <v>162</v>
      </c>
    </row>
    <row r="12" spans="1:25" x14ac:dyDescent="0.2">
      <c r="A12" s="67" t="s">
        <v>101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84</v>
      </c>
      <c r="E13" s="71" t="s">
        <v>85</v>
      </c>
      <c r="F13" s="71" t="s">
        <v>86</v>
      </c>
      <c r="G13" s="71" t="s">
        <v>87</v>
      </c>
      <c r="H13" s="71" t="s">
        <v>88</v>
      </c>
      <c r="I13" s="71" t="s">
        <v>89</v>
      </c>
      <c r="J13" s="71" t="s">
        <v>90</v>
      </c>
      <c r="K13" s="71" t="s">
        <v>91</v>
      </c>
      <c r="L13" s="71" t="s">
        <v>92</v>
      </c>
      <c r="M13" s="71" t="s">
        <v>93</v>
      </c>
      <c r="N13" s="71" t="s">
        <v>94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170</v>
      </c>
      <c r="C14">
        <v>158.9</v>
      </c>
      <c r="D14">
        <v>164.6259896</v>
      </c>
      <c r="E14">
        <v>144.28142990000001</v>
      </c>
      <c r="O14" s="2"/>
      <c r="P14" s="2">
        <f>E14/C14-1</f>
        <v>-9.1998553178099463E-2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t="s">
        <v>167</v>
      </c>
      <c r="C15">
        <v>186.3</v>
      </c>
      <c r="D15">
        <v>196.12576329999999</v>
      </c>
      <c r="E15">
        <v>203.4795957</v>
      </c>
      <c r="O15" s="2"/>
      <c r="P15" s="2">
        <f t="shared" ref="P15:P19" si="0">E15/C15-1</f>
        <v>9.2214684380032219E-2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t="s">
        <v>42</v>
      </c>
      <c r="C16">
        <v>164.9</v>
      </c>
      <c r="D16">
        <v>178.32824890000001</v>
      </c>
      <c r="E16">
        <v>144.36958139999999</v>
      </c>
      <c r="O16" s="2"/>
      <c r="P16" s="2">
        <f t="shared" si="0"/>
        <v>-0.12450223529411775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t="s">
        <v>43</v>
      </c>
      <c r="C17">
        <v>174.1</v>
      </c>
      <c r="D17">
        <v>180.7175293</v>
      </c>
      <c r="E17">
        <v>159.8290724</v>
      </c>
      <c r="O17" s="2"/>
      <c r="P17" s="2">
        <f t="shared" si="0"/>
        <v>-8.1969716255025804E-2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t="s">
        <v>44</v>
      </c>
      <c r="C18">
        <v>167.6</v>
      </c>
      <c r="D18">
        <v>161.69902440000001</v>
      </c>
      <c r="E18">
        <v>159.3868799</v>
      </c>
      <c r="O18" s="2"/>
      <c r="P18" s="2">
        <f t="shared" si="0"/>
        <v>-4.9004296539379433E-2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t="s">
        <v>45</v>
      </c>
      <c r="C19">
        <v>193.5</v>
      </c>
      <c r="D19">
        <v>184.92286999999999</v>
      </c>
      <c r="E19">
        <v>194.23262800000001</v>
      </c>
      <c r="O19" s="2"/>
      <c r="P19" s="2">
        <f t="shared" si="0"/>
        <v>3.7861912144703247E-3</v>
      </c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t="s">
        <v>46</v>
      </c>
      <c r="C20">
        <v>174</v>
      </c>
      <c r="D20">
        <v>177.61504540000001</v>
      </c>
      <c r="E20">
        <v>196.2714866</v>
      </c>
      <c r="F20">
        <v>188.30392219425599</v>
      </c>
      <c r="G20">
        <v>174.11954333820921</v>
      </c>
      <c r="H20">
        <v>186.7421398635469</v>
      </c>
      <c r="I20">
        <v>188.26018794823511</v>
      </c>
      <c r="J20">
        <v>187.76812599546659</v>
      </c>
      <c r="K20">
        <v>186.69292050906651</v>
      </c>
      <c r="L20">
        <v>187.42432151646929</v>
      </c>
      <c r="M20">
        <v>188.68894555929569</v>
      </c>
      <c r="N20">
        <v>192.73345005704411</v>
      </c>
      <c r="O20" s="2">
        <v>2.077612298850573E-2</v>
      </c>
      <c r="P20" s="2">
        <v>0.12799704942528731</v>
      </c>
      <c r="Q20" s="2">
        <v>8.220644939227606E-2</v>
      </c>
      <c r="R20" s="2">
        <v>6.8703067936315421E-4</v>
      </c>
      <c r="S20" s="2">
        <v>7.3230688870959071E-2</v>
      </c>
      <c r="T20" s="2">
        <v>8.1955103150776587E-2</v>
      </c>
      <c r="U20" s="2">
        <v>7.9127160893486037E-2</v>
      </c>
      <c r="V20" s="2">
        <v>7.2947819017623816E-2</v>
      </c>
      <c r="W20" s="2">
        <v>7.7151273083156724E-2</v>
      </c>
      <c r="X20" s="2">
        <v>8.441922735227414E-2</v>
      </c>
      <c r="Y20" s="2">
        <v>0.10766350607496621</v>
      </c>
    </row>
    <row r="21" spans="2:25" x14ac:dyDescent="0.2">
      <c r="B21" t="s">
        <v>47</v>
      </c>
      <c r="C21">
        <v>187.5</v>
      </c>
      <c r="D21">
        <v>178.523032</v>
      </c>
      <c r="E21">
        <v>182.85822440000001</v>
      </c>
      <c r="F21">
        <v>178.6676774223416</v>
      </c>
      <c r="G21">
        <v>174.8281417083428</v>
      </c>
      <c r="H21">
        <v>177.63607475505461</v>
      </c>
      <c r="I21">
        <v>178.65626305471071</v>
      </c>
      <c r="J21">
        <v>178.46812439201511</v>
      </c>
      <c r="K21">
        <v>177.64576469976001</v>
      </c>
      <c r="L21">
        <v>177.74247890962141</v>
      </c>
      <c r="M21">
        <v>181.2027637838531</v>
      </c>
      <c r="N21">
        <v>181.89352585178111</v>
      </c>
      <c r="O21" s="2">
        <v>-4.7877162666666639E-2</v>
      </c>
      <c r="P21" s="2">
        <v>-2.475613653333331E-2</v>
      </c>
      <c r="Q21" s="2">
        <v>-4.7105720414178147E-2</v>
      </c>
      <c r="R21" s="2">
        <v>-6.7583244222171879E-2</v>
      </c>
      <c r="S21" s="2">
        <v>-5.2607601306375429E-2</v>
      </c>
      <c r="T21" s="2">
        <v>-4.7166597041543017E-2</v>
      </c>
      <c r="U21" s="2">
        <v>-4.8170003242586357E-2</v>
      </c>
      <c r="V21" s="2">
        <v>-5.2555921601279747E-2</v>
      </c>
      <c r="W21" s="2">
        <v>-5.2040112482019008E-2</v>
      </c>
      <c r="X21" s="2">
        <v>-3.3585259819450257E-2</v>
      </c>
      <c r="Y21" s="2">
        <v>-2.9901195457167299E-2</v>
      </c>
    </row>
    <row r="22" spans="2:25" x14ac:dyDescent="0.2">
      <c r="B22" t="s">
        <v>48</v>
      </c>
      <c r="C22">
        <v>182.8</v>
      </c>
      <c r="D22">
        <v>177.50501650000001</v>
      </c>
      <c r="E22">
        <v>171.29859039999999</v>
      </c>
      <c r="F22">
        <v>175.09304383075261</v>
      </c>
      <c r="G22">
        <v>175.59512531064689</v>
      </c>
      <c r="H22">
        <v>175.1714897576029</v>
      </c>
      <c r="I22">
        <v>175.09491944037609</v>
      </c>
      <c r="J22">
        <v>175.0930794374753</v>
      </c>
      <c r="K22">
        <v>175.17172452958869</v>
      </c>
      <c r="L22">
        <v>175.17621740955951</v>
      </c>
      <c r="M22">
        <v>179.43322246089161</v>
      </c>
      <c r="N22">
        <v>179.32801328404841</v>
      </c>
      <c r="O22" s="2">
        <v>-2.8965992888402629E-2</v>
      </c>
      <c r="P22" s="2">
        <v>-6.2917995623632428E-2</v>
      </c>
      <c r="Q22" s="2">
        <v>-4.2160591735489139E-2</v>
      </c>
      <c r="R22" s="2">
        <v>-3.9413975324688932E-2</v>
      </c>
      <c r="S22" s="2">
        <v>-4.1731456468255379E-2</v>
      </c>
      <c r="T22" s="2">
        <v>-4.2150331288971173E-2</v>
      </c>
      <c r="U22" s="2">
        <v>-4.2160396950354007E-2</v>
      </c>
      <c r="V22" s="2">
        <v>-4.1730172157611212E-2</v>
      </c>
      <c r="W22" s="2">
        <v>-4.1705594039609051E-2</v>
      </c>
      <c r="X22" s="2">
        <v>-1.8417820235822949E-2</v>
      </c>
      <c r="Y22" s="2">
        <v>-1.899336277872854E-2</v>
      </c>
    </row>
    <row r="23" spans="2:25" x14ac:dyDescent="0.2">
      <c r="B23" t="s">
        <v>49</v>
      </c>
      <c r="C23">
        <v>218.1</v>
      </c>
      <c r="D23">
        <v>206.93803299999999</v>
      </c>
      <c r="E23">
        <v>219.0976416</v>
      </c>
      <c r="F23">
        <v>196.02162069457489</v>
      </c>
      <c r="G23">
        <v>200.16467017554481</v>
      </c>
      <c r="H23">
        <v>200.79828123103991</v>
      </c>
      <c r="I23">
        <v>195.97358619262681</v>
      </c>
      <c r="J23">
        <v>195.5514597458413</v>
      </c>
      <c r="K23">
        <v>200.68757295333549</v>
      </c>
      <c r="L23">
        <v>197.67933461996071</v>
      </c>
      <c r="M23">
        <v>178.90937292512919</v>
      </c>
      <c r="N23">
        <v>164.35771865744391</v>
      </c>
      <c r="O23" s="2">
        <v>-5.1178207244383378E-2</v>
      </c>
      <c r="P23" s="2">
        <v>4.5742393397525394E-3</v>
      </c>
      <c r="Q23" s="2">
        <v>-0.1012305332665068</v>
      </c>
      <c r="R23" s="2">
        <v>-8.2234432941105884E-2</v>
      </c>
      <c r="S23" s="2">
        <v>-7.9329292842549859E-2</v>
      </c>
      <c r="T23" s="2">
        <v>-0.10145077399070709</v>
      </c>
      <c r="U23" s="2">
        <v>-0.10338624600714651</v>
      </c>
      <c r="V23" s="2">
        <v>-7.9836896133262281E-2</v>
      </c>
      <c r="W23" s="2">
        <v>-9.3629827510496533E-2</v>
      </c>
      <c r="X23" s="2">
        <v>-0.17969109158583599</v>
      </c>
      <c r="Y23" s="2">
        <v>-0.24641119368434711</v>
      </c>
    </row>
    <row r="24" spans="2:25" x14ac:dyDescent="0.2">
      <c r="B24" t="s">
        <v>50</v>
      </c>
      <c r="C24">
        <v>168</v>
      </c>
      <c r="D24">
        <v>180.73683750000001</v>
      </c>
      <c r="E24">
        <v>184.38691750000001</v>
      </c>
      <c r="F24">
        <v>184.71871150013061</v>
      </c>
      <c r="G24">
        <v>180.81056402383899</v>
      </c>
      <c r="H24">
        <v>183.03419107668009</v>
      </c>
      <c r="I24">
        <v>184.71870486040021</v>
      </c>
      <c r="J24">
        <v>184.71859585770571</v>
      </c>
      <c r="K24">
        <v>183.05284810840541</v>
      </c>
      <c r="L24">
        <v>183.20881047541869</v>
      </c>
      <c r="M24">
        <v>182.09530315032069</v>
      </c>
      <c r="N24">
        <v>181.06695843404259</v>
      </c>
      <c r="O24" s="2">
        <v>7.5814508928571556E-2</v>
      </c>
      <c r="P24" s="2">
        <v>9.7541175595238228E-2</v>
      </c>
      <c r="Q24" s="2">
        <v>9.9516139881729915E-2</v>
      </c>
      <c r="R24" s="2">
        <v>7.6253357284755907E-2</v>
      </c>
      <c r="S24" s="2">
        <v>8.9489232599286428E-2</v>
      </c>
      <c r="T24" s="2">
        <v>9.9516100359525295E-2</v>
      </c>
      <c r="U24" s="2">
        <v>9.9515451533962462E-2</v>
      </c>
      <c r="V24" s="2">
        <v>8.960028635955597E-2</v>
      </c>
      <c r="W24" s="2">
        <v>9.0528633782253953E-2</v>
      </c>
      <c r="X24" s="2">
        <v>8.3900613990004258E-2</v>
      </c>
      <c r="Y24" s="2">
        <v>7.7779514488348855E-2</v>
      </c>
    </row>
    <row r="25" spans="2:25" x14ac:dyDescent="0.2">
      <c r="B25" t="s">
        <v>51</v>
      </c>
      <c r="C25">
        <v>120.6</v>
      </c>
      <c r="D25">
        <v>108.6262626</v>
      </c>
      <c r="E25">
        <v>111.4786436</v>
      </c>
      <c r="F25">
        <v>142.4951026896178</v>
      </c>
      <c r="G25">
        <v>100.1407249966621</v>
      </c>
      <c r="H25">
        <v>112.8847080373025</v>
      </c>
      <c r="I25">
        <v>142.49516465670129</v>
      </c>
      <c r="J25">
        <v>143.71811665815949</v>
      </c>
      <c r="K25">
        <v>113.33207266184159</v>
      </c>
      <c r="L25">
        <v>117.76831246926849</v>
      </c>
      <c r="M25">
        <v>170.35518788602371</v>
      </c>
      <c r="N25">
        <v>53.994418919849643</v>
      </c>
      <c r="O25" s="2">
        <v>-9.9284721393034792E-2</v>
      </c>
      <c r="P25" s="2">
        <v>-7.5633137645107817E-2</v>
      </c>
      <c r="Q25" s="2">
        <v>0.18155143192054529</v>
      </c>
      <c r="R25" s="2">
        <v>-0.1696457297125864</v>
      </c>
      <c r="S25" s="2">
        <v>-6.3974228546414103E-2</v>
      </c>
      <c r="T25" s="2">
        <v>0.18155194574379219</v>
      </c>
      <c r="U25" s="2">
        <v>0.19169250960331261</v>
      </c>
      <c r="V25" s="2">
        <v>-6.0264737463999851E-2</v>
      </c>
      <c r="W25" s="2">
        <v>-2.3479996108884519E-2</v>
      </c>
      <c r="X25" s="2">
        <v>0.41256374698195453</v>
      </c>
      <c r="Y25" s="2">
        <v>-0.55228508358333639</v>
      </c>
    </row>
    <row r="26" spans="2:25" x14ac:dyDescent="0.2">
      <c r="B26" t="s">
        <v>52</v>
      </c>
      <c r="C26">
        <v>183.7</v>
      </c>
      <c r="D26">
        <v>168.7723977</v>
      </c>
      <c r="E26">
        <v>180.19214779999999</v>
      </c>
      <c r="F26">
        <v>179.94151843515851</v>
      </c>
      <c r="G26">
        <v>169.4195745631263</v>
      </c>
      <c r="H26">
        <v>173.81232299688679</v>
      </c>
      <c r="I26">
        <v>179.9415132162155</v>
      </c>
      <c r="J26">
        <v>179.9414276641557</v>
      </c>
      <c r="K26">
        <v>173.83231678629511</v>
      </c>
      <c r="L26">
        <v>173.85777643153909</v>
      </c>
      <c r="M26">
        <v>181.50638114574591</v>
      </c>
      <c r="N26">
        <v>176.75245345143551</v>
      </c>
      <c r="O26" s="2">
        <v>-8.1260763745236719E-2</v>
      </c>
      <c r="P26" s="2">
        <v>-1.9095548176374488E-2</v>
      </c>
      <c r="Q26" s="2">
        <v>-2.0459888757982991E-2</v>
      </c>
      <c r="R26" s="2">
        <v>-7.7737754147379712E-2</v>
      </c>
      <c r="S26" s="2">
        <v>-5.3825133386571578E-2</v>
      </c>
      <c r="T26" s="2">
        <v>-2.0459917168124449E-2</v>
      </c>
      <c r="U26" s="2">
        <v>-2.0460382884291198E-2</v>
      </c>
      <c r="V26" s="2">
        <v>-5.3716294032143952E-2</v>
      </c>
      <c r="W26" s="2">
        <v>-5.3577700427114287E-2</v>
      </c>
      <c r="X26" s="2">
        <v>-1.19413111282205E-2</v>
      </c>
      <c r="Y26" s="2">
        <v>-3.7820068310095323E-2</v>
      </c>
    </row>
    <row r="27" spans="2:25" x14ac:dyDescent="0.2">
      <c r="B27" t="s">
        <v>53</v>
      </c>
      <c r="C27">
        <v>211.9</v>
      </c>
      <c r="D27">
        <v>228.82474540000001</v>
      </c>
      <c r="E27">
        <v>210.40423419999999</v>
      </c>
      <c r="F27">
        <v>201.1665761363416</v>
      </c>
      <c r="G27">
        <v>223.28948534899229</v>
      </c>
      <c r="H27">
        <v>215.70779954507901</v>
      </c>
      <c r="I27">
        <v>201.16655063110619</v>
      </c>
      <c r="J27">
        <v>201.16609757714789</v>
      </c>
      <c r="K27">
        <v>215.65314861196899</v>
      </c>
      <c r="L27">
        <v>215.70512260274381</v>
      </c>
      <c r="M27">
        <v>198.49524350588791</v>
      </c>
      <c r="N27">
        <v>200.38601439975969</v>
      </c>
      <c r="O27" s="2">
        <v>7.987137989617743E-2</v>
      </c>
      <c r="P27" s="2">
        <v>-7.0588286927797386E-3</v>
      </c>
      <c r="Q27" s="2">
        <v>-5.0653250890318247E-2</v>
      </c>
      <c r="R27" s="2">
        <v>5.3749340957962577E-2</v>
      </c>
      <c r="S27" s="2">
        <v>1.7969794927225061E-2</v>
      </c>
      <c r="T27" s="2">
        <v>-5.0653371254807733E-2</v>
      </c>
      <c r="U27" s="2">
        <v>-5.0655509310297941E-2</v>
      </c>
      <c r="V27" s="2">
        <v>1.771188585167072E-2</v>
      </c>
      <c r="W27" s="2">
        <v>1.795716188175445E-2</v>
      </c>
      <c r="X27" s="2">
        <v>-6.3259823001944993E-2</v>
      </c>
      <c r="Y27" s="2">
        <v>-5.4336883436716943E-2</v>
      </c>
    </row>
    <row r="28" spans="2:25" x14ac:dyDescent="0.2">
      <c r="B28" t="s">
        <v>54</v>
      </c>
      <c r="C28">
        <v>188.8</v>
      </c>
      <c r="D28">
        <v>162.70247610000001</v>
      </c>
      <c r="E28">
        <v>188.69058580000001</v>
      </c>
      <c r="F28">
        <v>187.31831016103061</v>
      </c>
      <c r="G28">
        <v>165.41760128139649</v>
      </c>
      <c r="H28">
        <v>175.76956630945861</v>
      </c>
      <c r="I28">
        <v>187.31830198736219</v>
      </c>
      <c r="J28">
        <v>187.31815222232689</v>
      </c>
      <c r="K28">
        <v>175.78248465363569</v>
      </c>
      <c r="L28">
        <v>175.77227680503651</v>
      </c>
      <c r="M28">
        <v>187.9621123259457</v>
      </c>
      <c r="N28">
        <v>182.0986364019341</v>
      </c>
      <c r="O28" s="2">
        <v>-0.13822841048728809</v>
      </c>
      <c r="P28" s="2">
        <v>-5.7952436440678046E-4</v>
      </c>
      <c r="Q28" s="2">
        <v>-7.8479334691179403E-3</v>
      </c>
      <c r="R28" s="2">
        <v>-0.12384745084006089</v>
      </c>
      <c r="S28" s="2">
        <v>-6.901712759820644E-2</v>
      </c>
      <c r="T28" s="2">
        <v>-7.8479767618525598E-3</v>
      </c>
      <c r="U28" s="2">
        <v>-7.8487700088617496E-3</v>
      </c>
      <c r="V28" s="2">
        <v>-6.8948704165065378E-2</v>
      </c>
      <c r="W28" s="2">
        <v>-6.9002771159764498E-2</v>
      </c>
      <c r="X28" s="2">
        <v>-4.4379643752878728E-3</v>
      </c>
      <c r="Y28" s="2">
        <v>-3.5494510582976369E-2</v>
      </c>
    </row>
    <row r="29" spans="2:25" x14ac:dyDescent="0.2">
      <c r="B29" t="s">
        <v>55</v>
      </c>
      <c r="C29">
        <v>198.3</v>
      </c>
      <c r="D29">
        <v>181.95310509999999</v>
      </c>
      <c r="E29">
        <v>205.19111470000001</v>
      </c>
      <c r="F29">
        <v>199.42229773306741</v>
      </c>
      <c r="G29">
        <v>182.4837749249688</v>
      </c>
      <c r="H29">
        <v>193.614653449765</v>
      </c>
      <c r="I29">
        <v>199.42227981554501</v>
      </c>
      <c r="J29">
        <v>199.42192775505819</v>
      </c>
      <c r="K29">
        <v>193.60420331863071</v>
      </c>
      <c r="L29">
        <v>193.6160020888955</v>
      </c>
      <c r="M29">
        <v>198.6175888087227</v>
      </c>
      <c r="N29">
        <v>196.92767414432481</v>
      </c>
      <c r="O29" s="2">
        <v>-8.2435173474533663E-2</v>
      </c>
      <c r="P29" s="2">
        <v>3.4750956631366632E-2</v>
      </c>
      <c r="Q29" s="2">
        <v>5.6595952247473491E-3</v>
      </c>
      <c r="R29" s="2">
        <v>-7.9759077534196865E-2</v>
      </c>
      <c r="S29" s="2">
        <v>-2.362756707128089E-2</v>
      </c>
      <c r="T29" s="2">
        <v>5.659504869112375E-3</v>
      </c>
      <c r="U29" s="2">
        <v>5.6577294758357599E-3</v>
      </c>
      <c r="V29" s="2">
        <v>-2.368026566499903E-2</v>
      </c>
      <c r="W29" s="2">
        <v>-2.362076606709285E-2</v>
      </c>
      <c r="X29" s="2">
        <v>1.60155728049749E-3</v>
      </c>
      <c r="Y29" s="2">
        <v>-6.920453129981019E-3</v>
      </c>
    </row>
    <row r="30" spans="2:25" x14ac:dyDescent="0.2">
      <c r="B30" t="s">
        <v>71</v>
      </c>
      <c r="C30">
        <v>196.59260230000001</v>
      </c>
      <c r="D30">
        <v>196.59260230000001</v>
      </c>
      <c r="E30">
        <v>184.40478959999999</v>
      </c>
      <c r="F30">
        <v>184.23757203582491</v>
      </c>
      <c r="G30">
        <v>195.01797971003859</v>
      </c>
      <c r="H30">
        <v>189.31033980335951</v>
      </c>
      <c r="I30">
        <v>184.23756854712059</v>
      </c>
      <c r="J30">
        <v>184.23749490007671</v>
      </c>
      <c r="K30">
        <v>189.31033763663871</v>
      </c>
      <c r="L30">
        <v>189.3093089140221</v>
      </c>
      <c r="M30">
        <v>185.14436179609999</v>
      </c>
      <c r="N30">
        <v>180.85767657467269</v>
      </c>
      <c r="O30" s="2">
        <v>0</v>
      </c>
      <c r="P30" s="2">
        <v>-6.1995276309540048E-2</v>
      </c>
      <c r="Q30" s="2">
        <v>-6.2845855437232312E-2</v>
      </c>
      <c r="R30" s="2">
        <v>-8.0095719347493821E-3</v>
      </c>
      <c r="S30" s="2">
        <v>-3.704240348539567E-2</v>
      </c>
      <c r="T30" s="2">
        <v>-6.2845873183089873E-2</v>
      </c>
      <c r="U30" s="2">
        <v>-6.2846247800664723E-2</v>
      </c>
      <c r="V30" s="2">
        <v>-3.7042414506770698E-2</v>
      </c>
      <c r="W30" s="2">
        <v>-3.7047647270387341E-2</v>
      </c>
      <c r="X30" s="2">
        <v>-5.8233322973313073E-2</v>
      </c>
      <c r="Y30" s="2">
        <v>-8.0038239187229521E-2</v>
      </c>
    </row>
    <row r="31" spans="2:25" x14ac:dyDescent="0.2">
      <c r="B31" s="106" t="s">
        <v>148</v>
      </c>
      <c r="C31" s="106"/>
      <c r="D31" s="106"/>
      <c r="E31">
        <f>$E$30/(1+P31)</f>
        <v>186.4634825153878</v>
      </c>
      <c r="L31" s="106" t="s">
        <v>141</v>
      </c>
      <c r="M31" s="106"/>
      <c r="N31" s="106"/>
      <c r="O31" s="106"/>
      <c r="P31" s="1">
        <f>AVERAGE(P14:P29)</f>
        <v>-1.104072973225686E-2</v>
      </c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93" t="s">
        <v>149</v>
      </c>
      <c r="C32" s="93"/>
      <c r="D32" s="93"/>
      <c r="E32">
        <f>$E$30/(1+P32)</f>
        <v>186.84823923312044</v>
      </c>
      <c r="L32" s="93" t="s">
        <v>143</v>
      </c>
      <c r="M32" s="93"/>
      <c r="N32" s="93"/>
      <c r="O32" s="93"/>
      <c r="P32" s="1">
        <f>MEDIAN(P14:P29)</f>
        <v>-1.3077188434577114E-2</v>
      </c>
    </row>
    <row r="33" spans="1:16" x14ac:dyDescent="0.2">
      <c r="B33" s="94" t="s">
        <v>150</v>
      </c>
      <c r="C33" s="94"/>
      <c r="D33" s="94"/>
      <c r="E33">
        <f>$E$30/(1+P33)</f>
        <v>195.54567495267287</v>
      </c>
      <c r="L33" s="94" t="s">
        <v>142</v>
      </c>
      <c r="M33" s="94"/>
      <c r="N33" s="94"/>
      <c r="O33" s="94"/>
      <c r="P33" s="1">
        <f>AVERAGE(P25:P28,P22,P16:P18,P14)</f>
        <v>-5.6973315085435967E-2</v>
      </c>
    </row>
    <row r="34" spans="1:16" x14ac:dyDescent="0.2">
      <c r="B34" s="95" t="s">
        <v>151</v>
      </c>
      <c r="C34" s="95"/>
      <c r="D34" s="95"/>
      <c r="E34">
        <f>$E$30/(1+P34)</f>
        <v>196.78618172026708</v>
      </c>
      <c r="F34">
        <f>AVERAGE(E34,E32)</f>
        <v>191.81721047669376</v>
      </c>
      <c r="L34" s="95" t="s">
        <v>144</v>
      </c>
      <c r="M34" s="95"/>
      <c r="N34" s="95"/>
      <c r="O34" s="95"/>
      <c r="P34" s="1">
        <f>MEDIAN(P25:P28,P22,P16:P18,P14)</f>
        <v>-6.2917995623632428E-2</v>
      </c>
    </row>
    <row r="35" spans="1:16" x14ac:dyDescent="0.2">
      <c r="B35" s="96" t="s">
        <v>152</v>
      </c>
      <c r="C35" s="96"/>
      <c r="D35" s="96"/>
      <c r="E35">
        <f>$E$30/(1+P35)</f>
        <v>176.19861243379574</v>
      </c>
      <c r="L35" s="96" t="s">
        <v>145</v>
      </c>
      <c r="M35" s="96"/>
      <c r="N35" s="96"/>
      <c r="O35" s="96"/>
      <c r="P35" s="1">
        <f>AVERAGE(P29,P23:P24,P19,P15)</f>
        <v>4.6573449432171989E-2</v>
      </c>
    </row>
    <row r="36" spans="1:16" x14ac:dyDescent="0.2">
      <c r="B36" s="97" t="s">
        <v>153</v>
      </c>
      <c r="C36" s="97"/>
      <c r="D36" s="97"/>
      <c r="E36">
        <f>$E$30/(1+P36)</f>
        <v>178.21176044169127</v>
      </c>
      <c r="H36" s="100"/>
      <c r="L36" s="97" t="s">
        <v>146</v>
      </c>
      <c r="M36" s="97"/>
      <c r="N36" s="97"/>
      <c r="O36" s="97"/>
      <c r="P36" s="1">
        <f>MEDIAN(P29,P23:P24,P19,P15)</f>
        <v>3.4750956631366632E-2</v>
      </c>
    </row>
    <row r="39" spans="1:16" x14ac:dyDescent="0.2">
      <c r="A39" s="67" t="s">
        <v>102</v>
      </c>
      <c r="B39" t="s">
        <v>154</v>
      </c>
    </row>
    <row r="40" spans="1:16" x14ac:dyDescent="0.2">
      <c r="B40" t="s">
        <v>155</v>
      </c>
    </row>
    <row r="46" spans="1:16" x14ac:dyDescent="0.2">
      <c r="A46" s="67" t="s">
        <v>104</v>
      </c>
      <c r="B46" s="78" t="s">
        <v>156</v>
      </c>
      <c r="C46" s="79">
        <f>F34</f>
        <v>191.81721047669376</v>
      </c>
      <c r="D46" t="s">
        <v>168</v>
      </c>
    </row>
    <row r="48" spans="1:16" x14ac:dyDescent="0.2">
      <c r="B48" s="174" t="s">
        <v>164</v>
      </c>
      <c r="C48" s="174"/>
      <c r="D48" s="2">
        <f>C46/D30-1</f>
        <v>-2.4290801217530134E-2</v>
      </c>
    </row>
    <row r="49" spans="2:4" x14ac:dyDescent="0.2">
      <c r="B49" s="162" t="s">
        <v>163</v>
      </c>
      <c r="C49" s="162"/>
      <c r="D49" s="2">
        <f>'1. Data &amp; Confidence Interval'!V25</f>
        <v>-4.317743323917056E-2</v>
      </c>
    </row>
  </sheetData>
  <mergeCells count="2">
    <mergeCell ref="B49:C49"/>
    <mergeCell ref="B48:C48"/>
  </mergeCells>
  <conditionalFormatting sqref="P32:P36 R30:R3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:W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2021-10-29T14:52:03Z</dcterms:modified>
</cp:coreProperties>
</file>