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WAV\"/>
    </mc:Choice>
  </mc:AlternateContent>
  <xr:revisionPtr revIDLastSave="0" documentId="13_ncr:1_{0F102BBB-1CFF-4EEA-B8D2-8C48DD4CA6BC}" xr6:coauthVersionLast="46" xr6:coauthVersionMax="46" xr10:uidLastSave="{00000000-0000-0000-0000-000000000000}"/>
  <bookViews>
    <workbookView xWindow="-1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4" l="1"/>
  <c r="C38" i="4" s="1"/>
  <c r="J28" i="2"/>
  <c r="J27" i="2"/>
  <c r="J26" i="2"/>
  <c r="J25" i="2"/>
  <c r="J24" i="2"/>
  <c r="J31" i="2"/>
  <c r="J32" i="2"/>
  <c r="L27" i="4"/>
  <c r="L26" i="4"/>
  <c r="L25" i="4"/>
  <c r="L24" i="4"/>
  <c r="L28" i="4"/>
  <c r="L29" i="4"/>
  <c r="D41" i="4"/>
  <c r="U26" i="4"/>
  <c r="U27" i="4"/>
  <c r="U28" i="4"/>
  <c r="U29" i="4"/>
  <c r="U25" i="4"/>
  <c r="U24" i="4"/>
  <c r="G29" i="2" a="1"/>
  <c r="G29" i="2" s="1"/>
  <c r="G30" i="2" a="1"/>
  <c r="G30" i="2" s="1"/>
  <c r="G20" i="2"/>
  <c r="G21" i="2"/>
  <c r="G22" i="2"/>
  <c r="G23" i="2"/>
  <c r="J7" i="2"/>
  <c r="R15" i="2"/>
  <c r="R16" i="2" s="1"/>
  <c r="J15" i="2"/>
  <c r="J14" i="2"/>
  <c r="J12" i="2"/>
  <c r="J11" i="2"/>
  <c r="J10" i="2"/>
  <c r="P11" i="2" s="1"/>
  <c r="J9" i="2"/>
  <c r="J23" i="2" s="1"/>
  <c r="J8" i="2"/>
  <c r="J6" i="2"/>
  <c r="J20" i="2" s="1"/>
  <c r="J13" i="2"/>
  <c r="U25" i="1"/>
  <c r="U26" i="1"/>
  <c r="U24" i="1"/>
  <c r="U23" i="1"/>
  <c r="U22" i="1"/>
  <c r="U21" i="1"/>
  <c r="U20" i="1"/>
  <c r="O25" i="1"/>
  <c r="L25" i="1"/>
  <c r="O24" i="1"/>
  <c r="L24" i="1"/>
  <c r="N23" i="1"/>
  <c r="N22" i="1"/>
  <c r="N21" i="1"/>
  <c r="S13" i="1"/>
  <c r="R13" i="1"/>
  <c r="Q13" i="1"/>
  <c r="P13" i="1"/>
  <c r="O13" i="1"/>
  <c r="N13" i="1"/>
  <c r="M13" i="1"/>
  <c r="L13" i="1"/>
  <c r="K13" i="1"/>
  <c r="J13" i="1"/>
  <c r="U18" i="1"/>
  <c r="T18" i="1"/>
  <c r="T17" i="1"/>
  <c r="O15" i="2"/>
  <c r="N15" i="2"/>
  <c r="M15" i="2"/>
  <c r="L15" i="2"/>
  <c r="O14" i="2"/>
  <c r="N14" i="2"/>
  <c r="M14" i="2"/>
  <c r="M28" i="2" s="1"/>
  <c r="L14" i="2"/>
  <c r="L28" i="2" s="1"/>
  <c r="P13" i="2"/>
  <c r="O13" i="2"/>
  <c r="N13" i="2"/>
  <c r="M13" i="2"/>
  <c r="M27" i="2" s="1"/>
  <c r="L13" i="2"/>
  <c r="L27" i="2" s="1"/>
  <c r="P12" i="2"/>
  <c r="O12" i="2"/>
  <c r="N12" i="2"/>
  <c r="M12" i="2"/>
  <c r="M26" i="2" s="1"/>
  <c r="L12" i="2"/>
  <c r="L26" i="2" s="1"/>
  <c r="O11" i="2"/>
  <c r="N11" i="2"/>
  <c r="M11" i="2"/>
  <c r="M25" i="2" s="1"/>
  <c r="L11" i="2"/>
  <c r="O10" i="2"/>
  <c r="N10" i="2"/>
  <c r="O9" i="2"/>
  <c r="O23" i="2" s="1"/>
  <c r="N9" i="2"/>
  <c r="N23" i="2" s="1"/>
  <c r="O8" i="2"/>
  <c r="O22" i="2" s="1"/>
  <c r="N8" i="2"/>
  <c r="N22" i="2" s="1"/>
  <c r="O7" i="2"/>
  <c r="O21" i="2" s="1"/>
  <c r="N7" i="2"/>
  <c r="N21" i="2" s="1"/>
  <c r="K16" i="2"/>
  <c r="I16" i="2"/>
  <c r="H16" i="2"/>
  <c r="G16" i="2"/>
  <c r="F16" i="2"/>
  <c r="E16" i="2"/>
  <c r="H20" i="2"/>
  <c r="R20" i="2"/>
  <c r="H21" i="2"/>
  <c r="J21" i="2"/>
  <c r="K21" i="2"/>
  <c r="R21" i="2"/>
  <c r="H22" i="2"/>
  <c r="K22" i="2"/>
  <c r="R22" i="2"/>
  <c r="H23" i="2"/>
  <c r="I23" i="2"/>
  <c r="K23" i="2"/>
  <c r="R23" i="2"/>
  <c r="F24" i="2"/>
  <c r="J16" i="2" l="1"/>
  <c r="P7" i="2"/>
  <c r="P21" i="2" s="1"/>
  <c r="P15" i="2"/>
  <c r="P14" i="2"/>
  <c r="Q14" i="2" s="1"/>
  <c r="P10" i="2"/>
  <c r="Q10" i="2" s="1"/>
  <c r="P9" i="2"/>
  <c r="P23" i="2" s="1"/>
  <c r="J22" i="2"/>
  <c r="P8" i="2"/>
  <c r="P22" i="2" s="1"/>
  <c r="Q11" i="2"/>
  <c r="M16" i="2"/>
  <c r="Q7" i="2"/>
  <c r="Q21" i="2" s="1"/>
  <c r="L16" i="2"/>
  <c r="Q9" i="2"/>
  <c r="Q23" i="2" s="1"/>
  <c r="L25" i="2"/>
  <c r="L29" i="2" s="1" a="1"/>
  <c r="L29" i="2" s="1"/>
  <c r="Q12" i="2"/>
  <c r="Q8" i="2"/>
  <c r="Q22" i="2" s="1"/>
  <c r="Q13" i="2"/>
  <c r="N16" i="2"/>
  <c r="O16" i="2"/>
  <c r="M22" i="1"/>
  <c r="L22" i="1"/>
  <c r="K22" i="1"/>
  <c r="P20" i="1"/>
  <c r="O20" i="1"/>
  <c r="N20" i="1"/>
  <c r="M20" i="1"/>
  <c r="P21" i="1" s="1"/>
  <c r="L20" i="1"/>
  <c r="O21" i="1" s="1"/>
  <c r="K20" i="1"/>
  <c r="C2" i="4"/>
  <c r="D40" i="4" l="1"/>
  <c r="P16" i="2"/>
  <c r="Q15" i="2"/>
  <c r="Q16" i="2"/>
  <c r="R20" i="1"/>
  <c r="S20" i="1"/>
  <c r="R22" i="1"/>
  <c r="S22" i="1"/>
  <c r="A20" i="2" l="1"/>
  <c r="B20" i="2"/>
  <c r="C20" i="2"/>
  <c r="D20" i="2"/>
  <c r="E20" i="2"/>
  <c r="A21" i="2"/>
  <c r="B21" i="2"/>
  <c r="C21" i="2"/>
  <c r="D21" i="2"/>
  <c r="E21" i="2"/>
  <c r="G28" i="2" l="1"/>
  <c r="E28" i="2"/>
  <c r="E27" i="2"/>
  <c r="E26" i="2"/>
  <c r="E25" i="2"/>
  <c r="E24" i="2"/>
  <c r="E23" i="2"/>
  <c r="T13" i="1" l="1"/>
  <c r="H10" i="1"/>
  <c r="A22" i="2"/>
  <c r="B22" i="2"/>
  <c r="C22" i="2"/>
  <c r="D22" i="2"/>
  <c r="E22" i="2"/>
  <c r="E30" i="2" s="1" a="1"/>
  <c r="E30" i="2" s="1"/>
  <c r="S17" i="1"/>
  <c r="R17" i="1"/>
  <c r="Q17" i="1"/>
  <c r="P17" i="1"/>
  <c r="Q20" i="1"/>
  <c r="S18" i="1"/>
  <c r="R18" i="1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B23" i="2"/>
  <c r="C23" i="2"/>
  <c r="D23" i="2"/>
  <c r="A23" i="2"/>
  <c r="I25" i="3"/>
  <c r="E25" i="3"/>
  <c r="O17" i="1"/>
  <c r="N17" i="1"/>
  <c r="M17" i="1"/>
  <c r="L17" i="1"/>
  <c r="E29" i="2" l="1" a="1"/>
  <c r="E29" i="2" s="1"/>
  <c r="C7" i="1"/>
  <c r="T10" i="1"/>
  <c r="Q21" i="1"/>
  <c r="R21" i="1"/>
  <c r="S21" i="1"/>
  <c r="Q22" i="1"/>
  <c r="P22" i="1"/>
  <c r="O22" i="1"/>
  <c r="M18" i="1"/>
  <c r="L18" i="1"/>
  <c r="K18" i="1"/>
  <c r="J18" i="1"/>
  <c r="I18" i="1"/>
  <c r="H18" i="1"/>
  <c r="G18" i="1"/>
  <c r="F18" i="1"/>
  <c r="F17" i="1"/>
  <c r="G17" i="1"/>
  <c r="H17" i="1"/>
  <c r="I17" i="1"/>
  <c r="J17" i="1"/>
  <c r="K17" i="1"/>
  <c r="F21" i="3"/>
  <c r="P23" i="1" l="1"/>
  <c r="O23" i="1"/>
  <c r="R23" i="1"/>
  <c r="S23" i="1"/>
  <c r="B7" i="1"/>
  <c r="R28" i="2"/>
  <c r="R27" i="2"/>
  <c r="R26" i="2"/>
  <c r="R25" i="2"/>
  <c r="R24" i="2"/>
  <c r="R29" i="2" l="1" a="1"/>
  <c r="R29" i="2" s="1"/>
  <c r="I2" i="1"/>
  <c r="H2" i="1"/>
  <c r="I3" i="1"/>
  <c r="H3" i="1"/>
  <c r="H21" i="3"/>
  <c r="J2" i="1" l="1"/>
  <c r="K2" i="1" s="1"/>
  <c r="J3" i="1"/>
  <c r="K3" i="1" s="1"/>
  <c r="K24" i="2"/>
  <c r="N24" i="2"/>
  <c r="O24" i="2"/>
  <c r="P24" i="2"/>
  <c r="Q24" i="2"/>
  <c r="K25" i="2"/>
  <c r="N25" i="2"/>
  <c r="O25" i="2"/>
  <c r="P25" i="2"/>
  <c r="Q25" i="2"/>
  <c r="K26" i="2"/>
  <c r="N26" i="2"/>
  <c r="O26" i="2"/>
  <c r="P26" i="2"/>
  <c r="Q26" i="2"/>
  <c r="K27" i="2"/>
  <c r="N27" i="2"/>
  <c r="O27" i="2"/>
  <c r="P27" i="2"/>
  <c r="Q27" i="2"/>
  <c r="K28" i="2"/>
  <c r="N28" i="2"/>
  <c r="O28" i="2"/>
  <c r="P28" i="2"/>
  <c r="Q28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H28" i="2"/>
  <c r="I28" i="2"/>
  <c r="F29" i="2" l="1" a="1"/>
  <c r="F29" i="2" s="1"/>
  <c r="I29" i="2" a="1"/>
  <c r="I29" i="2" s="1"/>
  <c r="K29" i="2" a="1"/>
  <c r="K29" i="2" s="1"/>
  <c r="O29" i="2" a="1"/>
  <c r="O29" i="2" s="1"/>
  <c r="H29" i="2" a="1"/>
  <c r="H29" i="2" s="1"/>
  <c r="N29" i="2" a="1"/>
  <c r="N29" i="2" s="1"/>
  <c r="Q29" i="2" a="1"/>
  <c r="Q29" i="2" s="1"/>
  <c r="H30" i="2" a="1"/>
  <c r="H30" i="2" s="1"/>
  <c r="Q30" i="2" a="1"/>
  <c r="Q30" i="2" s="1"/>
  <c r="P29" i="2" a="1"/>
  <c r="P29" i="2" s="1"/>
  <c r="P30" i="2" a="1"/>
  <c r="P30" i="2" s="1"/>
  <c r="F30" i="2" a="1"/>
  <c r="F30" i="2" s="1"/>
  <c r="N30" i="2" a="1"/>
  <c r="N30" i="2" s="1"/>
  <c r="M30" i="2" a="1"/>
  <c r="M30" i="2" s="1"/>
  <c r="M29" i="2" a="1"/>
  <c r="M29" i="2" s="1"/>
  <c r="O30" i="2" a="1"/>
  <c r="O30" i="2" s="1"/>
  <c r="L30" i="2" a="1"/>
  <c r="L30" i="2" s="1"/>
  <c r="J29" i="2" a="1"/>
  <c r="J29" i="2" s="1"/>
  <c r="J30" i="2" a="1"/>
  <c r="J30" i="2" s="1"/>
  <c r="K30" i="2" a="1"/>
  <c r="K30" i="2" s="1"/>
  <c r="I30" i="2" a="1"/>
  <c r="I30" i="2" s="1"/>
  <c r="R30" i="2" a="1"/>
  <c r="R30" i="2" s="1"/>
  <c r="Q23" i="1"/>
  <c r="J4" i="1" l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<sst xmlns="http://schemas.openxmlformats.org/spreadsheetml/2006/main" count="261" uniqueCount="163">
  <si>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</si>
  <si>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</si>
  <si>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</si>
  <si>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</si>
  <si>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</si>
  <si>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</si>
  <si>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</si>
  <si>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</si>
  <si>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</si>
  <si>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</si>
  <si>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</si>
  <si>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</si>
  <si>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</si>
  <si>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</si>
  <si>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</si>
  <si>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</si>
  <si>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</si>
  <si>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</si>
  <si>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</si>
  <si>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</si>
  <si>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</si>
  <si>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</si>
  <si>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</si>
  <si>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</si>
  <si>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</si>
  <si>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</si>
  <si>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</si>
  <si>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</si>
  <si>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</si>
  <si>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</si>
  <si>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</si>
  <si>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</si>
  <si>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</si>
  <si>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</si>
  <si>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</si>
  <si>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</si>
  <si>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</si>
  <si>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</si>
  <si>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</si>
  <si>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</si>
  <si>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</si>
  <si>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</si>
  <si>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</si>
  <si>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</si>
  <si>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</si>
  <si>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</si>
  <si>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</si>
  <si>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</si>
  <si>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</si>
  <si>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</si>
  <si>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</si>
  <si>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</si>
  <si>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</si>
  <si>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</si>
  <si>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</si>
  <si>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</si>
  <si>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</si>
  <si>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</si>
  <si>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</si>
  <si>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</si>
  <si>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</si>
  <si>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</si>
  <si>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</si>
  <si>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</si>
  <si>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</si>
  <si>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</si>
  <si>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</si>
  <si>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</si>
  <si>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</si>
  <si>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</si>
  <si>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</si>
  <si>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</si>
  <si>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</si>
  <si>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</si>
  <si>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</si>
  <si>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</si>
  <si>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</si>
  <si>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</si>
  <si>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</si>
  <si>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</si>
  <si>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</si>
  <si>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</si>
  <si>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</si>
  <si>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</si>
  <si>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</si>
  <si>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</si>
  <si>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</si>
  <si>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</si>
  <si>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</si>
  <si>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</si>
  <si>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</si>
  <si>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</si>
  <si>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</si>
  <si>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</si>
  <si>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</si>
  <si>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</si>
  <si>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</si>
  <si>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</si>
  <si>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</si>
  <si>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</si>
  <si>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</si>
  <si>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</si>
  <si>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</si>
  <si>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</si>
  <si>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</si>
  <si>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</si>
  <si>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</si>
  <si>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</si>
  <si>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</si>
  <si>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</si>
  <si>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</si>
  <si>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</si>
  <si>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</si>
  <si>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</si>
  <si>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</si>
  <si>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</si>
  <si>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</si>
  <si>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</si>
  <si>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</si>
  <si>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</si>
  <si>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</si>
  <si>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</si>
  <si>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</si>
  <si>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</si>
  <si>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</si>
  <si>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</si>
  <si>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</si>
  <si>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</si>
  <si>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</si>
  <si>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</si>
  <si>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</si>
  <si>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</si>
  <si>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</si>
  <si>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</si>
  <si>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</si>
  <si>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</si>
  <si>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</si>
  <si>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</si>
  <si>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</si>
  <si>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</si>
  <si>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</si>
  <si>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</si>
  <si>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</si>
  <si>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</si>
  <si>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</si>
  <si>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</si>
  <si>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</si>
  <si>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</si>
  <si>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</si>
  <si>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</si>
  <si>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</si>
  <si>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</si>
  <si>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</si>
  <si>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</si>
  <si>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</si>
  <si>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</si>
  <si>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</si>
  <si>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</si>
  <si>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</si>
  <si>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</si>
  <si>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If this value is unsatisfactory, use confidence interval.</t>
  </si>
  <si>
    <t>SWAV</t>
  </si>
  <si>
    <t>INTRAVASCULAR LITHOTRIPSY (IVL)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</si>
</sst>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61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</cellStyleXfs>
  <cellXfs count="169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4" fillId="0" borderId="5" xfId="1" applyNumberFormat="1" applyFont="1" applyBorder="1"/>
    <xf numFmtId="0" fontId="10" fillId="18" borderId="0" xfId="2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V29"/>
  <sheetViews>
    <sheetView zoomScale="85" zoomScaleNormal="85" workbookViewId="0">
      <selection activeCell="N21" sqref="N21:P23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9.42578125" customWidth="1"/>
    <col min="5" max="5" width="7" customWidth="1"/>
    <col min="6" max="19" width="10.7109375" customWidth="1"/>
    <col min="20" max="20" width="17.85546875" customWidth="1"/>
    <col min="21" max="22" width="10.7109375" customWidth="1"/>
  </cols>
  <sheetData>
    <row r="1" spans="1:21" x14ac:dyDescent="0.2">
      <c r="A1" s="115" t="s">
        <v>161</v>
      </c>
      <c r="B1" s="116"/>
      <c r="C1" s="117"/>
      <c r="F1" s="124" t="s">
        <v>35</v>
      </c>
      <c r="G1" s="125"/>
      <c r="H1" s="56" t="s">
        <v>31</v>
      </c>
      <c r="I1" s="56" t="s">
        <v>32</v>
      </c>
      <c r="J1" s="4" t="s">
        <v>39</v>
      </c>
      <c r="K1" s="126" t="s">
        <v>41</v>
      </c>
      <c r="L1" s="127"/>
    </row>
    <row r="2" spans="1:21" x14ac:dyDescent="0.2">
      <c r="A2" s="118"/>
      <c r="B2" s="119"/>
      <c r="C2" s="120"/>
      <c r="F2" s="54" t="s">
        <v>37</v>
      </c>
      <c r="G2" s="55"/>
      <c r="H2" s="57">
        <f>$B$7*($U$25-2*$U$26)</f>
        <v>44.29435413929842</v>
      </c>
      <c r="I2" s="57">
        <f>$B$7*($U$25+2*$U$26)</f>
        <v>51.684766034180591</v>
      </c>
      <c r="J2" s="59">
        <f>AVERAGE(H2:I2)</f>
        <v>47.989560086739502</v>
      </c>
      <c r="K2" s="128">
        <f>$J$2/P14-1</f>
        <v>3.3233837915981539</v>
      </c>
      <c r="L2" s="129"/>
    </row>
    <row r="3" spans="1:21" x14ac:dyDescent="0.2">
      <c r="A3" s="121"/>
      <c r="B3" s="122"/>
      <c r="C3" s="123"/>
      <c r="F3" s="40" t="s">
        <v>38</v>
      </c>
      <c r="G3" s="18"/>
      <c r="H3" s="58">
        <f>$C$7*($U$25-2*$U$26)</f>
        <v>45.310279692952051</v>
      </c>
      <c r="I3" s="58">
        <f>$C$7*($U$25+2*$U$26)</f>
        <v>52.870196447808581</v>
      </c>
      <c r="J3" s="60">
        <f>AVERAGE(H3:I3)</f>
        <v>49.090238070380316</v>
      </c>
      <c r="K3" s="130">
        <f>$J$3/P15-1</f>
        <v>3.4225439703045328</v>
      </c>
      <c r="L3" s="131"/>
    </row>
    <row r="4" spans="1:21" x14ac:dyDescent="0.2">
      <c r="A4" s="45"/>
      <c r="B4" s="45"/>
      <c r="C4" s="45"/>
      <c r="I4" s="4" t="s">
        <v>40</v>
      </c>
      <c r="J4" s="60">
        <f>AVERAGE(J2:J3)</f>
        <v>48.539899078559912</v>
      </c>
      <c r="K4" s="130">
        <f>$J$4/P15-1</f>
        <v>3.3729638809513434</v>
      </c>
      <c r="L4" s="131"/>
    </row>
    <row r="5" spans="1:21" x14ac:dyDescent="0.2">
      <c r="A5" s="53" t="s">
        <v>34</v>
      </c>
      <c r="B5" s="43" t="s">
        <v>31</v>
      </c>
      <c r="C5" s="44" t="s">
        <v>32</v>
      </c>
    </row>
    <row r="6" spans="1:21" ht="15.75" x14ac:dyDescent="0.25">
      <c r="A6" s="47" t="s">
        <v>33</v>
      </c>
      <c r="B6" s="51">
        <v>218</v>
      </c>
      <c r="C6" s="52">
        <v>223</v>
      </c>
    </row>
    <row r="7" spans="1:21" ht="14.25" x14ac:dyDescent="0.2">
      <c r="A7" s="48" t="s">
        <v>36</v>
      </c>
      <c r="B7" s="49">
        <f>B6*$U$24</f>
        <v>169.07880506712044</v>
      </c>
      <c r="C7" s="50">
        <f>C6*$U$24</f>
        <v>172.95675931177917</v>
      </c>
    </row>
    <row r="10" spans="1:21" x14ac:dyDescent="0.2">
      <c r="F10" s="114" t="s">
        <v>15</v>
      </c>
      <c r="G10" s="114"/>
      <c r="H10" s="30">
        <f>AVERAGE(F13:T13)</f>
        <v>3.1602513794194609</v>
      </c>
      <c r="Q10" s="114" t="s">
        <v>16</v>
      </c>
      <c r="R10" s="114"/>
      <c r="S10" s="114"/>
      <c r="T10" s="74">
        <f>AVERAGE(T13,P13:R13)</f>
        <v>2.6240063117185359</v>
      </c>
    </row>
    <row r="11" spans="1:21" x14ac:dyDescent="0.2">
      <c r="A11" s="46" t="s">
        <v>6</v>
      </c>
      <c r="B11" s="104">
        <v>2012</v>
      </c>
      <c r="C11" s="105"/>
      <c r="D11" s="105"/>
      <c r="E11" s="106"/>
      <c r="F11" s="150">
        <v>2018</v>
      </c>
      <c r="G11" s="151"/>
      <c r="H11" s="151"/>
      <c r="I11" s="152"/>
      <c r="J11" s="140">
        <v>2019</v>
      </c>
      <c r="K11" s="141"/>
      <c r="L11" s="141"/>
      <c r="M11" s="142"/>
      <c r="N11" s="143">
        <v>2020</v>
      </c>
      <c r="O11" s="144"/>
      <c r="P11" s="144"/>
      <c r="Q11" s="145"/>
      <c r="R11" s="146">
        <v>2021</v>
      </c>
      <c r="S11" s="147"/>
      <c r="T11" s="147"/>
      <c r="U11" s="148"/>
    </row>
    <row r="12" spans="1:21" x14ac:dyDescent="0.2">
      <c r="A12" s="13" t="s">
        <v>19</v>
      </c>
      <c r="B12" s="95" t="s">
        <v>20</v>
      </c>
      <c r="C12" s="95" t="s">
        <v>3</v>
      </c>
      <c r="D12" s="95" t="s">
        <v>4</v>
      </c>
      <c r="E12" s="98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19" t="s">
        <v>3</v>
      </c>
      <c r="P12" s="19" t="s">
        <v>4</v>
      </c>
      <c r="Q12" s="19" t="s">
        <v>5</v>
      </c>
      <c r="R12" s="32" t="s">
        <v>20</v>
      </c>
      <c r="S12" s="33" t="s">
        <v>3</v>
      </c>
      <c r="T12" s="34" t="s">
        <v>21</v>
      </c>
      <c r="U12" s="25" t="s">
        <v>22</v>
      </c>
    </row>
    <row r="13" spans="1:21" x14ac:dyDescent="0.2">
      <c r="A13" s="29" t="s">
        <v>2</v>
      </c>
      <c r="F13" s="77"/>
      <c r="G13" s="77"/>
      <c r="H13" s="77"/>
      <c r="I13" s="77"/>
      <c r="J13" s="77">
        <f t="shared" ref="J13:S13" si="0">J15/F15</f>
        <v>4</v>
      </c>
      <c r="K13" s="77">
        <f t="shared" si="0"/>
        <v>3.25</v>
      </c>
      <c r="L13" s="77">
        <f t="shared" si="0"/>
        <v>2.9523809523809526</v>
      </c>
      <c r="M13" s="77">
        <f t="shared" si="0"/>
        <v>3.04</v>
      </c>
      <c r="N13" s="77">
        <f t="shared" si="0"/>
        <v>2.1666666666666665</v>
      </c>
      <c r="O13" s="77">
        <f t="shared" si="0"/>
        <v>1.0576923076923077</v>
      </c>
      <c r="P13" s="77">
        <f t="shared" si="0"/>
        <v>1.7903225806451613</v>
      </c>
      <c r="Q13" s="77">
        <f t="shared" si="0"/>
        <v>1.6710526315789473</v>
      </c>
      <c r="R13" s="77">
        <f t="shared" si="0"/>
        <v>2.6923076923076925</v>
      </c>
      <c r="S13" s="77">
        <f t="shared" si="0"/>
        <v>7.8</v>
      </c>
      <c r="T13" s="77">
        <f>T14/P14</f>
        <v>4.3423423423423424</v>
      </c>
      <c r="U13" s="26"/>
    </row>
    <row r="14" spans="1:21" x14ac:dyDescent="0.2">
      <c r="A14" s="14" t="s">
        <v>0</v>
      </c>
      <c r="B14" s="6"/>
      <c r="C14" s="6"/>
      <c r="D14" s="6"/>
      <c r="E14" s="6"/>
      <c r="F14" s="9">
        <v>0.9</v>
      </c>
      <c r="G14" s="6">
        <v>1.6</v>
      </c>
      <c r="H14" s="6">
        <v>2.1</v>
      </c>
      <c r="I14" s="6">
        <v>2.6</v>
      </c>
      <c r="J14" s="9">
        <v>3.7</v>
      </c>
      <c r="K14" s="6">
        <v>5.2</v>
      </c>
      <c r="L14" s="6">
        <v>6.4</v>
      </c>
      <c r="M14" s="6">
        <v>7.6</v>
      </c>
      <c r="N14" s="9">
        <v>7.8</v>
      </c>
      <c r="O14" s="6">
        <v>5.5</v>
      </c>
      <c r="P14" s="6">
        <v>11.1</v>
      </c>
      <c r="Q14" s="6">
        <v>12.7</v>
      </c>
      <c r="R14" s="6">
        <v>21</v>
      </c>
      <c r="S14" s="6">
        <v>42.9</v>
      </c>
      <c r="T14" s="97">
        <v>48.2</v>
      </c>
      <c r="U14" s="97">
        <v>59.2</v>
      </c>
    </row>
    <row r="15" spans="1:21" x14ac:dyDescent="0.2">
      <c r="A15" s="14" t="s">
        <v>1</v>
      </c>
      <c r="B15" s="6"/>
      <c r="C15" s="6"/>
      <c r="D15" s="6"/>
      <c r="E15" s="6"/>
      <c r="F15" s="9">
        <v>0.9</v>
      </c>
      <c r="G15" s="6">
        <v>1.6</v>
      </c>
      <c r="H15" s="6">
        <v>2.1</v>
      </c>
      <c r="I15" s="6">
        <v>2.5</v>
      </c>
      <c r="J15" s="9">
        <v>3.6</v>
      </c>
      <c r="K15" s="6">
        <v>5.2</v>
      </c>
      <c r="L15" s="6">
        <v>6.2</v>
      </c>
      <c r="M15" s="6">
        <v>7.6</v>
      </c>
      <c r="N15" s="9">
        <v>7.8</v>
      </c>
      <c r="O15" s="6">
        <v>5.5</v>
      </c>
      <c r="P15" s="6">
        <v>11.1</v>
      </c>
      <c r="Q15" s="6">
        <v>12.7</v>
      </c>
      <c r="R15" s="9">
        <v>21</v>
      </c>
      <c r="S15" s="6">
        <v>42.9</v>
      </c>
      <c r="T15" s="9"/>
      <c r="U15" s="10"/>
    </row>
    <row r="16" spans="1:21" x14ac:dyDescent="0.2">
      <c r="A16" s="14" t="s">
        <v>150</v>
      </c>
      <c r="B16" s="9"/>
      <c r="C16" s="9"/>
      <c r="D16" s="9"/>
      <c r="E16" s="9"/>
      <c r="F16" s="9">
        <v>1.3</v>
      </c>
      <c r="G16" s="6">
        <v>2.2999999999999998</v>
      </c>
      <c r="H16" s="6">
        <v>3.6</v>
      </c>
      <c r="I16" s="10">
        <v>5.0999999999999996</v>
      </c>
      <c r="J16" s="9">
        <v>7.3</v>
      </c>
      <c r="K16" s="6">
        <v>10</v>
      </c>
      <c r="L16" s="6">
        <v>11.3</v>
      </c>
      <c r="M16" s="10">
        <v>14.3</v>
      </c>
      <c r="N16" s="9">
        <v>15.2</v>
      </c>
      <c r="O16" s="6">
        <v>10.3</v>
      </c>
      <c r="P16" s="6">
        <v>19.600000000000001</v>
      </c>
      <c r="Q16" s="10">
        <v>22.7</v>
      </c>
      <c r="R16" s="9">
        <v>31.9</v>
      </c>
      <c r="S16">
        <v>55.9</v>
      </c>
      <c r="T16" s="96">
        <v>61.5</v>
      </c>
      <c r="U16" s="10"/>
    </row>
    <row r="17" spans="1:22" x14ac:dyDescent="0.2">
      <c r="A17" s="78" t="s">
        <v>18</v>
      </c>
      <c r="B17" s="79"/>
      <c r="C17" s="79"/>
      <c r="D17" s="79"/>
      <c r="E17" s="79"/>
      <c r="F17" s="79">
        <f t="shared" ref="F17:K17" si="1">F15/F16</f>
        <v>0.69230769230769229</v>
      </c>
      <c r="G17" s="79">
        <f t="shared" si="1"/>
        <v>0.69565217391304357</v>
      </c>
      <c r="H17" s="79">
        <f t="shared" si="1"/>
        <v>0.58333333333333337</v>
      </c>
      <c r="I17" s="79">
        <f t="shared" si="1"/>
        <v>0.49019607843137258</v>
      </c>
      <c r="J17" s="79">
        <f t="shared" si="1"/>
        <v>0.49315068493150688</v>
      </c>
      <c r="K17" s="79">
        <f t="shared" si="1"/>
        <v>0.52</v>
      </c>
      <c r="L17" s="79">
        <f t="shared" ref="L17:O17" si="2">L15/L16</f>
        <v>0.54867256637168138</v>
      </c>
      <c r="M17" s="79">
        <f t="shared" si="2"/>
        <v>0.53146853146853146</v>
      </c>
      <c r="N17" s="79">
        <f t="shared" si="2"/>
        <v>0.51315789473684215</v>
      </c>
      <c r="O17" s="79">
        <f t="shared" si="2"/>
        <v>0.53398058252427183</v>
      </c>
      <c r="P17" s="79">
        <f>P15/P16</f>
        <v>0.56632653061224481</v>
      </c>
      <c r="Q17" s="79">
        <f>Q15/Q16</f>
        <v>0.55947136563876654</v>
      </c>
      <c r="R17" s="79">
        <f>R15/R16</f>
        <v>0.65830721003134796</v>
      </c>
      <c r="S17" s="79">
        <f>S15/S16</f>
        <v>0.76744186046511631</v>
      </c>
      <c r="T17" s="99">
        <f>T14/T16</f>
        <v>0.78373983739837405</v>
      </c>
      <c r="U17" s="80"/>
    </row>
    <row r="18" spans="1:22" x14ac:dyDescent="0.2">
      <c r="A18" s="78" t="s">
        <v>24</v>
      </c>
      <c r="B18" s="79"/>
      <c r="C18" s="79"/>
      <c r="D18" s="79"/>
      <c r="E18" s="81"/>
      <c r="F18" s="79">
        <f>F15/SUM(F15:I15)</f>
        <v>0.12676056338028169</v>
      </c>
      <c r="G18" s="79">
        <f>G15/SUM(F15:I15)</f>
        <v>0.22535211267605637</v>
      </c>
      <c r="H18" s="79">
        <f>H15/SUM(F15:I15)</f>
        <v>0.29577464788732399</v>
      </c>
      <c r="I18" s="81">
        <f>I15/SUM(F15:I15)</f>
        <v>0.35211267605633806</v>
      </c>
      <c r="J18" s="79">
        <f>J15/SUM(J15:M15)</f>
        <v>0.15929203539823009</v>
      </c>
      <c r="K18" s="79">
        <f>K15/SUM(J15:M15)</f>
        <v>0.23008849557522124</v>
      </c>
      <c r="L18" s="79">
        <f>L15/SUM(J15:M15)</f>
        <v>0.27433628318584069</v>
      </c>
      <c r="M18" s="81">
        <f>M15/SUM(J15:M15)</f>
        <v>0.33628318584070793</v>
      </c>
      <c r="N18" s="79"/>
      <c r="O18" s="79"/>
      <c r="P18" s="79"/>
      <c r="Q18" s="81"/>
      <c r="R18" s="79">
        <f>R15/SUM(R15:S15,T14:U14)</f>
        <v>0.12259194395796846</v>
      </c>
      <c r="S18" s="79">
        <f>S15/SUM(R15:S15,T14:U14)</f>
        <v>0.25043782837127843</v>
      </c>
      <c r="T18" s="79">
        <f>T14/SUM(R15:S15,T14:U14)</f>
        <v>0.28137769994162287</v>
      </c>
      <c r="U18" s="81">
        <f>U14/SUM(R15:S15,T14:U14)</f>
        <v>0.34559252772913018</v>
      </c>
      <c r="V18" s="3"/>
    </row>
    <row r="19" spans="1:22" x14ac:dyDescent="0.2">
      <c r="A19" s="15" t="s">
        <v>17</v>
      </c>
      <c r="B19" s="11"/>
      <c r="C19" s="11"/>
      <c r="D19" s="11"/>
      <c r="E19" s="11"/>
      <c r="F19" s="75"/>
      <c r="G19" s="58"/>
      <c r="H19" s="58"/>
      <c r="I19" s="58"/>
      <c r="J19" s="75"/>
      <c r="K19" s="58">
        <v>4.4000000000000004</v>
      </c>
      <c r="L19" s="58">
        <v>5.6</v>
      </c>
      <c r="M19" s="58">
        <v>7.2</v>
      </c>
      <c r="N19" s="75">
        <v>7.8</v>
      </c>
      <c r="O19" s="58">
        <v>4.5999999999999996</v>
      </c>
      <c r="P19" s="58">
        <v>8.5</v>
      </c>
      <c r="Q19" s="58">
        <v>11.8</v>
      </c>
      <c r="R19" s="75">
        <v>19.7</v>
      </c>
      <c r="S19" s="58">
        <v>33.299999999999997</v>
      </c>
      <c r="T19" s="76"/>
      <c r="U19" s="12"/>
    </row>
    <row r="20" spans="1:22" x14ac:dyDescent="0.2">
      <c r="F20" s="7"/>
      <c r="I20" s="134" t="s">
        <v>7</v>
      </c>
      <c r="J20" s="149"/>
      <c r="K20" s="7">
        <f t="shared" ref="K20:P20" si="3">IF(K15&gt;K19,1,0)</f>
        <v>1</v>
      </c>
      <c r="L20" s="7">
        <f t="shared" si="3"/>
        <v>1</v>
      </c>
      <c r="M20" s="7">
        <f t="shared" si="3"/>
        <v>1</v>
      </c>
      <c r="N20" s="7">
        <f t="shared" si="3"/>
        <v>0</v>
      </c>
      <c r="O20" s="7">
        <f t="shared" si="3"/>
        <v>1</v>
      </c>
      <c r="P20" s="7">
        <f t="shared" si="3"/>
        <v>1</v>
      </c>
      <c r="Q20" s="7">
        <f t="shared" ref="Q20:S20" si="4">IF(Q15&gt;Q19,1,0)</f>
        <v>1</v>
      </c>
      <c r="R20" s="7">
        <f>IF(R15&gt;R19,1,0)</f>
        <v>1</v>
      </c>
      <c r="S20" s="8">
        <f t="shared" si="4"/>
        <v>1</v>
      </c>
      <c r="T20" s="40" t="s">
        <v>8</v>
      </c>
      <c r="U20" s="37">
        <f>AVERAGE(K20:S20)</f>
        <v>0.88888888888888884</v>
      </c>
    </row>
    <row r="21" spans="1:22" x14ac:dyDescent="0.2">
      <c r="F21" s="6"/>
      <c r="I21" s="107" t="s">
        <v>9</v>
      </c>
      <c r="J21" s="108"/>
      <c r="K21" s="6"/>
      <c r="L21" s="6"/>
      <c r="M21" s="6"/>
      <c r="N21" s="6">
        <f>AVERAGE(K20:N20)</f>
        <v>0.75</v>
      </c>
      <c r="O21" s="6">
        <f t="shared" ref="O21:R21" si="5">AVERAGE(L20:O20)</f>
        <v>0.75</v>
      </c>
      <c r="P21" s="6">
        <f t="shared" si="5"/>
        <v>0.75</v>
      </c>
      <c r="Q21" s="6">
        <f t="shared" si="5"/>
        <v>0.75</v>
      </c>
      <c r="R21" s="6">
        <f t="shared" si="5"/>
        <v>1</v>
      </c>
      <c r="S21" s="10">
        <f t="shared" ref="S21" si="6">AVERAGE(P20:S20)</f>
        <v>1</v>
      </c>
      <c r="T21" s="36" t="s">
        <v>10</v>
      </c>
      <c r="U21" s="37">
        <f>AVERAGE(L21:S21)</f>
        <v>0.83333333333333337</v>
      </c>
    </row>
    <row r="22" spans="1:22" x14ac:dyDescent="0.2">
      <c r="F22" s="17"/>
      <c r="I22" s="138" t="s">
        <v>11</v>
      </c>
      <c r="J22" s="139"/>
      <c r="K22" s="17">
        <f>K15/K19-1</f>
        <v>0.18181818181818166</v>
      </c>
      <c r="L22" s="17">
        <f>L15/L19-1</f>
        <v>0.10714285714285721</v>
      </c>
      <c r="M22" s="17">
        <f>M15/M19-1</f>
        <v>5.555555555555558E-2</v>
      </c>
      <c r="N22" s="17">
        <f>N15/N19-1</f>
        <v>0</v>
      </c>
      <c r="O22" s="17">
        <f t="shared" ref="O22:S22" si="7">O15/O19-1</f>
        <v>0.19565217391304368</v>
      </c>
      <c r="P22" s="17">
        <f t="shared" si="7"/>
        <v>0.30588235294117649</v>
      </c>
      <c r="Q22" s="17">
        <f t="shared" si="7"/>
        <v>7.6271186440677763E-2</v>
      </c>
      <c r="R22" s="17">
        <f t="shared" si="7"/>
        <v>6.5989847715736127E-2</v>
      </c>
      <c r="S22" s="35">
        <f t="shared" si="7"/>
        <v>0.28828828828828845</v>
      </c>
      <c r="T22" s="36" t="s">
        <v>13</v>
      </c>
      <c r="U22" s="38">
        <f>MEDIAN(K22:S22)</f>
        <v>0.10714285714285721</v>
      </c>
    </row>
    <row r="23" spans="1:22" x14ac:dyDescent="0.2">
      <c r="F23" s="27"/>
      <c r="I23" s="107" t="s">
        <v>12</v>
      </c>
      <c r="J23" s="108"/>
      <c r="K23" s="27"/>
      <c r="L23" s="27"/>
      <c r="M23" s="27"/>
      <c r="N23" s="27">
        <f>AVERAGE(K22:N22)</f>
        <v>8.6129148629148611E-2</v>
      </c>
      <c r="O23" s="27">
        <f t="shared" ref="O23" si="8">AVERAGE(L22:O22)</f>
        <v>8.9587646652864117E-2</v>
      </c>
      <c r="P23" s="27">
        <f>AVERAGE(M22:P22)</f>
        <v>0.13927252060244394</v>
      </c>
      <c r="Q23" s="27">
        <f t="shared" ref="Q23:S23" si="9">AVERAGE(N22:Q22)</f>
        <v>0.14445142832372448</v>
      </c>
      <c r="R23" s="27">
        <f t="shared" si="9"/>
        <v>0.16094889025265852</v>
      </c>
      <c r="S23" s="28">
        <f t="shared" si="9"/>
        <v>0.18410791884646971</v>
      </c>
      <c r="T23" s="18" t="s">
        <v>14</v>
      </c>
      <c r="U23" s="28">
        <f>MEDIAN(L23:S23)</f>
        <v>0.14186197446308421</v>
      </c>
    </row>
    <row r="24" spans="1:22" x14ac:dyDescent="0.2">
      <c r="J24" s="134" t="s">
        <v>25</v>
      </c>
      <c r="K24" s="149"/>
      <c r="L24" s="90">
        <f>AVERAGE(K22:M22,O22:S22)</f>
        <v>0.15957505547693962</v>
      </c>
      <c r="M24" s="134" t="s">
        <v>29</v>
      </c>
      <c r="N24" s="135"/>
      <c r="O24" s="41">
        <f>MEDIAN(K22:M22,O22:S22)</f>
        <v>0.14448051948051943</v>
      </c>
      <c r="P24" s="3"/>
      <c r="Q24" s="109" t="s">
        <v>23</v>
      </c>
      <c r="R24" s="110"/>
      <c r="S24" s="110"/>
      <c r="T24" s="111"/>
      <c r="U24" s="39">
        <f>AVERAGE(S17:T17)</f>
        <v>0.77559084893174512</v>
      </c>
    </row>
    <row r="25" spans="1:22" x14ac:dyDescent="0.2">
      <c r="J25" s="136" t="s">
        <v>26</v>
      </c>
      <c r="K25" s="153"/>
      <c r="L25" s="89">
        <f>AVERAGE(N22)</f>
        <v>0</v>
      </c>
      <c r="M25" s="136" t="s">
        <v>30</v>
      </c>
      <c r="N25" s="137"/>
      <c r="O25" s="28">
        <f>MEDIAN(N22)</f>
        <v>0</v>
      </c>
      <c r="Q25" s="112" t="s">
        <v>27</v>
      </c>
      <c r="R25" s="113"/>
      <c r="S25" s="113"/>
      <c r="T25" s="113"/>
      <c r="U25" s="41">
        <f>AVERAGE(T18,L18,H18)</f>
        <v>0.28382954367159585</v>
      </c>
    </row>
    <row r="26" spans="1:22" x14ac:dyDescent="0.2">
      <c r="Q26" s="132" t="s">
        <v>28</v>
      </c>
      <c r="R26" s="133"/>
      <c r="S26" s="133"/>
      <c r="T26" s="133"/>
      <c r="U26" s="42">
        <f>_xlfn.STDEV.S(T18,L18,H18)</f>
        <v>1.0927466473323412E-2</v>
      </c>
    </row>
    <row r="29" spans="1:22" ht="18" customHeight="1" x14ac:dyDescent="0.2"/>
  </sheetData>
  <mergeCells count="24">
    <mergeCell ref="K4:L4"/>
    <mergeCell ref="F10:G10"/>
    <mergeCell ref="Q26:T26"/>
    <mergeCell ref="M24:N24"/>
    <mergeCell ref="M25:N25"/>
    <mergeCell ref="I22:J22"/>
    <mergeCell ref="J11:M11"/>
    <mergeCell ref="N11:Q11"/>
    <mergeCell ref="R11:U11"/>
    <mergeCell ref="I20:J20"/>
    <mergeCell ref="I21:J21"/>
    <mergeCell ref="F11:I11"/>
    <mergeCell ref="J24:K24"/>
    <mergeCell ref="J25:K25"/>
    <mergeCell ref="A1:C3"/>
    <mergeCell ref="F1:G1"/>
    <mergeCell ref="K1:L1"/>
    <mergeCell ref="K2:L2"/>
    <mergeCell ref="K3:L3"/>
    <mergeCell ref="B11:E11"/>
    <mergeCell ref="I23:J23"/>
    <mergeCell ref="Q24:T24"/>
    <mergeCell ref="Q25:T25"/>
    <mergeCell ref="Q10:S10"/>
  </mergeCells>
  <conditionalFormatting sqref="U22:U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U20:U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U20:U21 U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F20 U20 K20:S2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S22 F22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F21 U21 K21:S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S23 F23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U22:U23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 U24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K22:S22 F22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K23:S23 F23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32"/>
  <sheetViews>
    <sheetView topLeftCell="A4" zoomScale="85" zoomScaleNormal="85" workbookViewId="0">
      <selection activeCell="O28" sqref="O28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75</v>
      </c>
      <c r="B1" t="s">
        <v>76</v>
      </c>
    </row>
    <row r="4" spans="1:21" x14ac:dyDescent="0.2">
      <c r="A4" s="156" t="s">
        <v>71</v>
      </c>
      <c r="B4" s="156"/>
      <c r="T4" s="65" t="s">
        <v>158</v>
      </c>
    </row>
    <row r="5" spans="1:21" x14ac:dyDescent="0.2">
      <c r="A5" s="16" t="s">
        <v>51</v>
      </c>
      <c r="B5" s="16" t="s">
        <v>52</v>
      </c>
      <c r="C5" s="16" t="s">
        <v>63</v>
      </c>
      <c r="D5" s="16" t="s">
        <v>53</v>
      </c>
      <c r="E5" s="16" t="s">
        <v>54</v>
      </c>
      <c r="F5" s="16" t="s">
        <v>64</v>
      </c>
      <c r="G5" s="16" t="s">
        <v>55</v>
      </c>
      <c r="H5" s="16" t="s">
        <v>56</v>
      </c>
      <c r="I5" s="16" t="s">
        <v>65</v>
      </c>
      <c r="J5" s="16" t="s">
        <v>57</v>
      </c>
      <c r="K5" s="16" t="s">
        <v>58</v>
      </c>
      <c r="L5" s="16" t="s">
        <v>68</v>
      </c>
      <c r="M5" s="16" t="s">
        <v>59</v>
      </c>
      <c r="N5" s="16" t="s">
        <v>60</v>
      </c>
      <c r="O5" s="16" t="s">
        <v>69</v>
      </c>
      <c r="P5" s="16" t="s">
        <v>61</v>
      </c>
      <c r="Q5" s="16" t="s">
        <v>62</v>
      </c>
      <c r="R5" s="16" t="s">
        <v>0</v>
      </c>
      <c r="S5" s="16" t="s">
        <v>67</v>
      </c>
      <c r="T5" s="31" t="s">
        <v>0</v>
      </c>
      <c r="U5" s="31" t="s">
        <v>67</v>
      </c>
    </row>
    <row r="6" spans="1:21" x14ac:dyDescent="0.2">
      <c r="A6" t="s">
        <v>161</v>
      </c>
      <c r="B6" t="s">
        <v>162</v>
      </c>
      <c r="C6" t="s">
        <v>42</v>
      </c>
      <c r="D6">
        <v>20190725</v>
      </c>
      <c r="E6" s="103">
        <v>7.9991219999999998</v>
      </c>
      <c r="F6">
        <v>0</v>
      </c>
      <c r="G6" s="103">
        <v>10.271183000000001</v>
      </c>
      <c r="H6">
        <v>8.2152650000000005</v>
      </c>
      <c r="I6">
        <v>0</v>
      </c>
      <c r="J6" s="103">
        <f t="shared" ref="J6:J15" si="0">AVERAGE(E6:I6)</f>
        <v>5.2971140000000005</v>
      </c>
      <c r="R6">
        <v>4.4000000000000004</v>
      </c>
      <c r="S6">
        <v>5.2</v>
      </c>
      <c r="T6" s="83"/>
      <c r="U6" s="82"/>
    </row>
    <row r="7" spans="1:21" x14ac:dyDescent="0.2">
      <c r="A7" t="s">
        <v>161</v>
      </c>
      <c r="B7" t="s">
        <v>162</v>
      </c>
      <c r="C7" t="s">
        <v>43</v>
      </c>
      <c r="D7">
        <v>20191031</v>
      </c>
      <c r="E7" s="103">
        <v>8.1399810000000006</v>
      </c>
      <c r="F7">
        <v>0</v>
      </c>
      <c r="G7" s="103">
        <v>9.2080470000000005</v>
      </c>
      <c r="H7">
        <v>8.1003690000000006</v>
      </c>
      <c r="I7">
        <v>0</v>
      </c>
      <c r="J7" s="103">
        <f t="shared" si="0"/>
        <v>5.0896793999999996</v>
      </c>
      <c r="K7">
        <v>9.8117999353776444</v>
      </c>
      <c r="N7">
        <f t="shared" ref="N7:N15" si="1">(H7/H6)*$S6</f>
        <v>5.1272745066653362</v>
      </c>
      <c r="O7" t="e">
        <f t="shared" ref="O7:O15" si="2">(I7/I6)*$S6</f>
        <v>#DIV/0!</v>
      </c>
      <c r="P7">
        <f t="shared" ref="P7:P15" si="3">(J7/J6)*$S6</f>
        <v>4.9963683771955818</v>
      </c>
      <c r="Q7" t="e">
        <f t="shared" ref="Q7:Q15" si="4">AVERAGE(K7:P7)</f>
        <v>#DIV/0!</v>
      </c>
      <c r="R7">
        <v>5.6</v>
      </c>
      <c r="S7">
        <v>6.2</v>
      </c>
      <c r="T7" s="83"/>
      <c r="U7" s="82"/>
    </row>
    <row r="8" spans="1:21" x14ac:dyDescent="0.2">
      <c r="A8" t="s">
        <v>161</v>
      </c>
      <c r="B8" t="s">
        <v>162</v>
      </c>
      <c r="C8" t="s">
        <v>44</v>
      </c>
      <c r="D8">
        <v>20200206</v>
      </c>
      <c r="E8" s="103">
        <v>10.669629</v>
      </c>
      <c r="F8">
        <v>0</v>
      </c>
      <c r="G8" s="103">
        <v>9.2783010000000008</v>
      </c>
      <c r="H8">
        <v>10.845321</v>
      </c>
      <c r="I8">
        <v>0</v>
      </c>
      <c r="J8" s="103">
        <f t="shared" si="0"/>
        <v>6.1586501999999994</v>
      </c>
      <c r="K8">
        <v>13.878230041615518</v>
      </c>
      <c r="N8">
        <f t="shared" si="1"/>
        <v>8.3009786591203429</v>
      </c>
      <c r="O8" t="e">
        <f t="shared" si="2"/>
        <v>#DIV/0!</v>
      </c>
      <c r="P8">
        <f t="shared" si="3"/>
        <v>7.5021682583779246</v>
      </c>
      <c r="Q8" t="e">
        <f t="shared" si="4"/>
        <v>#DIV/0!</v>
      </c>
      <c r="R8">
        <v>7.2</v>
      </c>
      <c r="S8">
        <v>7.6</v>
      </c>
      <c r="T8" s="83"/>
      <c r="U8" s="82"/>
    </row>
    <row r="9" spans="1:21" x14ac:dyDescent="0.2">
      <c r="A9" t="s">
        <v>161</v>
      </c>
      <c r="B9" t="s">
        <v>162</v>
      </c>
      <c r="C9" t="s">
        <v>45</v>
      </c>
      <c r="D9">
        <v>20200507</v>
      </c>
      <c r="E9" s="103">
        <v>10.00835</v>
      </c>
      <c r="F9">
        <v>0</v>
      </c>
      <c r="G9" s="103">
        <v>7.5251650000000003</v>
      </c>
      <c r="H9">
        <v>10.862114999999999</v>
      </c>
      <c r="I9">
        <v>7.9878869999999997</v>
      </c>
      <c r="J9" s="103">
        <f t="shared" si="0"/>
        <v>7.2767033999999997</v>
      </c>
      <c r="K9">
        <v>13.630687373650623</v>
      </c>
      <c r="N9">
        <f t="shared" si="1"/>
        <v>7.6117686143176391</v>
      </c>
      <c r="O9" t="e">
        <f t="shared" si="2"/>
        <v>#DIV/0!</v>
      </c>
      <c r="P9">
        <f t="shared" si="3"/>
        <v>8.9797186143158445</v>
      </c>
      <c r="Q9" t="e">
        <f t="shared" si="4"/>
        <v>#DIV/0!</v>
      </c>
      <c r="R9">
        <v>7.8</v>
      </c>
      <c r="S9">
        <v>7.8</v>
      </c>
      <c r="T9" s="9"/>
      <c r="U9" s="57"/>
    </row>
    <row r="10" spans="1:21" x14ac:dyDescent="0.2">
      <c r="A10" t="s">
        <v>161</v>
      </c>
      <c r="B10" t="s">
        <v>162</v>
      </c>
      <c r="C10" t="s">
        <v>46</v>
      </c>
      <c r="D10">
        <v>20200806</v>
      </c>
      <c r="E10" s="103">
        <v>8.0752710000000008</v>
      </c>
      <c r="F10">
        <v>8.0652729999999995</v>
      </c>
      <c r="G10" s="103">
        <v>5.3938499999999996</v>
      </c>
      <c r="H10">
        <v>7.8347920000000002</v>
      </c>
      <c r="I10">
        <v>6.5401439999999997</v>
      </c>
      <c r="J10" s="103">
        <f t="shared" si="0"/>
        <v>7.1818659999999994</v>
      </c>
      <c r="K10">
        <v>20.104205481097804</v>
      </c>
      <c r="N10">
        <f t="shared" si="1"/>
        <v>5.6261029827064073</v>
      </c>
      <c r="O10">
        <f t="shared" si="2"/>
        <v>6.3863100717373689</v>
      </c>
      <c r="P10">
        <f t="shared" si="3"/>
        <v>7.6983424664525959</v>
      </c>
      <c r="Q10">
        <f t="shared" si="4"/>
        <v>9.9537402504985426</v>
      </c>
      <c r="R10">
        <v>4.5999999999999996</v>
      </c>
      <c r="S10">
        <v>5.5</v>
      </c>
      <c r="T10" s="9"/>
      <c r="U10" s="57"/>
    </row>
    <row r="11" spans="1:21" x14ac:dyDescent="0.2">
      <c r="A11" t="s">
        <v>161</v>
      </c>
      <c r="B11" t="s">
        <v>162</v>
      </c>
      <c r="C11" t="s">
        <v>47</v>
      </c>
      <c r="D11">
        <v>20201029</v>
      </c>
      <c r="E11" s="103">
        <v>9.0149760000000008</v>
      </c>
      <c r="F11">
        <v>9.5726549999999992</v>
      </c>
      <c r="G11" s="103">
        <v>11.487294</v>
      </c>
      <c r="H11">
        <v>8.6986620000000006</v>
      </c>
      <c r="I11">
        <v>7.9356489999999997</v>
      </c>
      <c r="J11" s="103">
        <f t="shared" si="0"/>
        <v>9.3418472000000001</v>
      </c>
      <c r="K11">
        <v>19.308707866133425</v>
      </c>
      <c r="L11">
        <f t="shared" ref="L11:L15" si="5">(F11/F10)*$S10</f>
        <v>6.5279380499581343</v>
      </c>
      <c r="M11">
        <f t="shared" ref="M11:M15" si="6">(G11/G10)*$S10</f>
        <v>11.713361884368309</v>
      </c>
      <c r="N11">
        <f t="shared" si="1"/>
        <v>6.1064340955063008</v>
      </c>
      <c r="O11">
        <f t="shared" si="2"/>
        <v>6.6735639918631762</v>
      </c>
      <c r="P11">
        <f t="shared" si="3"/>
        <v>7.1541518040019128</v>
      </c>
      <c r="Q11">
        <f t="shared" si="4"/>
        <v>9.5806929486385428</v>
      </c>
      <c r="R11">
        <v>8.5</v>
      </c>
      <c r="S11">
        <v>11.1</v>
      </c>
      <c r="T11" s="9"/>
      <c r="U11" s="57"/>
    </row>
    <row r="12" spans="1:21" x14ac:dyDescent="0.2">
      <c r="A12" t="s">
        <v>161</v>
      </c>
      <c r="B12" t="s">
        <v>162</v>
      </c>
      <c r="C12" t="s">
        <v>48</v>
      </c>
      <c r="D12">
        <v>20210211</v>
      </c>
      <c r="E12" s="103">
        <v>10.867875</v>
      </c>
      <c r="F12">
        <v>11.694663</v>
      </c>
      <c r="G12" s="103">
        <v>13.975160000000001</v>
      </c>
      <c r="H12">
        <v>12.038975000000001</v>
      </c>
      <c r="I12">
        <v>10.901713000000001</v>
      </c>
      <c r="J12" s="103">
        <f t="shared" si="0"/>
        <v>11.8956772</v>
      </c>
      <c r="K12">
        <v>17.851404764062959</v>
      </c>
      <c r="L12">
        <f t="shared" si="5"/>
        <v>13.560580559938701</v>
      </c>
      <c r="M12">
        <f t="shared" si="6"/>
        <v>13.50398762319481</v>
      </c>
      <c r="N12">
        <f t="shared" si="1"/>
        <v>15.362434188154452</v>
      </c>
      <c r="O12">
        <f t="shared" si="2"/>
        <v>15.248786116926293</v>
      </c>
      <c r="P12">
        <f t="shared" si="3"/>
        <v>14.134465496288572</v>
      </c>
      <c r="Q12">
        <f t="shared" si="4"/>
        <v>14.943609791427631</v>
      </c>
      <c r="R12">
        <v>11.8</v>
      </c>
      <c r="S12">
        <v>12.7</v>
      </c>
      <c r="T12" s="9"/>
      <c r="U12" s="57"/>
    </row>
    <row r="13" spans="1:21" x14ac:dyDescent="0.2">
      <c r="A13" t="s">
        <v>161</v>
      </c>
      <c r="B13" t="s">
        <v>162</v>
      </c>
      <c r="C13" t="s">
        <v>49</v>
      </c>
      <c r="D13">
        <v>20210429</v>
      </c>
      <c r="E13" s="103">
        <v>18.219401999999999</v>
      </c>
      <c r="F13">
        <v>17.222832</v>
      </c>
      <c r="G13" s="103">
        <v>20.97757</v>
      </c>
      <c r="H13">
        <v>18.124666999999999</v>
      </c>
      <c r="I13">
        <v>16.361459</v>
      </c>
      <c r="J13" s="103">
        <f t="shared" si="0"/>
        <v>18.181186</v>
      </c>
      <c r="K13">
        <v>11.487283369975755</v>
      </c>
      <c r="L13">
        <f t="shared" si="5"/>
        <v>18.703400551174497</v>
      </c>
      <c r="M13">
        <f t="shared" si="6"/>
        <v>19.063476840336708</v>
      </c>
      <c r="N13">
        <f t="shared" si="1"/>
        <v>19.119839595978888</v>
      </c>
      <c r="O13">
        <f t="shared" si="2"/>
        <v>19.060355863340007</v>
      </c>
      <c r="P13">
        <f t="shared" si="3"/>
        <v>19.410501673666801</v>
      </c>
      <c r="Q13">
        <f t="shared" si="4"/>
        <v>17.807476315745443</v>
      </c>
      <c r="R13">
        <v>19.7</v>
      </c>
      <c r="S13">
        <v>21</v>
      </c>
      <c r="T13" s="9"/>
      <c r="U13" s="57"/>
    </row>
    <row r="14" spans="1:21" x14ac:dyDescent="0.2">
      <c r="A14" t="s">
        <v>161</v>
      </c>
      <c r="B14" t="s">
        <v>162</v>
      </c>
      <c r="C14" t="s">
        <v>50</v>
      </c>
      <c r="D14">
        <v>20210729</v>
      </c>
      <c r="E14" s="103">
        <v>36.139246</v>
      </c>
      <c r="F14">
        <v>34.000886000000001</v>
      </c>
      <c r="G14" s="103">
        <v>41.286721</v>
      </c>
      <c r="H14">
        <v>35.615813000000003</v>
      </c>
      <c r="I14">
        <v>31.627497000000002</v>
      </c>
      <c r="J14" s="103">
        <f t="shared" si="0"/>
        <v>35.734032599999999</v>
      </c>
      <c r="K14">
        <v>20.886744228696028</v>
      </c>
      <c r="L14">
        <f t="shared" si="5"/>
        <v>41.457676995281609</v>
      </c>
      <c r="M14">
        <f t="shared" si="6"/>
        <v>41.33086630148297</v>
      </c>
      <c r="N14">
        <f t="shared" si="1"/>
        <v>41.265975976275875</v>
      </c>
      <c r="O14">
        <f t="shared" si="2"/>
        <v>40.594022635756389</v>
      </c>
      <c r="P14">
        <f t="shared" si="3"/>
        <v>41.274242758420712</v>
      </c>
      <c r="Q14">
        <f t="shared" si="4"/>
        <v>37.801588149318924</v>
      </c>
      <c r="R14">
        <v>33.299999999999997</v>
      </c>
      <c r="S14">
        <v>42.9</v>
      </c>
      <c r="T14" s="9"/>
      <c r="U14" s="57"/>
    </row>
    <row r="15" spans="1:21" x14ac:dyDescent="0.2">
      <c r="A15" t="s">
        <v>161</v>
      </c>
      <c r="B15" t="s">
        <v>162</v>
      </c>
      <c r="C15" t="s">
        <v>66</v>
      </c>
      <c r="D15">
        <v>20211104</v>
      </c>
      <c r="E15">
        <v>48.94773</v>
      </c>
      <c r="F15">
        <v>45.900342000000002</v>
      </c>
      <c r="G15">
        <v>46.720556000000002</v>
      </c>
      <c r="H15">
        <v>51.180304</v>
      </c>
      <c r="I15">
        <v>45.351728000000001</v>
      </c>
      <c r="J15" s="103">
        <f t="shared" si="0"/>
        <v>47.620131999999998</v>
      </c>
      <c r="K15">
        <v>21.43046078859421</v>
      </c>
      <c r="L15">
        <f t="shared" si="5"/>
        <v>57.913922354846875</v>
      </c>
      <c r="M15">
        <f t="shared" si="6"/>
        <v>48.546162152232917</v>
      </c>
      <c r="N15">
        <f t="shared" si="1"/>
        <v>61.647758584087349</v>
      </c>
      <c r="O15">
        <f t="shared" si="2"/>
        <v>61.515747869646461</v>
      </c>
      <c r="P15">
        <f t="shared" si="3"/>
        <v>57.169692703532149</v>
      </c>
      <c r="Q15">
        <f t="shared" si="4"/>
        <v>51.370624075489992</v>
      </c>
      <c r="R15" s="96">
        <f>'1. Data &amp; Confidence Interval'!T14</f>
        <v>48.2</v>
      </c>
      <c r="T15" s="9"/>
      <c r="U15" s="57"/>
    </row>
    <row r="16" spans="1:21" x14ac:dyDescent="0.2">
      <c r="A16" s="154" t="s">
        <v>70</v>
      </c>
      <c r="B16" s="155"/>
      <c r="C16" s="155"/>
      <c r="D16" s="155"/>
      <c r="E16" s="91">
        <f t="shared" ref="E16:R16" si="7">CORREL(E$6:E$15,$S$6:$S$15)</f>
        <v>0.98774354244851759</v>
      </c>
      <c r="F16" s="91">
        <f t="shared" si="7"/>
        <v>0.95039060776966322</v>
      </c>
      <c r="G16" s="92">
        <f t="shared" si="7"/>
        <v>0.98961121907553651</v>
      </c>
      <c r="H16" s="91">
        <f t="shared" si="7"/>
        <v>0.98669559105886639</v>
      </c>
      <c r="I16" s="91">
        <f t="shared" si="7"/>
        <v>0.95543324575571797</v>
      </c>
      <c r="J16" s="92">
        <f>CORREL(J$6:J$15,$S$6:$S$15)</f>
        <v>0.99635736262617136</v>
      </c>
      <c r="K16" s="91">
        <f t="shared" si="7"/>
        <v>0.37752925798373016</v>
      </c>
      <c r="L16" s="91">
        <f t="shared" si="7"/>
        <v>0.98910834245473844</v>
      </c>
      <c r="M16" s="91">
        <f t="shared" si="7"/>
        <v>0.99733857222524336</v>
      </c>
      <c r="N16" s="91">
        <f t="shared" si="7"/>
        <v>0.98407933120654134</v>
      </c>
      <c r="O16" s="91" t="e">
        <f t="shared" si="7"/>
        <v>#DIV/0!</v>
      </c>
      <c r="P16" s="91">
        <f t="shared" si="7"/>
        <v>0.98742395290253515</v>
      </c>
      <c r="Q16" s="91" t="e">
        <f t="shared" si="7"/>
        <v>#DIV/0!</v>
      </c>
      <c r="R16" s="92">
        <f t="shared" si="7"/>
        <v>0.99274304120751655</v>
      </c>
      <c r="S16" s="5"/>
    </row>
    <row r="18" spans="1:22" x14ac:dyDescent="0.2">
      <c r="A18" s="157" t="s">
        <v>72</v>
      </c>
      <c r="B18" s="158"/>
    </row>
    <row r="19" spans="1:22" x14ac:dyDescent="0.2">
      <c r="A19" s="16" t="s">
        <v>51</v>
      </c>
      <c r="B19" s="16" t="s">
        <v>52</v>
      </c>
      <c r="C19" s="16" t="s">
        <v>63</v>
      </c>
      <c r="D19" s="16" t="s">
        <v>53</v>
      </c>
      <c r="E19" s="16" t="s">
        <v>54</v>
      </c>
      <c r="F19" s="16" t="s">
        <v>64</v>
      </c>
      <c r="G19" s="16" t="s">
        <v>55</v>
      </c>
      <c r="H19" s="16" t="s">
        <v>56</v>
      </c>
      <c r="I19" s="16" t="s">
        <v>65</v>
      </c>
      <c r="J19" s="16" t="s">
        <v>57</v>
      </c>
      <c r="K19" s="16" t="s">
        <v>58</v>
      </c>
      <c r="L19" s="16" t="s">
        <v>68</v>
      </c>
      <c r="M19" s="16" t="s">
        <v>59</v>
      </c>
      <c r="N19" s="16" t="s">
        <v>60</v>
      </c>
      <c r="O19" s="16" t="s">
        <v>69</v>
      </c>
      <c r="P19" s="16" t="s">
        <v>61</v>
      </c>
      <c r="Q19" s="16" t="s">
        <v>62</v>
      </c>
      <c r="R19" s="16" t="s">
        <v>0</v>
      </c>
    </row>
    <row r="20" spans="1:22" x14ac:dyDescent="0.2">
      <c r="A20" s="9" t="str">
        <f t="shared" ref="A20:D28" si="8">A6</f>
        <v>SWAV</v>
      </c>
      <c r="B20" s="9" t="str">
        <f t="shared" si="8"/>
        <v>INTRAVASCULAR LITHOTRIPSY (IVL)</v>
      </c>
      <c r="C20" s="9" t="str">
        <f t="shared" si="8"/>
        <v>2019Q2</v>
      </c>
      <c r="D20" s="9">
        <f t="shared" si="8"/>
        <v>20190725</v>
      </c>
      <c r="E20" s="17">
        <f t="shared" ref="E20:G28" si="9">$S6/E6-1</f>
        <v>-0.34992865466985001</v>
      </c>
      <c r="F20" s="17"/>
      <c r="G20" s="17">
        <f t="shared" si="9"/>
        <v>-0.4937292033449312</v>
      </c>
      <c r="H20" s="17">
        <f t="shared" ref="H20:J28" si="10">$S6/H6-1</f>
        <v>-0.36703198253495173</v>
      </c>
      <c r="I20" s="17"/>
      <c r="J20" s="17">
        <f t="shared" si="10"/>
        <v>-1.8333379270297101E-2</v>
      </c>
      <c r="K20" s="17"/>
      <c r="L20" s="17"/>
      <c r="M20" s="17"/>
      <c r="N20" s="17"/>
      <c r="O20" s="17"/>
      <c r="P20" s="17"/>
      <c r="Q20" s="17"/>
      <c r="R20" s="35">
        <f t="shared" ref="R20:R28" si="11">$S6/R6-1</f>
        <v>0.18181818181818166</v>
      </c>
    </row>
    <row r="21" spans="1:22" x14ac:dyDescent="0.2">
      <c r="A21" s="9" t="str">
        <f t="shared" si="8"/>
        <v>SWAV</v>
      </c>
      <c r="B21" s="9" t="str">
        <f t="shared" si="8"/>
        <v>INTRAVASCULAR LITHOTRIPSY (IVL)</v>
      </c>
      <c r="C21" s="9" t="str">
        <f t="shared" si="8"/>
        <v>2019Q3</v>
      </c>
      <c r="D21" s="9">
        <f t="shared" si="8"/>
        <v>20191031</v>
      </c>
      <c r="E21" s="17">
        <f t="shared" si="9"/>
        <v>-0.23832746046950237</v>
      </c>
      <c r="F21" s="17"/>
      <c r="G21" s="17">
        <f t="shared" si="9"/>
        <v>-0.32667589555092413</v>
      </c>
      <c r="H21" s="17">
        <f t="shared" si="10"/>
        <v>-0.23460276933063173</v>
      </c>
      <c r="I21" s="17"/>
      <c r="J21" s="17">
        <f t="shared" si="10"/>
        <v>0.21815138297315939</v>
      </c>
      <c r="K21" s="17">
        <f t="shared" ref="K21:K28" si="12">$S7/K7-1</f>
        <v>-0.36810778441933556</v>
      </c>
      <c r="L21" s="17"/>
      <c r="M21" s="17"/>
      <c r="N21" s="17">
        <f t="shared" ref="N21:Q28" si="13">$S7/N7-1</f>
        <v>0.20921943850288227</v>
      </c>
      <c r="O21" s="17" t="e">
        <f t="shared" si="13"/>
        <v>#DIV/0!</v>
      </c>
      <c r="P21" s="17">
        <f t="shared" si="13"/>
        <v>0.24090129708970864</v>
      </c>
      <c r="Q21" s="17" t="e">
        <f t="shared" si="13"/>
        <v>#DIV/0!</v>
      </c>
      <c r="R21" s="35">
        <f t="shared" si="11"/>
        <v>0.10714285714285721</v>
      </c>
    </row>
    <row r="22" spans="1:22" x14ac:dyDescent="0.2">
      <c r="A22" s="9" t="str">
        <f t="shared" si="8"/>
        <v>SWAV</v>
      </c>
      <c r="B22" s="9" t="str">
        <f t="shared" si="8"/>
        <v>INTRAVASCULAR LITHOTRIPSY (IVL)</v>
      </c>
      <c r="C22" s="9" t="str">
        <f t="shared" si="8"/>
        <v>2019Q4</v>
      </c>
      <c r="D22" s="9">
        <f t="shared" si="8"/>
        <v>20200206</v>
      </c>
      <c r="E22" s="17">
        <f t="shared" si="9"/>
        <v>-0.28769781967114327</v>
      </c>
      <c r="F22" s="17"/>
      <c r="G22" s="17">
        <f t="shared" si="9"/>
        <v>-0.1808845175425976</v>
      </c>
      <c r="H22" s="17">
        <f t="shared" si="10"/>
        <v>-0.29923697048708842</v>
      </c>
      <c r="I22" s="17"/>
      <c r="J22" s="17">
        <f t="shared" si="10"/>
        <v>0.23403664004167668</v>
      </c>
      <c r="K22" s="17">
        <f t="shared" si="12"/>
        <v>-0.45237973594539804</v>
      </c>
      <c r="L22" s="17"/>
      <c r="M22" s="17"/>
      <c r="N22" s="17">
        <f t="shared" si="13"/>
        <v>-8.4445303127020255E-2</v>
      </c>
      <c r="O22" s="17" t="e">
        <f t="shared" si="13"/>
        <v>#DIV/0!</v>
      </c>
      <c r="P22" s="17">
        <f t="shared" si="13"/>
        <v>1.30404622040865E-2</v>
      </c>
      <c r="Q22" s="17" t="e">
        <f t="shared" si="13"/>
        <v>#DIV/0!</v>
      </c>
      <c r="R22" s="35">
        <f t="shared" si="11"/>
        <v>5.555555555555558E-2</v>
      </c>
      <c r="V22" s="96"/>
    </row>
    <row r="23" spans="1:22" x14ac:dyDescent="0.2">
      <c r="A23" s="9" t="str">
        <f t="shared" si="8"/>
        <v>SWAV</v>
      </c>
      <c r="B23" s="9" t="str">
        <f t="shared" si="8"/>
        <v>INTRAVASCULAR LITHOTRIPSY (IVL)</v>
      </c>
      <c r="C23" s="9" t="str">
        <f t="shared" si="8"/>
        <v>2020Q1</v>
      </c>
      <c r="D23" s="9">
        <f t="shared" si="8"/>
        <v>20200507</v>
      </c>
      <c r="E23" s="17">
        <f t="shared" si="9"/>
        <v>-0.22065075661822375</v>
      </c>
      <c r="F23" s="17"/>
      <c r="G23" s="17">
        <f t="shared" si="9"/>
        <v>3.652212277072997E-2</v>
      </c>
      <c r="H23" s="17">
        <f t="shared" si="10"/>
        <v>-0.28190780524787296</v>
      </c>
      <c r="I23" s="17">
        <f t="shared" si="10"/>
        <v>-2.3521489475251678E-2</v>
      </c>
      <c r="J23" s="17">
        <f t="shared" si="10"/>
        <v>7.1913965876361008E-2</v>
      </c>
      <c r="K23" s="17">
        <f t="shared" si="12"/>
        <v>-0.42776180054733559</v>
      </c>
      <c r="L23" s="17"/>
      <c r="M23" s="17"/>
      <c r="N23" s="17">
        <f t="shared" si="13"/>
        <v>2.4728994694912299E-2</v>
      </c>
      <c r="O23" s="17" t="e">
        <f t="shared" si="13"/>
        <v>#DIV/0!</v>
      </c>
      <c r="P23" s="17">
        <f t="shared" si="13"/>
        <v>-0.13137589995694166</v>
      </c>
      <c r="Q23" s="17" t="e">
        <f t="shared" si="13"/>
        <v>#DIV/0!</v>
      </c>
      <c r="R23" s="35">
        <f t="shared" si="11"/>
        <v>0</v>
      </c>
    </row>
    <row r="24" spans="1:22" x14ac:dyDescent="0.2">
      <c r="A24" s="9" t="str">
        <f t="shared" si="8"/>
        <v>SWAV</v>
      </c>
      <c r="B24" s="9" t="str">
        <f t="shared" si="8"/>
        <v>INTRAVASCULAR LITHOTRIPSY (IVL)</v>
      </c>
      <c r="C24" s="9" t="str">
        <f t="shared" si="8"/>
        <v>2020Q2</v>
      </c>
      <c r="D24" s="9">
        <f t="shared" si="8"/>
        <v>20200806</v>
      </c>
      <c r="E24" s="17">
        <f t="shared" si="9"/>
        <v>-0.31890830660667613</v>
      </c>
      <c r="F24" s="17">
        <f t="shared" ref="F24:G28" si="14">$S10/F10-1</f>
        <v>-0.31806400105737276</v>
      </c>
      <c r="G24" s="17">
        <f t="shared" si="14"/>
        <v>1.9679820536351755E-2</v>
      </c>
      <c r="H24" s="17">
        <f t="shared" si="10"/>
        <v>-0.29800306121719633</v>
      </c>
      <c r="I24" s="17">
        <f t="shared" si="10"/>
        <v>-0.15903992327997662</v>
      </c>
      <c r="J24" s="17">
        <f>$S10/J10-1</f>
        <v>-0.23418231417851565</v>
      </c>
      <c r="K24" s="17">
        <f t="shared" si="12"/>
        <v>-0.72642539864750377</v>
      </c>
      <c r="L24" s="17"/>
      <c r="M24" s="17"/>
      <c r="N24" s="17">
        <f t="shared" si="13"/>
        <v>-2.2413912986311235E-2</v>
      </c>
      <c r="O24" s="17">
        <f t="shared" si="13"/>
        <v>-0.13878281226270806</v>
      </c>
      <c r="P24" s="17">
        <f t="shared" si="13"/>
        <v>-0.28556049253880422</v>
      </c>
      <c r="Q24" s="17">
        <f t="shared" si="13"/>
        <v>-0.44744388927322798</v>
      </c>
      <c r="R24" s="35">
        <f t="shared" si="11"/>
        <v>0.19565217391304368</v>
      </c>
    </row>
    <row r="25" spans="1:22" x14ac:dyDescent="0.2">
      <c r="A25" s="9" t="str">
        <f t="shared" si="8"/>
        <v>SWAV</v>
      </c>
      <c r="B25" s="9" t="str">
        <f t="shared" si="8"/>
        <v>INTRAVASCULAR LITHOTRIPSY (IVL)</v>
      </c>
      <c r="C25" s="9" t="str">
        <f t="shared" si="8"/>
        <v>2020Q3</v>
      </c>
      <c r="D25" s="9">
        <f t="shared" si="8"/>
        <v>20201029</v>
      </c>
      <c r="E25" s="17">
        <f t="shared" si="9"/>
        <v>0.23128447596532697</v>
      </c>
      <c r="F25" s="17">
        <f t="shared" si="14"/>
        <v>0.15955291400348193</v>
      </c>
      <c r="G25" s="17">
        <f t="shared" si="14"/>
        <v>-3.371498979655263E-2</v>
      </c>
      <c r="H25" s="17">
        <f t="shared" si="10"/>
        <v>0.27605831793441316</v>
      </c>
      <c r="I25" s="17">
        <f t="shared" si="10"/>
        <v>0.39875138126698895</v>
      </c>
      <c r="J25" s="17">
        <f>$S11/J11-1</f>
        <v>0.1882018365703948</v>
      </c>
      <c r="K25" s="17">
        <f t="shared" si="12"/>
        <v>-0.4251298389847783</v>
      </c>
      <c r="L25" s="17">
        <f t="shared" ref="L25:M28" si="15">$S11/L11-1</f>
        <v>0.70038378352429187</v>
      </c>
      <c r="M25" s="17">
        <f t="shared" si="15"/>
        <v>-5.2364290493479237E-2</v>
      </c>
      <c r="N25" s="17">
        <f t="shared" si="13"/>
        <v>0.81775481834290864</v>
      </c>
      <c r="O25" s="17">
        <f t="shared" si="13"/>
        <v>0.66327917339727449</v>
      </c>
      <c r="P25" s="17">
        <f t="shared" si="13"/>
        <v>0.55154661294590435</v>
      </c>
      <c r="Q25" s="17">
        <f t="shared" si="13"/>
        <v>0.15858007969844778</v>
      </c>
      <c r="R25" s="35">
        <f t="shared" si="11"/>
        <v>0.30588235294117649</v>
      </c>
    </row>
    <row r="26" spans="1:22" x14ac:dyDescent="0.2">
      <c r="A26" s="9" t="str">
        <f t="shared" si="8"/>
        <v>SWAV</v>
      </c>
      <c r="B26" s="9" t="str">
        <f t="shared" si="8"/>
        <v>INTRAVASCULAR LITHOTRIPSY (IVL)</v>
      </c>
      <c r="C26" s="9" t="str">
        <f t="shared" si="8"/>
        <v>2020Q4</v>
      </c>
      <c r="D26" s="9">
        <f t="shared" si="8"/>
        <v>20210211</v>
      </c>
      <c r="E26" s="17">
        <f t="shared" si="9"/>
        <v>0.16858171445659798</v>
      </c>
      <c r="F26" s="17">
        <f t="shared" si="14"/>
        <v>8.5965452788164809E-2</v>
      </c>
      <c r="G26" s="17">
        <f t="shared" si="14"/>
        <v>-9.1244751401772906E-2</v>
      </c>
      <c r="H26" s="17">
        <f t="shared" si="10"/>
        <v>5.4907083036554116E-2</v>
      </c>
      <c r="I26" s="17">
        <f t="shared" si="10"/>
        <v>0.1649545351267272</v>
      </c>
      <c r="J26" s="17">
        <f>$S12/J12-1</f>
        <v>6.7614713015245576E-2</v>
      </c>
      <c r="K26" s="17">
        <f t="shared" si="12"/>
        <v>-0.28857139436070389</v>
      </c>
      <c r="L26" s="17">
        <f t="shared" si="15"/>
        <v>-6.346192599460454E-2</v>
      </c>
      <c r="M26" s="17">
        <f t="shared" si="15"/>
        <v>-5.9537052730547546E-2</v>
      </c>
      <c r="N26" s="17">
        <f t="shared" si="13"/>
        <v>-0.17330809398730462</v>
      </c>
      <c r="O26" s="17">
        <f t="shared" si="13"/>
        <v>-0.16714682056541652</v>
      </c>
      <c r="P26" s="17">
        <f t="shared" si="13"/>
        <v>-0.10148707049907435</v>
      </c>
      <c r="Q26" s="17">
        <f t="shared" si="13"/>
        <v>-0.15013840850653593</v>
      </c>
      <c r="R26" s="35">
        <f t="shared" si="11"/>
        <v>7.6271186440677763E-2</v>
      </c>
    </row>
    <row r="27" spans="1:22" x14ac:dyDescent="0.2">
      <c r="A27" s="9" t="str">
        <f t="shared" si="8"/>
        <v>SWAV</v>
      </c>
      <c r="B27" s="9" t="str">
        <f t="shared" si="8"/>
        <v>INTRAVASCULAR LITHOTRIPSY (IVL)</v>
      </c>
      <c r="C27" s="9" t="str">
        <f t="shared" si="8"/>
        <v>2021Q1</v>
      </c>
      <c r="D27" s="9">
        <f t="shared" si="8"/>
        <v>20210429</v>
      </c>
      <c r="E27" s="17">
        <f t="shared" si="9"/>
        <v>0.15261741301937359</v>
      </c>
      <c r="F27" s="17">
        <f t="shared" si="14"/>
        <v>0.21931166721013118</v>
      </c>
      <c r="G27" s="17">
        <f t="shared" si="14"/>
        <v>1.0692372853480236E-3</v>
      </c>
      <c r="H27" s="17">
        <f t="shared" si="10"/>
        <v>0.15864197670500668</v>
      </c>
      <c r="I27" s="17">
        <f t="shared" si="10"/>
        <v>0.28350411781736584</v>
      </c>
      <c r="J27" s="17">
        <f>$S13/J13-1</f>
        <v>0.15504016074638916</v>
      </c>
      <c r="K27" s="17">
        <f t="shared" si="12"/>
        <v>0.82810846774160529</v>
      </c>
      <c r="L27" s="17">
        <f t="shared" si="15"/>
        <v>0.12279047558981393</v>
      </c>
      <c r="M27" s="17">
        <f t="shared" si="15"/>
        <v>0.10158289465674875</v>
      </c>
      <c r="N27" s="17">
        <f t="shared" si="13"/>
        <v>9.8335574134028381E-2</v>
      </c>
      <c r="O27" s="17">
        <f t="shared" si="13"/>
        <v>0.10176326982386685</v>
      </c>
      <c r="P27" s="17">
        <f t="shared" si="13"/>
        <v>8.1888575218516335E-2</v>
      </c>
      <c r="Q27" s="17">
        <f t="shared" si="13"/>
        <v>0.17927996239600308</v>
      </c>
      <c r="R27" s="35">
        <f t="shared" si="11"/>
        <v>6.5989847715736127E-2</v>
      </c>
    </row>
    <row r="28" spans="1:22" x14ac:dyDescent="0.2">
      <c r="A28" s="9" t="str">
        <f t="shared" si="8"/>
        <v>SWAV</v>
      </c>
      <c r="B28" s="9" t="str">
        <f t="shared" si="8"/>
        <v>INTRAVASCULAR LITHOTRIPSY (IVL)</v>
      </c>
      <c r="C28" s="9" t="str">
        <f t="shared" si="8"/>
        <v>2021Q2</v>
      </c>
      <c r="D28" s="9">
        <f t="shared" si="8"/>
        <v>20210729</v>
      </c>
      <c r="E28" s="17">
        <f t="shared" si="9"/>
        <v>0.18707512602780918</v>
      </c>
      <c r="F28" s="17">
        <f t="shared" si="14"/>
        <v>0.26173182663534122</v>
      </c>
      <c r="G28" s="17">
        <f t="shared" si="14"/>
        <v>3.9075009129448723E-2</v>
      </c>
      <c r="H28" s="17">
        <f t="shared" si="10"/>
        <v>0.20452114907499075</v>
      </c>
      <c r="I28" s="17">
        <f t="shared" si="10"/>
        <v>0.3564146413483178</v>
      </c>
      <c r="J28" s="17">
        <f>$S14/J14-1</f>
        <v>0.20053620816364282</v>
      </c>
      <c r="K28" s="17">
        <f t="shared" si="12"/>
        <v>1.0539342814884591</v>
      </c>
      <c r="L28" s="17">
        <f t="shared" si="15"/>
        <v>3.4790251390171889E-2</v>
      </c>
      <c r="M28" s="17">
        <f t="shared" si="15"/>
        <v>3.7965178060173521E-2</v>
      </c>
      <c r="N28" s="17">
        <f t="shared" si="13"/>
        <v>3.9597367687693508E-2</v>
      </c>
      <c r="O28" s="17">
        <f t="shared" si="13"/>
        <v>5.6805835305723917E-2</v>
      </c>
      <c r="P28" s="17">
        <f t="shared" si="13"/>
        <v>3.9389147636090804E-2</v>
      </c>
      <c r="Q28" s="17">
        <f t="shared" si="13"/>
        <v>0.13487295376432318</v>
      </c>
      <c r="R28" s="35">
        <f t="shared" si="11"/>
        <v>0.28828828828828845</v>
      </c>
    </row>
    <row r="29" spans="1:22" x14ac:dyDescent="0.2">
      <c r="A29" s="163" t="s">
        <v>73</v>
      </c>
      <c r="B29" s="163"/>
      <c r="C29" s="159"/>
      <c r="D29" s="160"/>
      <c r="E29" s="68" cm="1">
        <f t="array" ref="E29">SUM(ABS(E20:E28))/COUNT(E20:E28)</f>
        <v>0.23945241416716703</v>
      </c>
      <c r="F29" s="102" cm="1">
        <f t="array" ref="F29">SUM(ABS(F20:F28))/COUNT(F20:F28)</f>
        <v>0.20892517233889837</v>
      </c>
      <c r="G29" s="100" cm="1">
        <f t="array" ref="G29">SUM(ABS(G20:G28))/COUNT(G20:G28)</f>
        <v>0.13584394970651748</v>
      </c>
      <c r="H29" s="68" cm="1">
        <f t="array" ref="H29">SUM(ABS(H20:H28))/COUNT(H20:H28)</f>
        <v>0.24165679061874512</v>
      </c>
      <c r="I29" s="68" cm="1">
        <f t="array" ref="I29">SUM(ABS(I20:I28))/COUNT(I20:I28)</f>
        <v>0.2310310147191047</v>
      </c>
      <c r="J29" s="100" cm="1">
        <f t="array" ref="J29">SUM(ABS(J20:J28))/COUNT(J20:J28)</f>
        <v>0.15422340009285357</v>
      </c>
      <c r="K29" s="68" cm="1">
        <f t="array" ref="K29">SUM(ABS(K20:K28))/COUNT(K20:K28)</f>
        <v>0.57130233776688999</v>
      </c>
      <c r="L29" s="68" cm="1">
        <f t="array" ref="L29">SUM(ABS(L20:L28))/COUNT(L20:L28)</f>
        <v>0.23035660912472056</v>
      </c>
      <c r="M29" s="68" cm="1">
        <f t="array" ref="M29">SUM(ABS(M20:M28))/COUNT(M20:M28)</f>
        <v>6.2862353985237263E-2</v>
      </c>
      <c r="N29" s="68" cm="1">
        <f t="array" ref="N29">SUM(ABS(N20:N28))/COUNT(N20:N28)</f>
        <v>0.18372543793288265</v>
      </c>
      <c r="O29" s="68" t="e" cm="1">
        <f t="array" ref="O29">SUM(ABS(O20:O28))/COUNT(O20:O28)</f>
        <v>#DIV/0!</v>
      </c>
      <c r="P29" s="68" cm="1">
        <f t="array" ref="P29">SUM(ABS(P20:P28))/COUNT(P20:P28)</f>
        <v>0.18064869476114084</v>
      </c>
      <c r="Q29" s="68" t="e" cm="1">
        <f t="array" ref="Q29">SUM(ABS(Q20:Q28))/COUNT(Q20:Q28)</f>
        <v>#DIV/0!</v>
      </c>
      <c r="R29" s="100" cm="1">
        <f t="array" ref="R29">SUM(ABS(R20:R28))/COUNT(R20:R28)</f>
        <v>0.14184449375727967</v>
      </c>
    </row>
    <row r="30" spans="1:22" x14ac:dyDescent="0.2">
      <c r="A30" s="164" t="s">
        <v>74</v>
      </c>
      <c r="B30" s="164"/>
      <c r="C30" s="161"/>
      <c r="D30" s="162"/>
      <c r="E30" s="69" cm="1">
        <f t="array" ref="E30">SQRT(SUM(POWER(E20:E28,2))/COUNT(E20:E28))</f>
        <v>0.24779266028993854</v>
      </c>
      <c r="F30" s="69" cm="1">
        <f t="array" ref="F30">SQRT(SUM(POWER(F20:F28,2))/COUNT(F20:F28))</f>
        <v>0.22388079714752704</v>
      </c>
      <c r="G30" s="101" cm="1">
        <f t="array" ref="G30">SQRT(SUM(POWER(G20:G28,2))/COUNT(G20:G28))</f>
        <v>0.20973961138263592</v>
      </c>
      <c r="H30" s="69" cm="1">
        <f t="array" ref="H30">SQRT(SUM(POWER(H20:H28,2))/COUNT(H20:H28))</f>
        <v>0.25685938546261911</v>
      </c>
      <c r="I30" s="69" cm="1">
        <f t="array" ref="I30">SQRT(SUM(POWER(I20:I28,2))/COUNT(I20:I28))</f>
        <v>0.2644067579103877</v>
      </c>
      <c r="J30" s="101" cm="1">
        <f t="array" ref="J30">SQRT(SUM(POWER(J20:J28,2))/COUNT(J20:J28))</f>
        <v>0.17222600309095187</v>
      </c>
      <c r="K30" s="69" cm="1">
        <f t="array" ref="K30">SQRT(SUM(POWER(K20:K28,2))/COUNT(K20:K28))</f>
        <v>0.62363598336011206</v>
      </c>
      <c r="L30" s="69" cm="1">
        <f t="array" ref="L30">SQRT(SUM(POWER(L20:L28,2))/COUNT(L20:L28))</f>
        <v>0.35736980942789182</v>
      </c>
      <c r="M30" s="69" cm="1">
        <f t="array" ref="M30">SQRT(SUM(POWER(M20:M28,2))/COUNT(M20:M28))</f>
        <v>6.7169782638308181E-2</v>
      </c>
      <c r="N30" s="69" cm="1">
        <f t="array" ref="N30">SQRT(SUM(POWER(N20:N28,2))/COUNT(N20:N28))</f>
        <v>0.30862885566126874</v>
      </c>
      <c r="O30" s="69" t="e" cm="1">
        <f t="array" ref="O30">SQRT(SUM(POWER(O20:O28,2))/COUNT(O20:O28))</f>
        <v>#DIV/0!</v>
      </c>
      <c r="P30" s="69" cm="1">
        <f t="array" ref="P30">SQRT(SUM(POWER(P20:P28,2))/COUNT(P20:P28))</f>
        <v>0.24488988495237524</v>
      </c>
      <c r="Q30" s="69" t="e" cm="1">
        <f t="array" ref="Q30">SQRT(SUM(POWER(Q20:Q28,2))/COUNT(Q20:Q28))</f>
        <v>#DIV/0!</v>
      </c>
      <c r="R30" s="101" cm="1">
        <f t="array" ref="R30">SQRT(SUM(POWER(R20:R28,2))/COUNT(R20:R28))</f>
        <v>0.17408482634560879</v>
      </c>
    </row>
    <row r="31" spans="1:22" x14ac:dyDescent="0.2">
      <c r="I31" s="3"/>
      <c r="J31" s="3">
        <f>AVERAGE(J20:J27)</f>
        <v>8.5305375721801732E-2</v>
      </c>
    </row>
    <row r="32" spans="1:22" x14ac:dyDescent="0.2">
      <c r="B32" t="s">
        <v>151</v>
      </c>
      <c r="J32" s="3">
        <f>MEDIAN(J20:J27)</f>
        <v>0.11347706331137508</v>
      </c>
    </row>
  </sheetData>
  <mergeCells count="7">
    <mergeCell ref="A16:D16"/>
    <mergeCell ref="A4:B4"/>
    <mergeCell ref="A18:B18"/>
    <mergeCell ref="C29:D29"/>
    <mergeCell ref="C30:D30"/>
    <mergeCell ref="A29:B29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1"/>
  <sheetViews>
    <sheetView zoomScale="85" zoomScaleNormal="85" workbookViewId="0">
      <selection activeCell="L52" sqref="L52"/>
    </sheetView>
  </sheetViews>
  <sheetFormatPr defaultRowHeight="12.75" x14ac:dyDescent="0.2"/>
  <cols>
    <col min="1" max="1" width="9.140625" style="62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2" t="s">
        <v>99</v>
      </c>
      <c r="B1" t="s">
        <v>79</v>
      </c>
    </row>
    <row r="2" spans="1:17" x14ac:dyDescent="0.2">
      <c r="A2" s="62" t="s">
        <v>94</v>
      </c>
      <c r="B2" t="s">
        <v>77</v>
      </c>
    </row>
    <row r="3" spans="1:17" x14ac:dyDescent="0.2">
      <c r="A3" s="62" t="s">
        <v>95</v>
      </c>
      <c r="B3" t="s">
        <v>140</v>
      </c>
    </row>
    <row r="4" spans="1:17" x14ac:dyDescent="0.2">
      <c r="A4" s="62" t="s">
        <v>96</v>
      </c>
      <c r="B4" t="s">
        <v>159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2" t="s">
        <v>97</v>
      </c>
      <c r="B7" s="165" t="s">
        <v>78</v>
      </c>
      <c r="C7" s="165"/>
      <c r="D7" s="165" t="s">
        <v>107</v>
      </c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6"/>
      <c r="P7" s="6"/>
      <c r="Q7" s="6"/>
    </row>
    <row r="8" spans="1:17" ht="15" x14ac:dyDescent="0.2">
      <c r="A8" s="62" t="s">
        <v>91</v>
      </c>
      <c r="C8" s="66" t="s">
        <v>80</v>
      </c>
      <c r="D8" s="66" t="s">
        <v>81</v>
      </c>
      <c r="E8" s="66" t="s">
        <v>82</v>
      </c>
      <c r="F8" s="66" t="s">
        <v>83</v>
      </c>
      <c r="G8" s="66" t="s">
        <v>84</v>
      </c>
      <c r="H8" s="66" t="s">
        <v>85</v>
      </c>
      <c r="I8" s="66" t="s">
        <v>86</v>
      </c>
      <c r="J8" s="66" t="s">
        <v>87</v>
      </c>
      <c r="K8" s="66" t="s">
        <v>88</v>
      </c>
      <c r="L8" s="66" t="s">
        <v>89</v>
      </c>
      <c r="M8" s="66" t="s">
        <v>90</v>
      </c>
      <c r="O8" s="6"/>
      <c r="P8" s="6"/>
      <c r="Q8" s="6"/>
    </row>
    <row r="9" spans="1:17" ht="15" x14ac:dyDescent="0.2">
      <c r="B9" s="66" t="s">
        <v>91</v>
      </c>
      <c r="C9" s="2">
        <v>0.14769534041187579</v>
      </c>
      <c r="D9" s="2">
        <v>0.1307481883273143</v>
      </c>
      <c r="E9" s="2">
        <v>0.10552477876701449</v>
      </c>
      <c r="F9" s="2">
        <v>0.12490014075241609</v>
      </c>
      <c r="G9" s="2">
        <v>0.1310432008631183</v>
      </c>
      <c r="H9" s="2">
        <v>0.13086735205233921</v>
      </c>
      <c r="I9" s="2">
        <v>0.18724381478390451</v>
      </c>
      <c r="J9" s="2">
        <v>0.12502645349010461</v>
      </c>
      <c r="K9" s="2">
        <v>0.1054136207541878</v>
      </c>
      <c r="L9" s="2">
        <v>0.21308856911057719</v>
      </c>
      <c r="M9" s="2">
        <v>0.18636163222865551</v>
      </c>
      <c r="O9" s="6"/>
      <c r="P9" s="6"/>
      <c r="Q9" s="6"/>
    </row>
    <row r="10" spans="1:17" ht="15" x14ac:dyDescent="0.2">
      <c r="B10" s="66" t="s">
        <v>92</v>
      </c>
      <c r="C10" s="2">
        <v>0.16866807967525299</v>
      </c>
      <c r="D10" s="2">
        <v>0.1369475710574764</v>
      </c>
      <c r="E10" s="2">
        <v>0.15076500402287599</v>
      </c>
      <c r="F10" s="2">
        <v>0.15272769781907869</v>
      </c>
      <c r="G10" s="2">
        <v>0.15146584179236369</v>
      </c>
      <c r="H10" s="2">
        <v>0.19551697185501829</v>
      </c>
      <c r="I10" s="2">
        <v>0.23688207526760419</v>
      </c>
      <c r="J10" s="2">
        <v>0.1453280501055273</v>
      </c>
      <c r="K10" s="2">
        <v>0.14316745060318531</v>
      </c>
      <c r="L10" s="2">
        <v>0.2457195426845071</v>
      </c>
      <c r="M10" s="2">
        <v>0.19648744507241361</v>
      </c>
      <c r="O10" s="6"/>
      <c r="P10" s="6"/>
      <c r="Q10" s="6"/>
    </row>
    <row r="11" spans="1:17" ht="15" x14ac:dyDescent="0.2">
      <c r="B11" s="66" t="s">
        <v>93</v>
      </c>
      <c r="C11" s="2">
        <v>-0.1473211827542536</v>
      </c>
      <c r="D11" s="2">
        <v>-0.14631069111969111</v>
      </c>
      <c r="E11" s="2">
        <v>-5.0614715006032603E-2</v>
      </c>
      <c r="F11" s="2">
        <v>-8.1641520173513449E-2</v>
      </c>
      <c r="G11" s="2">
        <v>-5.2089648480124102E-2</v>
      </c>
      <c r="H11" s="2">
        <v>-5.6540094748056553E-2</v>
      </c>
      <c r="I11" s="2">
        <v>-0.1552115642359691</v>
      </c>
      <c r="J11" s="2">
        <v>-8.0073777261481682E-2</v>
      </c>
      <c r="K11" s="2">
        <v>-5.8470736284392699E-2</v>
      </c>
      <c r="L11" s="2">
        <v>0.20891595527424539</v>
      </c>
      <c r="M11" s="2">
        <v>0.18731655300795899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A16" s="62" t="s">
        <v>98</v>
      </c>
      <c r="B16" t="s">
        <v>132</v>
      </c>
      <c r="O16" s="6"/>
      <c r="P16" s="6"/>
      <c r="Q16" s="6"/>
    </row>
    <row r="17" spans="1:17" x14ac:dyDescent="0.2">
      <c r="B17" t="s">
        <v>133</v>
      </c>
      <c r="H17" s="63" t="s">
        <v>101</v>
      </c>
      <c r="O17" s="6"/>
      <c r="P17" s="6"/>
      <c r="Q17" s="6"/>
    </row>
    <row r="18" spans="1:17" x14ac:dyDescent="0.2">
      <c r="H18" s="63"/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2" t="s">
        <v>100</v>
      </c>
      <c r="B21" s="166" t="s">
        <v>103</v>
      </c>
      <c r="C21" s="166"/>
      <c r="D21" s="166"/>
      <c r="E21" s="166"/>
      <c r="F21" s="61" t="e">
        <f>#REF!+#REF!*'2. Past Proj &amp; Candidate Model'!#REF!</f>
        <v>#REF!</v>
      </c>
      <c r="G21" s="64" t="s">
        <v>104</v>
      </c>
      <c r="H21" s="2" t="e">
        <f>'2. Past Proj &amp; Candidate Model'!#REF!/'3. Improved Alpha Model'!F21-1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B25" s="167" t="s">
        <v>152</v>
      </c>
      <c r="C25" s="167"/>
      <c r="D25" s="167"/>
      <c r="E25" s="3">
        <f>C9</f>
        <v>0.14769534041187579</v>
      </c>
      <c r="F25" t="s">
        <v>105</v>
      </c>
      <c r="G25" s="167" t="s">
        <v>106</v>
      </c>
      <c r="H25" s="167"/>
      <c r="I25" s="3" t="e">
        <f>#REF!</f>
        <v>#REF!</v>
      </c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A28" s="62" t="s">
        <v>102</v>
      </c>
      <c r="B28" t="s">
        <v>108</v>
      </c>
      <c r="O28" s="6"/>
      <c r="P28" s="6"/>
      <c r="Q28" s="6"/>
    </row>
    <row r="29" spans="1:17" x14ac:dyDescent="0.2">
      <c r="B29" t="s">
        <v>109</v>
      </c>
      <c r="O29" s="6"/>
      <c r="P29" s="6"/>
      <c r="Q29" s="6"/>
    </row>
    <row r="30" spans="1:17" x14ac:dyDescent="0.2">
      <c r="B30" t="s">
        <v>110</v>
      </c>
      <c r="O30" s="6"/>
      <c r="P30" s="6"/>
      <c r="Q30" s="6"/>
    </row>
    <row r="31" spans="1:17" x14ac:dyDescent="0.2">
      <c r="B31" t="s">
        <v>111</v>
      </c>
      <c r="O31" s="6"/>
      <c r="P31" s="6"/>
      <c r="Q31" s="6"/>
    </row>
    <row r="32" spans="1:17" x14ac:dyDescent="0.2">
      <c r="B32" t="s">
        <v>112</v>
      </c>
      <c r="O32" s="6"/>
      <c r="P32" s="6"/>
      <c r="Q32" s="6"/>
    </row>
    <row r="33" spans="2:17" x14ac:dyDescent="0.2">
      <c r="B33" t="s">
        <v>113</v>
      </c>
      <c r="O33" s="6"/>
      <c r="P33" s="6"/>
      <c r="Q33" s="6"/>
    </row>
    <row r="34" spans="2:17" x14ac:dyDescent="0.2">
      <c r="B34" t="s">
        <v>114</v>
      </c>
      <c r="O34" s="6"/>
      <c r="P34" s="6"/>
      <c r="Q34" s="6"/>
    </row>
    <row r="35" spans="2:17" x14ac:dyDescent="0.2">
      <c r="B35" t="s">
        <v>115</v>
      </c>
      <c r="O35" s="6"/>
      <c r="P35" s="6"/>
      <c r="Q35" s="6"/>
    </row>
    <row r="36" spans="2:17" x14ac:dyDescent="0.2">
      <c r="B36" t="s">
        <v>116</v>
      </c>
      <c r="O36" s="6"/>
      <c r="P36" s="6"/>
      <c r="Q36" s="6"/>
    </row>
    <row r="37" spans="2:17" x14ac:dyDescent="0.2">
      <c r="B37" t="s">
        <v>117</v>
      </c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  <c r="Q39" s="6"/>
    </row>
    <row r="40" spans="2:17" x14ac:dyDescent="0.2">
      <c r="O40" s="6"/>
      <c r="P40" s="6"/>
    </row>
    <row r="41" spans="2:17" x14ac:dyDescent="0.2">
      <c r="O41" s="6"/>
      <c r="P41" s="6"/>
    </row>
  </sheetData>
  <mergeCells count="5">
    <mergeCell ref="D7:N7"/>
    <mergeCell ref="B7:C7"/>
    <mergeCell ref="B21:E21"/>
    <mergeCell ref="B25:D25"/>
    <mergeCell ref="G25:H25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U41"/>
  <sheetViews>
    <sheetView tabSelected="1" zoomScale="85" zoomScaleNormal="85" workbookViewId="0">
      <selection activeCell="M25" sqref="M25"/>
    </sheetView>
  </sheetViews>
  <sheetFormatPr defaultRowHeight="12.75" x14ac:dyDescent="0.2"/>
  <cols>
    <col min="1" max="1" width="9.140625" style="62"/>
    <col min="3" max="3" width="18.5703125" customWidth="1"/>
    <col min="4" max="13" width="14.7109375" customWidth="1"/>
    <col min="18" max="18" width="10.7109375" customWidth="1"/>
    <col min="19" max="19" width="12" customWidth="1"/>
  </cols>
  <sheetData>
    <row r="1" spans="1:21" x14ac:dyDescent="0.2">
      <c r="A1" s="62" t="s">
        <v>119</v>
      </c>
      <c r="B1" t="s">
        <v>79</v>
      </c>
    </row>
    <row r="2" spans="1:21" x14ac:dyDescent="0.2">
      <c r="A2" s="62" t="s">
        <v>94</v>
      </c>
      <c r="B2" s="70" t="s">
        <v>153</v>
      </c>
      <c r="C2" s="71" t="str">
        <f>D5</f>
        <v>PROJ</v>
      </c>
      <c r="D2" t="s">
        <v>154</v>
      </c>
    </row>
    <row r="4" spans="1:21" x14ac:dyDescent="0.2">
      <c r="A4" s="62" t="s">
        <v>95</v>
      </c>
      <c r="B4" t="s">
        <v>118</v>
      </c>
    </row>
    <row r="5" spans="1:21" ht="15" x14ac:dyDescent="0.2">
      <c r="A5" s="62" t="s">
        <v>91</v>
      </c>
      <c r="C5" s="66" t="s">
        <v>80</v>
      </c>
      <c r="D5" s="66" t="s">
        <v>81</v>
      </c>
      <c r="E5" s="66" t="s">
        <v>82</v>
      </c>
      <c r="F5" s="66" t="s">
        <v>83</v>
      </c>
      <c r="G5" s="66" t="s">
        <v>84</v>
      </c>
      <c r="H5" s="66" t="s">
        <v>85</v>
      </c>
      <c r="I5" s="66" t="s">
        <v>86</v>
      </c>
      <c r="J5" s="66" t="s">
        <v>87</v>
      </c>
      <c r="K5" s="66" t="s">
        <v>88</v>
      </c>
      <c r="L5" s="66" t="s">
        <v>89</v>
      </c>
      <c r="M5" s="66" t="s">
        <v>90</v>
      </c>
    </row>
    <row r="6" spans="1:21" ht="15" x14ac:dyDescent="0.2">
      <c r="B6" s="66" t="s">
        <v>91</v>
      </c>
      <c r="C6" s="2">
        <v>0.1181562723295007</v>
      </c>
      <c r="D6" s="2">
        <v>0.10700464194815849</v>
      </c>
      <c r="E6" s="2">
        <v>0.1218708499357383</v>
      </c>
      <c r="F6" s="2">
        <v>0.14961952295028699</v>
      </c>
      <c r="G6" s="2">
        <v>0.1471327281184345</v>
      </c>
      <c r="H6" s="2">
        <v>0.14214257525301549</v>
      </c>
      <c r="I6" s="2">
        <v>0.1872289384901728</v>
      </c>
      <c r="J6" s="2">
        <v>0.14248994929452341</v>
      </c>
      <c r="K6" s="2">
        <v>0.12657427173704691</v>
      </c>
      <c r="L6" s="2">
        <v>0.18398923765106079</v>
      </c>
      <c r="M6" s="2">
        <v>0.16736714906915851</v>
      </c>
    </row>
    <row r="7" spans="1:21" ht="15" x14ac:dyDescent="0.2">
      <c r="B7" s="66" t="s">
        <v>92</v>
      </c>
      <c r="C7" s="2">
        <v>0.1508613167152866</v>
      </c>
      <c r="D7" s="2">
        <v>0.1226077328361643</v>
      </c>
      <c r="E7" s="2">
        <v>0.15873552292421361</v>
      </c>
      <c r="F7" s="2">
        <v>0.17609871291341991</v>
      </c>
      <c r="G7" s="2">
        <v>0.16522468284946309</v>
      </c>
      <c r="H7" s="2">
        <v>0.1938905162523209</v>
      </c>
      <c r="I7" s="2">
        <v>0.22780907229515601</v>
      </c>
      <c r="J7" s="2">
        <v>0.1609788273436254</v>
      </c>
      <c r="K7" s="2">
        <v>0.1591227477238987</v>
      </c>
      <c r="L7" s="2">
        <v>0.22486001090592839</v>
      </c>
      <c r="M7" s="2">
        <v>0.18178631125623859</v>
      </c>
    </row>
    <row r="8" spans="1:21" ht="15" x14ac:dyDescent="0.2">
      <c r="B8" s="66" t="s">
        <v>93</v>
      </c>
      <c r="C8" s="2">
        <v>-7.0866141732283339E-2</v>
      </c>
      <c r="D8" s="2">
        <v>-0.1342292380952381</v>
      </c>
      <c r="E8" s="2">
        <v>-3.5718167566173853E-2</v>
      </c>
      <c r="F8" s="2">
        <v>1.6232033650748209E-2</v>
      </c>
      <c r="G8" s="2">
        <v>2.224279487308722E-2</v>
      </c>
      <c r="H8" s="2">
        <v>-3.5772614041381989E-2</v>
      </c>
      <c r="I8" s="2">
        <v>-7.4615629346832191E-2</v>
      </c>
      <c r="J8" s="2">
        <v>-3.4078024555684212E-2</v>
      </c>
      <c r="K8" s="2">
        <v>1.26720801027207E-2</v>
      </c>
      <c r="L8" s="2">
        <v>0.19189422871205941</v>
      </c>
      <c r="M8" s="2">
        <v>0.1863789378848493</v>
      </c>
    </row>
    <row r="10" spans="1:21" ht="15" x14ac:dyDescent="0.2">
      <c r="A10" s="62" t="s">
        <v>96</v>
      </c>
      <c r="B10" s="67" t="s">
        <v>155</v>
      </c>
    </row>
    <row r="12" spans="1:21" x14ac:dyDescent="0.2">
      <c r="A12" s="62" t="s">
        <v>97</v>
      </c>
      <c r="B12" t="s">
        <v>131</v>
      </c>
    </row>
    <row r="13" spans="1:21" ht="15" x14ac:dyDescent="0.2">
      <c r="B13" s="66" t="s">
        <v>120</v>
      </c>
      <c r="C13" s="66" t="s">
        <v>121</v>
      </c>
      <c r="D13" s="66" t="s">
        <v>80</v>
      </c>
      <c r="E13" s="66" t="s">
        <v>81</v>
      </c>
      <c r="F13" s="66" t="s">
        <v>82</v>
      </c>
      <c r="G13" s="66" t="s">
        <v>83</v>
      </c>
      <c r="H13" s="66" t="s">
        <v>84</v>
      </c>
      <c r="I13" s="66" t="s">
        <v>85</v>
      </c>
      <c r="J13" s="66" t="s">
        <v>86</v>
      </c>
      <c r="K13" s="66" t="s">
        <v>87</v>
      </c>
      <c r="L13" s="66" t="s">
        <v>88</v>
      </c>
      <c r="M13" s="66" t="s">
        <v>122</v>
      </c>
      <c r="N13" s="66" t="s">
        <v>123</v>
      </c>
      <c r="O13" s="66" t="s">
        <v>124</v>
      </c>
      <c r="P13" s="66" t="s">
        <v>125</v>
      </c>
      <c r="Q13" s="66" t="s">
        <v>126</v>
      </c>
      <c r="R13" s="66" t="s">
        <v>127</v>
      </c>
      <c r="S13" s="66" t="s">
        <v>128</v>
      </c>
      <c r="T13" s="66" t="s">
        <v>129</v>
      </c>
      <c r="U13" s="66" t="s">
        <v>130</v>
      </c>
    </row>
    <row r="14" spans="1:21" x14ac:dyDescent="0.2">
      <c r="B14" t="s">
        <v>42</v>
      </c>
      <c r="C14">
        <v>5.2</v>
      </c>
      <c r="D14">
        <v>4.4000000000000004</v>
      </c>
      <c r="E14">
        <v>5.2971139999999997</v>
      </c>
    </row>
    <row r="15" spans="1:21" x14ac:dyDescent="0.2">
      <c r="B15" t="s">
        <v>43</v>
      </c>
      <c r="C15">
        <v>6.2</v>
      </c>
      <c r="D15">
        <v>5.6</v>
      </c>
      <c r="E15">
        <v>5.0896793999999996</v>
      </c>
    </row>
    <row r="16" spans="1:21" x14ac:dyDescent="0.2">
      <c r="B16" t="s">
        <v>44</v>
      </c>
      <c r="C16">
        <v>7.6</v>
      </c>
      <c r="D16">
        <v>7.2</v>
      </c>
      <c r="E16">
        <v>6.1586502000000003</v>
      </c>
    </row>
    <row r="17" spans="1:21" x14ac:dyDescent="0.2">
      <c r="B17" t="s">
        <v>45</v>
      </c>
      <c r="C17">
        <v>7.8</v>
      </c>
      <c r="D17">
        <v>7.8</v>
      </c>
      <c r="E17">
        <v>7.2767033999999997</v>
      </c>
    </row>
    <row r="18" spans="1:21" x14ac:dyDescent="0.2">
      <c r="B18" t="s">
        <v>46</v>
      </c>
      <c r="C18">
        <v>5.5</v>
      </c>
      <c r="D18">
        <v>4.5999999999999996</v>
      </c>
      <c r="E18">
        <v>7.1818660000000003</v>
      </c>
    </row>
    <row r="19" spans="1:21" x14ac:dyDescent="0.2">
      <c r="B19" t="s">
        <v>47</v>
      </c>
      <c r="C19">
        <v>11.1</v>
      </c>
      <c r="D19">
        <v>8.5</v>
      </c>
      <c r="E19">
        <v>9.3418472000000001</v>
      </c>
      <c r="F19">
        <v>7.8745911835547968</v>
      </c>
      <c r="G19">
        <v>8.4635934819897081</v>
      </c>
      <c r="H19">
        <v>8.4728687421191644</v>
      </c>
      <c r="I19">
        <v>6.8768016275453441</v>
      </c>
      <c r="J19">
        <v>6.6326469176014786</v>
      </c>
      <c r="K19">
        <v>8.442587774940975</v>
      </c>
      <c r="L19">
        <v>8.2838121783876488</v>
      </c>
      <c r="M19" s="2">
        <v>-0.2342342342342342</v>
      </c>
      <c r="N19" s="2">
        <v>-0.15839214414414421</v>
      </c>
      <c r="O19" s="2">
        <v>-0.29057737085091923</v>
      </c>
      <c r="P19" s="2">
        <v>-0.23751410072164791</v>
      </c>
      <c r="Q19" s="2">
        <v>-0.2366784917009761</v>
      </c>
      <c r="R19" s="2">
        <v>-0.3804683218427618</v>
      </c>
      <c r="S19" s="2">
        <v>-0.40246424165752448</v>
      </c>
      <c r="T19" s="2">
        <v>-0.23940650676207431</v>
      </c>
      <c r="U19" s="2">
        <v>-0.25371061455967131</v>
      </c>
    </row>
    <row r="20" spans="1:21" x14ac:dyDescent="0.2">
      <c r="B20" t="s">
        <v>48</v>
      </c>
      <c r="C20">
        <v>12.7</v>
      </c>
      <c r="D20">
        <v>11.8</v>
      </c>
      <c r="E20">
        <v>11.8956772</v>
      </c>
      <c r="F20">
        <v>13.08471239040443</v>
      </c>
      <c r="G20">
        <v>13.542509803921559</v>
      </c>
      <c r="H20">
        <v>14.46313369807244</v>
      </c>
      <c r="I20">
        <v>13.079995390255119</v>
      </c>
      <c r="J20">
        <v>9.7052447611111532</v>
      </c>
      <c r="K20">
        <v>13.977007258977331</v>
      </c>
      <c r="L20">
        <v>13.025859593172241</v>
      </c>
      <c r="M20" s="2">
        <v>-7.0866141732283339E-2</v>
      </c>
      <c r="N20" s="2">
        <v>-6.3332503937007845E-2</v>
      </c>
      <c r="O20" s="2">
        <v>3.0292314205073501E-2</v>
      </c>
      <c r="P20" s="2">
        <v>6.6339354639493253E-2</v>
      </c>
      <c r="Q20" s="2">
        <v>0.13882942504507431</v>
      </c>
      <c r="R20" s="2">
        <v>2.992089687048205E-2</v>
      </c>
      <c r="S20" s="2">
        <v>-0.23580749912510601</v>
      </c>
      <c r="T20" s="2">
        <v>0.1005517526753807</v>
      </c>
      <c r="U20" s="2">
        <v>2.5658235682853189E-2</v>
      </c>
    </row>
    <row r="21" spans="1:21" x14ac:dyDescent="0.2">
      <c r="B21" t="s">
        <v>49</v>
      </c>
      <c r="C21">
        <v>21</v>
      </c>
      <c r="D21">
        <v>19.7</v>
      </c>
      <c r="E21">
        <v>18.181186</v>
      </c>
      <c r="F21">
        <v>19.624263488636281</v>
      </c>
      <c r="G21">
        <v>21.34087270666571</v>
      </c>
      <c r="H21">
        <v>21.467098692334829</v>
      </c>
      <c r="I21">
        <v>19.376540915450651</v>
      </c>
      <c r="J21">
        <v>19.433071783716521</v>
      </c>
      <c r="K21">
        <v>20.284361484330631</v>
      </c>
      <c r="L21">
        <v>21.26611368215713</v>
      </c>
      <c r="M21" s="2">
        <v>-6.1904761904761907E-2</v>
      </c>
      <c r="N21" s="2">
        <v>-0.1342292380952381</v>
      </c>
      <c r="O21" s="2">
        <v>-6.5511262445891338E-2</v>
      </c>
      <c r="P21" s="2">
        <v>1.6232033650748209E-2</v>
      </c>
      <c r="Q21" s="2">
        <v>2.224279487308722E-2</v>
      </c>
      <c r="R21" s="2">
        <v>-7.7307575454731103E-2</v>
      </c>
      <c r="S21" s="2">
        <v>-7.4615629346832191E-2</v>
      </c>
      <c r="T21" s="2">
        <v>-3.4078024555684212E-2</v>
      </c>
      <c r="U21" s="2">
        <v>1.26720801027207E-2</v>
      </c>
    </row>
    <row r="22" spans="1:21" x14ac:dyDescent="0.2">
      <c r="B22" t="s">
        <v>50</v>
      </c>
      <c r="C22">
        <v>42.9</v>
      </c>
      <c r="D22">
        <v>33.299999999999997</v>
      </c>
      <c r="E22">
        <v>35.734032599999999</v>
      </c>
      <c r="F22">
        <v>41.367690611411142</v>
      </c>
      <c r="G22">
        <v>35.198803325495447</v>
      </c>
      <c r="H22">
        <v>37.476492260349907</v>
      </c>
      <c r="I22">
        <v>41.365354857624709</v>
      </c>
      <c r="J22">
        <v>41.351829561635938</v>
      </c>
      <c r="K22">
        <v>37.491617164403721</v>
      </c>
      <c r="L22">
        <v>37.339578590392392</v>
      </c>
      <c r="M22" s="2">
        <v>-0.22377622377622389</v>
      </c>
      <c r="N22" s="2">
        <v>-0.16703886713286711</v>
      </c>
      <c r="O22" s="2">
        <v>-3.5718167566173853E-2</v>
      </c>
      <c r="P22" s="2">
        <v>-0.17951507399777511</v>
      </c>
      <c r="Q22" s="2">
        <v>-0.12642209183333539</v>
      </c>
      <c r="R22" s="2">
        <v>-3.5772614041381989E-2</v>
      </c>
      <c r="S22" s="2">
        <v>-3.6087889006155227E-2</v>
      </c>
      <c r="T22" s="2">
        <v>-0.12606952996727919</v>
      </c>
      <c r="U22" s="2">
        <v>-0.12961355267150609</v>
      </c>
    </row>
    <row r="23" spans="1:21" x14ac:dyDescent="0.2">
      <c r="B23" t="s">
        <v>66</v>
      </c>
      <c r="C23">
        <v>48.2</v>
      </c>
      <c r="D23">
        <v>48.2</v>
      </c>
      <c r="E23">
        <v>47.620131999999998</v>
      </c>
      <c r="F23">
        <v>57.225697488232527</v>
      </c>
      <c r="G23">
        <v>60.177557893953349</v>
      </c>
      <c r="H23">
        <v>58.393858350133513</v>
      </c>
      <c r="I23">
        <v>57.225135160285731</v>
      </c>
      <c r="J23">
        <v>57.221566685794869</v>
      </c>
      <c r="K23">
        <v>58.434977547087982</v>
      </c>
      <c r="L23">
        <v>58.380653407220898</v>
      </c>
      <c r="M23" s="2">
        <v>0</v>
      </c>
      <c r="N23" s="2">
        <v>-1.203045643153533E-2</v>
      </c>
      <c r="O23" s="2">
        <v>0.18725513461063351</v>
      </c>
      <c r="P23" s="2">
        <v>0.24849705174177061</v>
      </c>
      <c r="Q23" s="2">
        <v>0.21149083713969929</v>
      </c>
      <c r="R23" s="2">
        <v>0.18724346805572051</v>
      </c>
      <c r="S23" s="2">
        <v>0.1871694333152463</v>
      </c>
      <c r="T23" s="2">
        <v>0.21234393251219871</v>
      </c>
      <c r="U23" s="2">
        <v>0.21121687566848341</v>
      </c>
    </row>
    <row r="24" spans="1:21" x14ac:dyDescent="0.2">
      <c r="I24" s="94" t="s">
        <v>141</v>
      </c>
      <c r="J24" s="94"/>
      <c r="K24" s="94"/>
      <c r="L24">
        <f>$L$23/(1+U24)</f>
        <v>63.891168478949041</v>
      </c>
      <c r="Q24" s="93" t="s">
        <v>134</v>
      </c>
      <c r="R24" s="93"/>
      <c r="S24" s="93"/>
      <c r="T24" s="93"/>
      <c r="U24" s="3">
        <f>AVERAGE(U19:U22)</f>
        <v>-8.6248462861400879E-2</v>
      </c>
    </row>
    <row r="25" spans="1:21" x14ac:dyDescent="0.2">
      <c r="I25" s="84" t="s">
        <v>142</v>
      </c>
      <c r="J25" s="84"/>
      <c r="K25" s="84"/>
      <c r="L25">
        <f>$L$23/(1+U25)</f>
        <v>62.006201673254637</v>
      </c>
      <c r="M25">
        <f>AVERAGE(L23,E23)</f>
        <v>53.000392703610444</v>
      </c>
      <c r="Q25" s="84" t="s">
        <v>136</v>
      </c>
      <c r="R25" s="84"/>
      <c r="S25" s="84"/>
      <c r="T25" s="84"/>
      <c r="U25" s="1">
        <f>MEDIAN(U19:U22)</f>
        <v>-5.8470736284392699E-2</v>
      </c>
    </row>
    <row r="26" spans="1:21" x14ac:dyDescent="0.2">
      <c r="I26" s="85" t="s">
        <v>143</v>
      </c>
      <c r="J26" s="85"/>
      <c r="K26" s="85"/>
      <c r="L26">
        <f>$L$23/(1+U26)</f>
        <v>72.223079264115</v>
      </c>
      <c r="Q26" s="85" t="s">
        <v>135</v>
      </c>
      <c r="R26" s="85"/>
      <c r="S26" s="85"/>
      <c r="T26" s="85"/>
      <c r="U26" s="1">
        <f>AVERAGE(U19,U22)</f>
        <v>-0.1916620836155887</v>
      </c>
    </row>
    <row r="27" spans="1:21" x14ac:dyDescent="0.2">
      <c r="I27" s="86" t="s">
        <v>144</v>
      </c>
      <c r="J27" s="86"/>
      <c r="K27" s="86"/>
      <c r="L27">
        <f>$L$23/(1+U27)</f>
        <v>72.223079264115</v>
      </c>
      <c r="Q27" s="86" t="s">
        <v>137</v>
      </c>
      <c r="R27" s="86"/>
      <c r="S27" s="86"/>
      <c r="T27" s="86"/>
      <c r="U27" s="1">
        <f>MEDIAN(U19,U22)</f>
        <v>-0.1916620836155887</v>
      </c>
    </row>
    <row r="28" spans="1:21" x14ac:dyDescent="0.2">
      <c r="I28" s="87" t="s">
        <v>145</v>
      </c>
      <c r="J28" s="87"/>
      <c r="K28" s="87"/>
      <c r="L28">
        <f t="shared" ref="L25:L29" si="0">$L$23/(1+U28)</f>
        <v>57.282819133974321</v>
      </c>
      <c r="Q28" s="87" t="s">
        <v>138</v>
      </c>
      <c r="R28" s="87"/>
      <c r="S28" s="87"/>
      <c r="T28" s="87"/>
      <c r="U28" s="1">
        <f>AVERAGE(U20:U21)</f>
        <v>1.9165157892786944E-2</v>
      </c>
    </row>
    <row r="29" spans="1:21" x14ac:dyDescent="0.2">
      <c r="I29" s="88" t="s">
        <v>146</v>
      </c>
      <c r="J29" s="88"/>
      <c r="K29" s="88"/>
      <c r="L29">
        <f t="shared" si="0"/>
        <v>57.282819133974321</v>
      </c>
      <c r="Q29" s="88" t="s">
        <v>139</v>
      </c>
      <c r="R29" s="88"/>
      <c r="S29" s="88"/>
      <c r="T29" s="88"/>
      <c r="U29" s="1">
        <f>MEDIAN(U20:U21)</f>
        <v>1.9165157892786944E-2</v>
      </c>
    </row>
    <row r="31" spans="1:21" x14ac:dyDescent="0.2">
      <c r="A31" s="62" t="s">
        <v>98</v>
      </c>
      <c r="B31" t="s">
        <v>147</v>
      </c>
    </row>
    <row r="32" spans="1:21" x14ac:dyDescent="0.2">
      <c r="B32" t="s">
        <v>148</v>
      </c>
    </row>
    <row r="38" spans="1:4" x14ac:dyDescent="0.2">
      <c r="A38" s="62" t="s">
        <v>100</v>
      </c>
      <c r="B38" s="72" t="s">
        <v>149</v>
      </c>
      <c r="C38" s="73">
        <f>M25</f>
        <v>53.000392703610444</v>
      </c>
      <c r="D38" t="s">
        <v>160</v>
      </c>
    </row>
    <row r="40" spans="1:4" x14ac:dyDescent="0.2">
      <c r="B40" s="168" t="s">
        <v>157</v>
      </c>
      <c r="C40" s="168"/>
      <c r="D40" s="2">
        <f>C38/D23-1</f>
        <v>9.9593209618473955E-2</v>
      </c>
    </row>
    <row r="41" spans="1:4" x14ac:dyDescent="0.2">
      <c r="B41" s="156" t="s">
        <v>156</v>
      </c>
      <c r="C41" s="156"/>
      <c r="D41" s="2">
        <f>'1. Data &amp; Confidence Interval'!O24</f>
        <v>0.14448051948051943</v>
      </c>
    </row>
  </sheetData>
  <mergeCells count="2">
    <mergeCell ref="B41:C41"/>
    <mergeCell ref="B40:C40"/>
  </mergeCells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5:U2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4:U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U2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2021-11-05T21:51:47Z</dcterms:modified>
</cp:coreProperties>
</file>