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YK\"/>
    </mc:Choice>
  </mc:AlternateContent>
  <xr:revisionPtr revIDLastSave="0" documentId="13_ncr:1_{8DD7FB18-91E9-4216-83D4-B6328B50E6C5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P36" i="4"/>
  <c r="P35" i="4"/>
  <c r="P34" i="4"/>
  <c r="P33" i="4"/>
  <c r="P32" i="4"/>
  <c r="P31" i="4"/>
  <c r="P15" i="4"/>
  <c r="P16" i="4"/>
  <c r="P17" i="4"/>
  <c r="P18" i="4"/>
  <c r="P19" i="4"/>
  <c r="P20" i="4"/>
  <c r="P14" i="4"/>
  <c r="O36" i="4"/>
  <c r="D36" i="4" s="1"/>
  <c r="O35" i="4"/>
  <c r="D35" i="4" s="1"/>
  <c r="O34" i="4"/>
  <c r="D34" i="4" s="1"/>
  <c r="O33" i="4"/>
  <c r="D33" i="4" s="1"/>
  <c r="O32" i="4"/>
  <c r="D32" i="4" s="1"/>
  <c r="O31" i="4"/>
  <c r="D31" i="4" s="1"/>
  <c r="O15" i="4"/>
  <c r="O16" i="4"/>
  <c r="O17" i="4"/>
  <c r="O18" i="4"/>
  <c r="O19" i="4"/>
  <c r="O20" i="4"/>
  <c r="O14" i="4"/>
  <c r="R23" i="2"/>
  <c r="AM21" i="1" l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D48" i="4" l="1"/>
  <c r="C2" i="4"/>
  <c r="AO23" i="1"/>
  <c r="AO22" i="1"/>
  <c r="AO21" i="1"/>
  <c r="AO20" i="1"/>
  <c r="O25" i="1"/>
  <c r="L25" i="1"/>
  <c r="O24" i="1"/>
  <c r="L24" i="1"/>
  <c r="E36" i="4"/>
  <c r="E35" i="4"/>
  <c r="E34" i="4"/>
  <c r="E33" i="4"/>
  <c r="D47" i="4" s="1"/>
  <c r="E32" i="4"/>
  <c r="E31" i="4"/>
  <c r="J23" i="2"/>
  <c r="O21" i="1"/>
  <c r="L20" i="1"/>
  <c r="AL20" i="1" l="1"/>
  <c r="AM20" i="1"/>
  <c r="AL22" i="1"/>
  <c r="AM22" i="1"/>
  <c r="L22" i="1"/>
  <c r="M22" i="1"/>
  <c r="N22" i="1"/>
  <c r="O23" i="1" s="1"/>
  <c r="O22" i="1"/>
  <c r="P22" i="1"/>
  <c r="M20" i="1"/>
  <c r="N20" i="1"/>
  <c r="O20" i="1"/>
  <c r="P20" i="1"/>
  <c r="R22" i="1"/>
  <c r="E18" i="1"/>
  <c r="D18" i="1"/>
  <c r="C18" i="1"/>
  <c r="B18" i="1"/>
  <c r="B17" i="1"/>
  <c r="C17" i="1"/>
  <c r="D17" i="1"/>
  <c r="E17" i="1"/>
  <c r="F13" i="1"/>
  <c r="G13" i="1"/>
  <c r="H13" i="1"/>
  <c r="I13" i="1"/>
  <c r="M23" i="2"/>
  <c r="L23" i="2"/>
  <c r="K23" i="2"/>
  <c r="Q23" i="2" s="1"/>
  <c r="N23" i="2"/>
  <c r="O23" i="2"/>
  <c r="P21" i="1" l="1"/>
  <c r="P23" i="1"/>
  <c r="P23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J13" i="1"/>
  <c r="K13" i="1"/>
  <c r="L13" i="1"/>
  <c r="M13" i="1"/>
  <c r="J17" i="1"/>
  <c r="I17" i="1"/>
  <c r="H17" i="1"/>
  <c r="G17" i="1"/>
  <c r="F17" i="1"/>
  <c r="I18" i="1"/>
  <c r="H18" i="1"/>
  <c r="G18" i="1"/>
  <c r="F18" i="1"/>
  <c r="J18" i="1"/>
  <c r="J39" i="2" l="1"/>
  <c r="J42" i="2"/>
  <c r="L18" i="1"/>
  <c r="K18" i="1"/>
  <c r="Q22" i="1"/>
  <c r="S22" i="1"/>
  <c r="T22" i="1"/>
  <c r="Q20" i="1"/>
  <c r="R20" i="1"/>
  <c r="S20" i="1"/>
  <c r="T20" i="1"/>
  <c r="J41" i="2"/>
  <c r="J40" i="2"/>
  <c r="G40" i="2"/>
  <c r="R24" i="2"/>
  <c r="U22" i="1"/>
  <c r="V22" i="1"/>
  <c r="U20" i="1"/>
  <c r="V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N18" i="1"/>
  <c r="AO18" i="1"/>
  <c r="N17" i="1"/>
  <c r="M17" i="1"/>
  <c r="L17" i="1"/>
  <c r="K17" i="1"/>
  <c r="V17" i="1"/>
  <c r="U17" i="1"/>
  <c r="T17" i="1"/>
  <c r="S17" i="1"/>
  <c r="Q18" i="1"/>
  <c r="P18" i="1"/>
  <c r="N18" i="1"/>
  <c r="M18" i="1"/>
  <c r="W20" i="1"/>
  <c r="W22" i="1"/>
  <c r="AO26" i="1" l="1"/>
  <c r="AO25" i="1"/>
  <c r="Q21" i="1"/>
  <c r="S21" i="1"/>
  <c r="R21" i="1"/>
  <c r="R23" i="1"/>
  <c r="S23" i="1"/>
  <c r="Q23" i="1"/>
  <c r="V21" i="1"/>
  <c r="T21" i="1"/>
  <c r="W21" i="1"/>
  <c r="W23" i="1"/>
  <c r="U23" i="1"/>
  <c r="T23" i="1"/>
  <c r="U21" i="1"/>
  <c r="V23" i="1"/>
  <c r="J24" i="2"/>
  <c r="A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N17" i="1"/>
  <c r="AO24" i="1" s="1"/>
  <c r="AM17" i="1"/>
  <c r="AL17" i="1"/>
  <c r="AK17" i="1"/>
  <c r="AJ17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AM18" i="1"/>
  <c r="AL18" i="1"/>
  <c r="W18" i="1"/>
  <c r="V18" i="1"/>
  <c r="U18" i="1"/>
  <c r="T18" i="1"/>
  <c r="S18" i="1"/>
  <c r="R18" i="1"/>
  <c r="O18" i="1"/>
  <c r="P17" i="1"/>
  <c r="O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30" i="3"/>
  <c r="E30" i="3"/>
  <c r="AI17" i="1"/>
  <c r="AH17" i="1"/>
  <c r="AG17" i="1"/>
  <c r="AF17" i="1"/>
  <c r="N10" i="1" l="1"/>
  <c r="AN10" i="1"/>
  <c r="C7" i="1"/>
  <c r="AK22" i="1"/>
  <c r="AJ22" i="1"/>
  <c r="AI22" i="1"/>
  <c r="AL23" i="1" s="1"/>
  <c r="AH22" i="1"/>
  <c r="AG22" i="1"/>
  <c r="AF22" i="1"/>
  <c r="AE22" i="1"/>
  <c r="AD22" i="1"/>
  <c r="AC22" i="1"/>
  <c r="AB22" i="1"/>
  <c r="AA22" i="1"/>
  <c r="Z22" i="1"/>
  <c r="Y22" i="1"/>
  <c r="X22" i="1"/>
  <c r="AG18" i="1"/>
  <c r="AF18" i="1"/>
  <c r="AE18" i="1"/>
  <c r="AD18" i="1"/>
  <c r="AC18" i="1"/>
  <c r="AB18" i="1"/>
  <c r="AA18" i="1"/>
  <c r="Z18" i="1"/>
  <c r="Y18" i="1"/>
  <c r="X18" i="1"/>
  <c r="Q17" i="1"/>
  <c r="R17" i="1"/>
  <c r="W17" i="1"/>
  <c r="X17" i="1"/>
  <c r="Y17" i="1"/>
  <c r="Z17" i="1"/>
  <c r="AA17" i="1"/>
  <c r="AB17" i="1"/>
  <c r="AC17" i="1"/>
  <c r="AD17" i="1"/>
  <c r="AE17" i="1"/>
  <c r="F26" i="3"/>
  <c r="AM23" i="1" l="1"/>
  <c r="Y23" i="1"/>
  <c r="X23" i="1"/>
  <c r="B7" i="1"/>
  <c r="R2" i="1" s="1"/>
  <c r="R44" i="2"/>
  <c r="R43" i="2"/>
  <c r="R42" i="2"/>
  <c r="R41" i="2"/>
  <c r="R39" i="2"/>
  <c r="R38" i="2"/>
  <c r="R37" i="2"/>
  <c r="R36" i="2"/>
  <c r="R35" i="2"/>
  <c r="R34" i="2"/>
  <c r="R33" i="2"/>
  <c r="R32" i="2"/>
  <c r="Q2" i="1" l="1"/>
  <c r="R3" i="1"/>
  <c r="Q3" i="1"/>
  <c r="H26" i="3"/>
  <c r="S2" i="1" l="1"/>
  <c r="T2" i="1" s="1"/>
  <c r="S3" i="1"/>
  <c r="T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AC23" i="1"/>
  <c r="AB23" i="1"/>
  <c r="AH23" i="1"/>
  <c r="AA23" i="1"/>
  <c r="Z23" i="1"/>
  <c r="AI23" i="1"/>
  <c r="AE23" i="1"/>
  <c r="AG23" i="1"/>
  <c r="AD23" i="1"/>
  <c r="AF23" i="1"/>
  <c r="AK23" i="1"/>
  <c r="AJ23" i="1"/>
  <c r="S4" i="1" l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<sst xmlns="http://schemas.openxmlformats.org/spreadsheetml/2006/main" count="331" uniqueCount="176">
  <si>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</si>
  <si>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</si>
  <si>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</si>
  <si>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</si>
  <si>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</si>
  <si>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</si>
  <si>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</si>
  <si>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</si>
  <si>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</si>
  <si>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</si>
  <si>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</si>
  <si>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</si>
  <si>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</si>
  <si>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</si>
  <si>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</si>
  <si>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</si>
  <si>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</si>
  <si>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</si>
  <si>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</si>
  <si>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</si>
  <si>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</si>
  <si>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</si>
  <si>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</si>
  <si>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</si>
  <si>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</si>
  <si>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</si>
  <si>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</si>
  <si>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</si>
  <si>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</si>
  <si>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</si>
  <si>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</si>
  <si>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</si>
  <si>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</si>
  <si>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</si>
  <si>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</si>
  <si>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</si>
  <si>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</si>
  <si>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</si>
  <si>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</si>
  <si>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</si>
  <si>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</si>
  <si>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</si>
  <si>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</si>
  <si>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</si>
  <si>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</si>
  <si>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</si>
  <si>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</si>
  <si>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</si>
  <si>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</si>
  <si>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</si>
  <si>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</si>
  <si>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</si>
  <si>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</si>
  <si>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</si>
  <si>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</si>
  <si>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</si>
  <si>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</si>
  <si>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</si>
  <si>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</si>
  <si>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</si>
  <si>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</si>
  <si>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</si>
  <si>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</si>
  <si>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</si>
  <si>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</si>
  <si>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</si>
  <si>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</si>
  <si>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</si>
  <si>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</si>
  <si>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</si>
  <si>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</si>
  <si>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</si>
  <si>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</si>
  <si>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</si>
  <si>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</si>
  <si>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</si>
  <si>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</si>
  <si>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</si>
  <si>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</si>
  <si>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</si>
  <si>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</si>
  <si>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</si>
  <si>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</si>
  <si>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</si>
  <si>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</si>
  <si>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</si>
  <si>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</si>
  <si>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</si>
  <si>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</si>
  <si>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</si>
  <si>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</si>
  <si>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</si>
  <si>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</si>
  <si>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</si>
  <si>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</si>
  <si>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</si>
  <si>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</si>
  <si>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</si>
  <si>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</si>
  <si>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</si>
  <si>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</si>
  <si>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</si>
  <si>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</si>
  <si>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</si>
  <si>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</si>
  <si>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</si>
  <si>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</si>
  <si>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</si>
  <si>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</si>
  <si>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</si>
  <si>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</si>
  <si>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</si>
  <si>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</si>
  <si>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</si>
  <si>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</si>
  <si>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</si>
  <si>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</si>
  <si>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</si>
  <si>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</si>
  <si>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</si>
  <si>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</si>
  <si>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</si>
  <si>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</si>
  <si>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</si>
  <si>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</si>
  <si>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</si>
  <si>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</si>
  <si>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</si>
  <si>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</si>
  <si>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</si>
  <si>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</si>
  <si>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</si>
  <si>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</si>
  <si>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</si>
  <si>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</si>
  <si>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</si>
  <si>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</si>
  <si>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</si>
  <si>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</si>
  <si>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</si>
  <si>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</si>
  <si>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</si>
  <si>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</si>
  <si>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</si>
  <si>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</si>
  <si>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</si>
  <si>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</si>
  <si>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</si>
  <si>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</si>
  <si>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</si>
  <si>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</si>
  <si>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</si>
  <si>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</si>
  <si>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</si>
  <si>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</si>
  <si>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</si>
  <si>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</si>
  <si>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</si>
  <si>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</si>
  <si>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</si>
  <si>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</si>
  <si>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</si>
  <si>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</si>
  <si>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</si>
  <si>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</si>
  <si>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</si>
  <si>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</si>
  <si>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</si>
  <si>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</si>
  <si>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</si>
  <si>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If this value is unsatisfactory, use confidence interval.</t>
  </si>
  <si>
    <t>SYK_HIP</t>
  </si>
  <si>
    <t>HIP</t>
  </si>
  <si>
    <t>SS_NO_LR RM Q3</t>
  </si>
  <si>
    <t>SS_NO_LR RM Q23</t>
  </si>
  <si>
    <t>SS_NO_LR RMQ3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</si>
</sst>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10" borderId="0" xfId="0" applyNumberFormat="1" applyFill="1" applyAlignment="1"/>
    <xf numFmtId="164" fontId="0" fillId="9" borderId="0" xfId="0" applyNumberFormat="1" applyFill="1" applyAlignment="1"/>
    <xf numFmtId="164" fontId="0" fillId="8" borderId="0" xfId="0" applyNumberFormat="1" applyFill="1" applyAlignment="1"/>
    <xf numFmtId="164" fontId="0" fillId="16" borderId="0" xfId="0" applyNumberFormat="1" applyFill="1" applyAlignment="1"/>
    <xf numFmtId="164" fontId="0" fillId="2" borderId="0" xfId="0" applyNumberFormat="1" applyFill="1" applyAlignment="1"/>
    <xf numFmtId="164" fontId="0" fillId="12" borderId="0" xfId="0" applyNumberFormat="1" applyFill="1" applyAlignment="1"/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P29"/>
  <sheetViews>
    <sheetView topLeftCell="G1"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5" width="17.85546875" customWidth="1"/>
    <col min="6" max="39" width="10.7109375" customWidth="1"/>
    <col min="40" max="40" width="17.85546875" customWidth="1"/>
    <col min="41" max="42" width="10.7109375" customWidth="1"/>
  </cols>
  <sheetData>
    <row r="1" spans="1:41" x14ac:dyDescent="0.2">
      <c r="A1" s="120" t="s">
        <v>171</v>
      </c>
      <c r="B1" s="121"/>
      <c r="C1" s="122"/>
      <c r="O1" s="129" t="s">
        <v>35</v>
      </c>
      <c r="P1" s="130"/>
      <c r="Q1" s="61" t="s">
        <v>31</v>
      </c>
      <c r="R1" s="61" t="s">
        <v>32</v>
      </c>
      <c r="S1" s="4" t="s">
        <v>39</v>
      </c>
      <c r="T1" s="131" t="s">
        <v>41</v>
      </c>
      <c r="U1" s="132"/>
    </row>
    <row r="2" spans="1:41" x14ac:dyDescent="0.2">
      <c r="A2" s="123"/>
      <c r="B2" s="124"/>
      <c r="C2" s="125"/>
      <c r="O2" s="59" t="s">
        <v>37</v>
      </c>
      <c r="P2" s="60"/>
      <c r="Q2" s="62">
        <f>$B$7*($AO$25-2*$AO$26)</f>
        <v>198.6892884211619</v>
      </c>
      <c r="R2" s="62">
        <f>$B$7*($AO$25+2*$AO$26)</f>
        <v>220.38735045028514</v>
      </c>
      <c r="S2" s="64">
        <f>AVERAGE(Q2:R2)</f>
        <v>209.53831943572351</v>
      </c>
      <c r="T2" s="133">
        <f>$S$2/AJ14-1</f>
        <v>-5.6558669807638351E-2</v>
      </c>
      <c r="U2" s="134"/>
    </row>
    <row r="3" spans="1:41" x14ac:dyDescent="0.2">
      <c r="A3" s="126"/>
      <c r="B3" s="127"/>
      <c r="C3" s="128"/>
      <c r="O3" s="45" t="s">
        <v>38</v>
      </c>
      <c r="P3" s="19"/>
      <c r="Q3" s="63">
        <f>$C$7*($AO$25-2*$AO$26)</f>
        <v>200.51212592961295</v>
      </c>
      <c r="R3" s="63">
        <f>$C$7*($AO$25+2*$AO$26)</f>
        <v>222.40925274799417</v>
      </c>
      <c r="S3" s="65">
        <f>AVERAGE(Q3:R3)</f>
        <v>211.46068933880355</v>
      </c>
      <c r="T3" s="135">
        <f>$S$3/AJ15-1</f>
        <v>-5.1745787718369796E-2</v>
      </c>
      <c r="U3" s="136"/>
    </row>
    <row r="4" spans="1:41" x14ac:dyDescent="0.2">
      <c r="A4" s="50"/>
      <c r="B4" s="50"/>
      <c r="C4" s="50"/>
      <c r="R4" s="4" t="s">
        <v>40</v>
      </c>
      <c r="S4" s="65">
        <f>AVERAGE(S2:S3)</f>
        <v>210.49950438726353</v>
      </c>
      <c r="T4" s="135">
        <f>$S$4/AJ15-1</f>
        <v>-5.6056034137831667E-2</v>
      </c>
      <c r="U4" s="136"/>
    </row>
    <row r="5" spans="1:41" x14ac:dyDescent="0.2">
      <c r="A5" s="58" t="s">
        <v>34</v>
      </c>
      <c r="B5" s="48" t="s">
        <v>31</v>
      </c>
      <c r="C5" s="49" t="s">
        <v>32</v>
      </c>
      <c r="H5" s="86"/>
      <c r="I5" s="86"/>
    </row>
    <row r="6" spans="1:41" ht="15.75" x14ac:dyDescent="0.25">
      <c r="A6" s="52" t="s">
        <v>33</v>
      </c>
      <c r="B6" s="56">
        <v>16223.560000000001</v>
      </c>
      <c r="C6" s="57">
        <v>16372.400000000001</v>
      </c>
    </row>
    <row r="7" spans="1:41" ht="14.25" x14ac:dyDescent="0.2">
      <c r="A7" s="53" t="s">
        <v>36</v>
      </c>
      <c r="B7" s="54">
        <f>B6*$AO$24</f>
        <v>854.22594642478202</v>
      </c>
      <c r="C7" s="55">
        <f>C6*$AO$24</f>
        <v>862.06288171308279</v>
      </c>
    </row>
    <row r="8" spans="1:41" x14ac:dyDescent="0.2">
      <c r="J8" s="50"/>
      <c r="K8" s="50"/>
      <c r="L8" s="50"/>
    </row>
    <row r="9" spans="1:41" x14ac:dyDescent="0.2">
      <c r="J9" s="50"/>
      <c r="K9" s="50"/>
      <c r="L9" s="50"/>
    </row>
    <row r="10" spans="1:41" x14ac:dyDescent="0.2">
      <c r="L10" s="119" t="s">
        <v>15</v>
      </c>
      <c r="M10" s="119"/>
      <c r="N10" s="35">
        <f>AVERAGE(F13:AN13)</f>
        <v>1.032852785875388</v>
      </c>
      <c r="AK10" s="119" t="s">
        <v>16</v>
      </c>
      <c r="AL10" s="119"/>
      <c r="AM10" s="119"/>
      <c r="AN10" s="79">
        <f>AVERAGE(AI13:AN13)</f>
        <v>1.0149914422366519</v>
      </c>
    </row>
    <row r="11" spans="1:41" x14ac:dyDescent="0.2">
      <c r="A11" s="51" t="s">
        <v>6</v>
      </c>
      <c r="B11" s="164">
        <v>2012</v>
      </c>
      <c r="C11" s="165"/>
      <c r="D11" s="165"/>
      <c r="E11" s="166"/>
      <c r="F11" s="167">
        <v>2013</v>
      </c>
      <c r="G11" s="168"/>
      <c r="H11" s="168"/>
      <c r="I11" s="169"/>
      <c r="J11" s="145">
        <v>2014</v>
      </c>
      <c r="K11" s="145"/>
      <c r="L11" s="145"/>
      <c r="M11" s="146"/>
      <c r="N11" s="147">
        <v>2015</v>
      </c>
      <c r="O11" s="148"/>
      <c r="P11" s="148"/>
      <c r="Q11" s="149"/>
      <c r="R11" s="147">
        <v>2016</v>
      </c>
      <c r="S11" s="148"/>
      <c r="T11" s="148"/>
      <c r="U11" s="149"/>
      <c r="V11" s="150">
        <v>2017</v>
      </c>
      <c r="W11" s="151"/>
      <c r="X11" s="151"/>
      <c r="Y11" s="152"/>
      <c r="Z11" s="160">
        <v>2018</v>
      </c>
      <c r="AA11" s="161"/>
      <c r="AB11" s="161"/>
      <c r="AC11" s="162"/>
      <c r="AD11" s="153">
        <v>2019</v>
      </c>
      <c r="AE11" s="154"/>
      <c r="AF11" s="154"/>
      <c r="AG11" s="155"/>
      <c r="AH11" s="156">
        <v>2020</v>
      </c>
      <c r="AI11" s="145"/>
      <c r="AJ11" s="145"/>
      <c r="AK11" s="146"/>
      <c r="AL11" s="147">
        <v>2021</v>
      </c>
      <c r="AM11" s="148"/>
      <c r="AN11" s="148"/>
      <c r="AO11" s="149"/>
    </row>
    <row r="12" spans="1:41" x14ac:dyDescent="0.2">
      <c r="A12" s="14" t="s">
        <v>19</v>
      </c>
      <c r="B12" s="106" t="s">
        <v>20</v>
      </c>
      <c r="C12" s="106" t="s">
        <v>3</v>
      </c>
      <c r="D12" s="106" t="s">
        <v>4</v>
      </c>
      <c r="E12" s="109" t="s">
        <v>5</v>
      </c>
      <c r="F12" s="80" t="s">
        <v>20</v>
      </c>
      <c r="G12" s="81" t="s">
        <v>3</v>
      </c>
      <c r="H12" s="81" t="s">
        <v>4</v>
      </c>
      <c r="I12" s="82" t="s">
        <v>5</v>
      </c>
      <c r="J12" s="20" t="s">
        <v>20</v>
      </c>
      <c r="K12" s="20" t="s">
        <v>3</v>
      </c>
      <c r="L12" s="20" t="s">
        <v>4</v>
      </c>
      <c r="M12" s="20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1" t="s">
        <v>20</v>
      </c>
      <c r="S12" s="22" t="s">
        <v>3</v>
      </c>
      <c r="T12" s="22" t="s">
        <v>4</v>
      </c>
      <c r="U12" s="22" t="s">
        <v>5</v>
      </c>
      <c r="V12" s="23" t="s">
        <v>20</v>
      </c>
      <c r="W12" s="24" t="s">
        <v>3</v>
      </c>
      <c r="X12" s="24" t="s">
        <v>4</v>
      </c>
      <c r="Y12" s="24" t="s">
        <v>5</v>
      </c>
      <c r="Z12" s="25" t="s">
        <v>20</v>
      </c>
      <c r="AA12" s="26" t="s">
        <v>3</v>
      </c>
      <c r="AB12" s="26" t="s">
        <v>4</v>
      </c>
      <c r="AC12" s="26" t="s">
        <v>5</v>
      </c>
      <c r="AD12" s="27" t="s">
        <v>20</v>
      </c>
      <c r="AE12" s="28" t="s">
        <v>3</v>
      </c>
      <c r="AF12" s="28" t="s">
        <v>4</v>
      </c>
      <c r="AG12" s="28" t="s">
        <v>5</v>
      </c>
      <c r="AH12" s="29" t="s">
        <v>20</v>
      </c>
      <c r="AI12" s="20" t="s">
        <v>3</v>
      </c>
      <c r="AJ12" s="20" t="s">
        <v>4</v>
      </c>
      <c r="AK12" s="20" t="s">
        <v>5</v>
      </c>
      <c r="AL12" s="37" t="s">
        <v>20</v>
      </c>
      <c r="AM12" s="38" t="s">
        <v>3</v>
      </c>
      <c r="AN12" s="39" t="s">
        <v>21</v>
      </c>
      <c r="AO12" s="30" t="s">
        <v>22</v>
      </c>
    </row>
    <row r="13" spans="1:41" x14ac:dyDescent="0.2">
      <c r="A13" s="34" t="s">
        <v>2</v>
      </c>
      <c r="F13" s="85">
        <f t="shared" ref="F13" si="0">F15/B15</f>
        <v>1.0407918416316737</v>
      </c>
      <c r="G13" s="85">
        <f t="shared" ref="G13" si="1">G15/C15</f>
        <v>1.0568862275449102</v>
      </c>
      <c r="H13" s="85">
        <f t="shared" ref="H13" si="2">H15/D15</f>
        <v>1.0957178841309823</v>
      </c>
      <c r="I13" s="85">
        <f t="shared" ref="I13" si="3">I15/E15</f>
        <v>1.093437152391546</v>
      </c>
      <c r="J13" s="85">
        <f t="shared" ref="J13:M13" si="4">J15/F15</f>
        <v>1.0472622478386167</v>
      </c>
      <c r="K13" s="85">
        <f t="shared" si="4"/>
        <v>1.0606232294617564</v>
      </c>
      <c r="L13" s="85">
        <f t="shared" si="4"/>
        <v>1.0701149425287355</v>
      </c>
      <c r="M13" s="85">
        <f t="shared" si="4"/>
        <v>1.0335707019328586</v>
      </c>
      <c r="N13" s="85">
        <f>N15/J15</f>
        <v>1.0610897083104018</v>
      </c>
      <c r="O13" s="85">
        <f t="shared" ref="O13:AM13" si="5">O15/K15</f>
        <v>1.0571581196581197</v>
      </c>
      <c r="P13" s="85">
        <f t="shared" si="5"/>
        <v>1.0558539205155746</v>
      </c>
      <c r="Q13" s="85">
        <f t="shared" si="5"/>
        <v>1.0570866141732285</v>
      </c>
      <c r="R13" s="85">
        <f t="shared" si="5"/>
        <v>1.0446058091286308</v>
      </c>
      <c r="S13" s="85">
        <f t="shared" si="5"/>
        <v>1.0101061141990904</v>
      </c>
      <c r="T13" s="85">
        <f t="shared" si="5"/>
        <v>0.99796541200406919</v>
      </c>
      <c r="U13" s="85">
        <f t="shared" si="5"/>
        <v>1.0004655493482308</v>
      </c>
      <c r="V13" s="85">
        <f t="shared" si="5"/>
        <v>1.012909632571996</v>
      </c>
      <c r="W13" s="85">
        <f t="shared" si="5"/>
        <v>1.0155077538769384</v>
      </c>
      <c r="X13" s="85">
        <f t="shared" si="5"/>
        <v>0.98878695208970446</v>
      </c>
      <c r="Y13" s="85">
        <f t="shared" si="5"/>
        <v>1.0190786412284782</v>
      </c>
      <c r="Z13" s="85">
        <f t="shared" si="5"/>
        <v>1.0049019607843137</v>
      </c>
      <c r="AA13" s="85">
        <f t="shared" si="5"/>
        <v>1.0197044334975369</v>
      </c>
      <c r="AB13" s="85">
        <f t="shared" si="5"/>
        <v>1.0206185567010309</v>
      </c>
      <c r="AC13" s="85">
        <f t="shared" si="5"/>
        <v>1.0410958904109588</v>
      </c>
      <c r="AD13" s="85">
        <f t="shared" si="5"/>
        <v>1.0390243902439025</v>
      </c>
      <c r="AE13" s="85">
        <f t="shared" si="5"/>
        <v>1.0579710144927537</v>
      </c>
      <c r="AF13" s="85">
        <f t="shared" si="5"/>
        <v>1.0656565656565657</v>
      </c>
      <c r="AG13" s="85">
        <f t="shared" si="5"/>
        <v>1.0482456140350878</v>
      </c>
      <c r="AH13" s="85">
        <f t="shared" si="5"/>
        <v>0.94366197183098588</v>
      </c>
      <c r="AI13" s="85">
        <f t="shared" si="5"/>
        <v>0.63926940639269403</v>
      </c>
      <c r="AJ13" s="85">
        <f t="shared" si="5"/>
        <v>1.0568720379146919</v>
      </c>
      <c r="AK13" s="85">
        <f t="shared" si="5"/>
        <v>0.89121338912133896</v>
      </c>
      <c r="AL13" s="85">
        <f t="shared" si="5"/>
        <v>0.92537313432835822</v>
      </c>
      <c r="AM13" s="85">
        <f t="shared" si="5"/>
        <v>1.5785714285714285</v>
      </c>
      <c r="AN13" s="85">
        <f>AN14/AJ14</f>
        <v>0.9986492570914004</v>
      </c>
      <c r="AO13" s="31"/>
    </row>
    <row r="14" spans="1:41" x14ac:dyDescent="0.2">
      <c r="A14" s="15" t="s">
        <v>0</v>
      </c>
      <c r="B14" s="6">
        <v>166.7</v>
      </c>
      <c r="C14" s="6">
        <v>167</v>
      </c>
      <c r="D14" s="6">
        <v>158.80000000000001</v>
      </c>
      <c r="E14" s="6">
        <v>179.8</v>
      </c>
      <c r="F14" s="7">
        <v>173.5</v>
      </c>
      <c r="G14" s="7">
        <v>176.5</v>
      </c>
      <c r="H14" s="7">
        <v>174</v>
      </c>
      <c r="I14" s="7">
        <v>196.6</v>
      </c>
      <c r="J14" s="7">
        <v>181.7</v>
      </c>
      <c r="K14" s="7">
        <v>187.2</v>
      </c>
      <c r="L14" s="7">
        <v>186.2</v>
      </c>
      <c r="M14" s="7">
        <v>203.2</v>
      </c>
      <c r="N14" s="9">
        <v>192.8</v>
      </c>
      <c r="O14" s="6">
        <v>197.9</v>
      </c>
      <c r="P14" s="6">
        <v>196.6</v>
      </c>
      <c r="Q14" s="6">
        <v>214.8</v>
      </c>
      <c r="R14" s="9">
        <v>201.4</v>
      </c>
      <c r="S14" s="6">
        <v>199.9</v>
      </c>
      <c r="T14" s="6">
        <v>196.2</v>
      </c>
      <c r="U14" s="6">
        <v>214.9</v>
      </c>
      <c r="V14" s="9">
        <v>206</v>
      </c>
      <c r="W14" s="6">
        <v>203.3</v>
      </c>
      <c r="X14" s="6">
        <v>196.4</v>
      </c>
      <c r="Y14" s="6">
        <v>222.8</v>
      </c>
      <c r="Z14" s="9">
        <v>206.2</v>
      </c>
      <c r="AA14" s="6">
        <v>208.3</v>
      </c>
      <c r="AB14" s="6">
        <v>198.4</v>
      </c>
      <c r="AC14" s="6">
        <v>230.4</v>
      </c>
      <c r="AD14" s="9">
        <v>213.4</v>
      </c>
      <c r="AE14" s="6">
        <v>218.9</v>
      </c>
      <c r="AF14" s="6">
        <v>211.3</v>
      </c>
      <c r="AG14" s="6">
        <v>241</v>
      </c>
      <c r="AH14" s="9">
        <v>201.3</v>
      </c>
      <c r="AI14" s="6">
        <v>140.1</v>
      </c>
      <c r="AJ14" s="6">
        <v>222.1</v>
      </c>
      <c r="AK14" s="6">
        <v>214.1</v>
      </c>
      <c r="AL14" s="6">
        <v>186.5</v>
      </c>
      <c r="AM14" s="6">
        <v>220.7</v>
      </c>
      <c r="AN14" s="108">
        <v>221.8</v>
      </c>
      <c r="AO14" s="108">
        <v>240.7</v>
      </c>
    </row>
    <row r="15" spans="1:41" x14ac:dyDescent="0.2">
      <c r="A15" s="15" t="s">
        <v>1</v>
      </c>
      <c r="B15" s="6">
        <v>166.7</v>
      </c>
      <c r="C15" s="6">
        <v>167</v>
      </c>
      <c r="D15" s="6">
        <v>158.80000000000001</v>
      </c>
      <c r="E15" s="6">
        <v>179.8</v>
      </c>
      <c r="F15" s="6">
        <v>173.5</v>
      </c>
      <c r="G15" s="6">
        <v>176.5</v>
      </c>
      <c r="H15" s="6">
        <v>174</v>
      </c>
      <c r="I15" s="6">
        <v>196.6</v>
      </c>
      <c r="J15" s="6">
        <v>181.7</v>
      </c>
      <c r="K15" s="6">
        <v>187.2</v>
      </c>
      <c r="L15" s="6">
        <v>186.2</v>
      </c>
      <c r="M15" s="6">
        <v>203.2</v>
      </c>
      <c r="N15" s="9">
        <v>192.8</v>
      </c>
      <c r="O15" s="6">
        <v>197.9</v>
      </c>
      <c r="P15" s="6">
        <v>196.6</v>
      </c>
      <c r="Q15" s="6">
        <v>214.8</v>
      </c>
      <c r="R15" s="9">
        <v>201.4</v>
      </c>
      <c r="S15" s="6">
        <v>199.9</v>
      </c>
      <c r="T15" s="6">
        <v>196.2</v>
      </c>
      <c r="U15" s="6">
        <v>214.9</v>
      </c>
      <c r="V15" s="9">
        <v>204</v>
      </c>
      <c r="W15" s="6">
        <v>203</v>
      </c>
      <c r="X15" s="6">
        <v>194</v>
      </c>
      <c r="Y15" s="6">
        <v>219</v>
      </c>
      <c r="Z15" s="9">
        <v>205</v>
      </c>
      <c r="AA15" s="6">
        <v>207</v>
      </c>
      <c r="AB15" s="6">
        <v>198</v>
      </c>
      <c r="AC15" s="6">
        <v>228</v>
      </c>
      <c r="AD15" s="9">
        <v>213</v>
      </c>
      <c r="AE15" s="6">
        <v>219</v>
      </c>
      <c r="AF15" s="6">
        <v>211</v>
      </c>
      <c r="AG15" s="6">
        <v>239</v>
      </c>
      <c r="AH15" s="9">
        <v>201</v>
      </c>
      <c r="AI15" s="6">
        <v>140</v>
      </c>
      <c r="AJ15" s="6">
        <v>223</v>
      </c>
      <c r="AK15" s="6">
        <v>213</v>
      </c>
      <c r="AL15" s="9">
        <v>186</v>
      </c>
      <c r="AM15" s="6">
        <v>221</v>
      </c>
      <c r="AN15" s="9"/>
      <c r="AO15" s="10"/>
    </row>
    <row r="16" spans="1:41" x14ac:dyDescent="0.2">
      <c r="A16" s="15" t="s">
        <v>157</v>
      </c>
      <c r="B16" s="9">
        <v>2161</v>
      </c>
      <c r="C16" s="9">
        <v>2106</v>
      </c>
      <c r="D16" s="9">
        <v>2052</v>
      </c>
      <c r="E16" s="9">
        <v>2337</v>
      </c>
      <c r="F16" s="9">
        <v>2190</v>
      </c>
      <c r="G16" s="6">
        <v>2212</v>
      </c>
      <c r="H16" s="6">
        <v>2151</v>
      </c>
      <c r="I16" s="10">
        <v>2468</v>
      </c>
      <c r="J16" s="9">
        <v>2305</v>
      </c>
      <c r="K16" s="6">
        <v>2363</v>
      </c>
      <c r="L16" s="6">
        <v>2389</v>
      </c>
      <c r="M16" s="10">
        <v>2618</v>
      </c>
      <c r="N16" s="9">
        <v>2379</v>
      </c>
      <c r="O16" s="6">
        <v>2432</v>
      </c>
      <c r="P16" s="6">
        <v>2420</v>
      </c>
      <c r="Q16" s="10">
        <v>2715</v>
      </c>
      <c r="R16" s="9">
        <v>2495</v>
      </c>
      <c r="S16" s="6">
        <v>2840</v>
      </c>
      <c r="T16" s="6">
        <v>2833</v>
      </c>
      <c r="U16" s="10">
        <v>3157</v>
      </c>
      <c r="V16" s="9">
        <v>2955</v>
      </c>
      <c r="W16" s="6">
        <v>3012</v>
      </c>
      <c r="X16" s="6">
        <v>3006</v>
      </c>
      <c r="Y16" s="10">
        <v>3471</v>
      </c>
      <c r="Z16" s="9">
        <v>3241</v>
      </c>
      <c r="AA16" s="6">
        <v>3322</v>
      </c>
      <c r="AB16" s="6">
        <v>3242</v>
      </c>
      <c r="AC16" s="10">
        <v>3796</v>
      </c>
      <c r="AD16" s="9">
        <v>3516</v>
      </c>
      <c r="AE16" s="6">
        <v>3650</v>
      </c>
      <c r="AF16" s="6">
        <v>3587</v>
      </c>
      <c r="AG16" s="10">
        <v>4131</v>
      </c>
      <c r="AH16" s="9">
        <v>3588</v>
      </c>
      <c r="AI16" s="6">
        <v>2764</v>
      </c>
      <c r="AJ16" s="6">
        <v>3737</v>
      </c>
      <c r="AK16" s="10">
        <v>4262</v>
      </c>
      <c r="AL16" s="9">
        <v>3953</v>
      </c>
      <c r="AM16">
        <v>4294</v>
      </c>
      <c r="AN16" s="107">
        <v>4231.2</v>
      </c>
      <c r="AO16" s="10"/>
    </row>
    <row r="17" spans="1:42" x14ac:dyDescent="0.2">
      <c r="A17" s="87" t="s">
        <v>18</v>
      </c>
      <c r="B17" s="88">
        <f t="shared" ref="B17:E17" si="6">B15/B16</f>
        <v>7.7140212864414623E-2</v>
      </c>
      <c r="C17" s="88">
        <f t="shared" si="6"/>
        <v>7.9297245963912633E-2</v>
      </c>
      <c r="D17" s="88">
        <f t="shared" si="6"/>
        <v>7.7387914230019506E-2</v>
      </c>
      <c r="E17" s="88">
        <f t="shared" si="6"/>
        <v>7.6936243046640998E-2</v>
      </c>
      <c r="F17" s="88">
        <f>F15/F16</f>
        <v>7.9223744292237441E-2</v>
      </c>
      <c r="G17" s="88">
        <f>G15/G16</f>
        <v>7.9792043399638343E-2</v>
      </c>
      <c r="H17" s="88">
        <f>H15/H16</f>
        <v>8.0892608089260812E-2</v>
      </c>
      <c r="I17" s="88">
        <f>I15/I16</f>
        <v>7.9659643435980546E-2</v>
      </c>
      <c r="J17" s="88">
        <f>J15/J16</f>
        <v>7.8828633405639906E-2</v>
      </c>
      <c r="K17" s="88">
        <f t="shared" ref="K17:P17" si="7">K15/K16</f>
        <v>7.9221328819297498E-2</v>
      </c>
      <c r="L17" s="88">
        <f t="shared" si="7"/>
        <v>7.7940560904143988E-2</v>
      </c>
      <c r="M17" s="88">
        <f t="shared" si="7"/>
        <v>7.7616501145912911E-2</v>
      </c>
      <c r="N17" s="88">
        <f t="shared" si="7"/>
        <v>8.1042454812946627E-2</v>
      </c>
      <c r="O17" s="88">
        <f t="shared" si="7"/>
        <v>8.1373355263157893E-2</v>
      </c>
      <c r="P17" s="88">
        <f t="shared" si="7"/>
        <v>8.1239669421487595E-2</v>
      </c>
      <c r="Q17" s="88">
        <f t="shared" ref="Q17:AE17" si="8">Q15/Q16</f>
        <v>7.9116022099447514E-2</v>
      </c>
      <c r="R17" s="88">
        <f t="shared" si="8"/>
        <v>8.0721442885771544E-2</v>
      </c>
      <c r="S17" s="88">
        <f>S15/S16</f>
        <v>7.038732394366197E-2</v>
      </c>
      <c r="T17" s="88">
        <f>T15/T16</f>
        <v>6.9255206494881746E-2</v>
      </c>
      <c r="U17" s="88">
        <f>U15/U16</f>
        <v>6.8070953436807094E-2</v>
      </c>
      <c r="V17" s="88">
        <f>V15/V16</f>
        <v>6.9035532994923862E-2</v>
      </c>
      <c r="W17" s="88">
        <f t="shared" si="8"/>
        <v>6.7397078353253648E-2</v>
      </c>
      <c r="X17" s="88">
        <f t="shared" si="8"/>
        <v>6.4537591483699266E-2</v>
      </c>
      <c r="Y17" s="88">
        <f t="shared" si="8"/>
        <v>6.3094209161624892E-2</v>
      </c>
      <c r="Z17" s="88">
        <f t="shared" si="8"/>
        <v>6.3252082690527608E-2</v>
      </c>
      <c r="AA17" s="88">
        <f t="shared" si="8"/>
        <v>6.2311860325105356E-2</v>
      </c>
      <c r="AB17" s="88">
        <f t="shared" si="8"/>
        <v>6.1073411474398522E-2</v>
      </c>
      <c r="AC17" s="88">
        <f t="shared" si="8"/>
        <v>6.0063224446786093E-2</v>
      </c>
      <c r="AD17" s="88">
        <f t="shared" si="8"/>
        <v>6.0580204778156996E-2</v>
      </c>
      <c r="AE17" s="88">
        <f t="shared" si="8"/>
        <v>0.06</v>
      </c>
      <c r="AF17" s="88">
        <f t="shared" ref="AF17:AI17" si="9">AF15/AF16</f>
        <v>5.8823529411764705E-2</v>
      </c>
      <c r="AG17" s="88">
        <f t="shared" si="9"/>
        <v>5.7855240861776812E-2</v>
      </c>
      <c r="AH17" s="88">
        <f t="shared" si="9"/>
        <v>5.6020066889632104E-2</v>
      </c>
      <c r="AI17" s="88">
        <f t="shared" si="9"/>
        <v>5.0651230101302458E-2</v>
      </c>
      <c r="AJ17" s="88">
        <f>AJ15/AJ16</f>
        <v>5.9673534921059673E-2</v>
      </c>
      <c r="AK17" s="88">
        <f>AK15/AK16</f>
        <v>4.9976536837165651E-2</v>
      </c>
      <c r="AL17" s="88">
        <f>AL15/AL16</f>
        <v>4.7052871237035165E-2</v>
      </c>
      <c r="AM17" s="88">
        <f>AM15/AM16</f>
        <v>5.1467163483931065E-2</v>
      </c>
      <c r="AN17" s="110">
        <f>AN14/AN16</f>
        <v>5.2420117224428062E-2</v>
      </c>
      <c r="AO17" s="89"/>
    </row>
    <row r="18" spans="1:42" x14ac:dyDescent="0.2">
      <c r="A18" s="87" t="s">
        <v>24</v>
      </c>
      <c r="B18" s="88">
        <f>B15/SUM(B15:E15)</f>
        <v>0.24795478209132826</v>
      </c>
      <c r="C18" s="88">
        <f>C15/SUM(B15:E15)</f>
        <v>0.2484010114532203</v>
      </c>
      <c r="D18" s="88">
        <f>D15/SUM(B15:E15)</f>
        <v>0.2362040755615053</v>
      </c>
      <c r="E18" s="90">
        <f>E15/SUM(B15:E15)</f>
        <v>0.26744013089394619</v>
      </c>
      <c r="F18" s="88">
        <f>F15/SUM(F15:I15)</f>
        <v>0.24077157923952261</v>
      </c>
      <c r="G18" s="88">
        <f>G15/SUM(F15:I15)</f>
        <v>0.24493477657507631</v>
      </c>
      <c r="H18" s="88">
        <f>H15/SUM(F15:I15)</f>
        <v>0.2414654454621149</v>
      </c>
      <c r="I18" s="90">
        <f>I15/SUM(F15:I15)</f>
        <v>0.27282819872328612</v>
      </c>
      <c r="J18" s="88">
        <f>J15/SUM(J15:M15)</f>
        <v>0.23961492812870896</v>
      </c>
      <c r="K18" s="88">
        <f>K15/SUM(J15:M15)</f>
        <v>0.24686799419754715</v>
      </c>
      <c r="L18" s="88">
        <f>L15/SUM(J15:M15)</f>
        <v>0.24554925491230384</v>
      </c>
      <c r="M18" s="90">
        <f>M15/SUM(J15:M15)</f>
        <v>0.26796782276144004</v>
      </c>
      <c r="N18" s="88">
        <f>N15/SUM(N15:Q15)</f>
        <v>0.24036903129285622</v>
      </c>
      <c r="O18" s="88">
        <f>O15/SUM(N15:Q15)</f>
        <v>0.2467273407305822</v>
      </c>
      <c r="P18" s="88">
        <f>P15/SUM(N15:Q15)</f>
        <v>0.24510659518763242</v>
      </c>
      <c r="Q18" s="90">
        <f>Q15/SUM(N15:Q15)</f>
        <v>0.26779703278892902</v>
      </c>
      <c r="R18" s="88">
        <f>R15/SUM(R15:U15)</f>
        <v>0.24790743476120139</v>
      </c>
      <c r="S18" s="88">
        <f>S15/SUM(R15:U15)</f>
        <v>0.24606105366814379</v>
      </c>
      <c r="T18" s="88">
        <f>T15/SUM(R15:U15)</f>
        <v>0.241506646971935</v>
      </c>
      <c r="U18" s="90">
        <f>U15/SUM(R15:U15)</f>
        <v>0.26452486459871988</v>
      </c>
      <c r="V18" s="88">
        <f>V15/SUM(V15:Y15)</f>
        <v>0.24878048780487805</v>
      </c>
      <c r="W18" s="88">
        <f>W15/SUM(V15:Y15)</f>
        <v>0.2475609756097561</v>
      </c>
      <c r="X18" s="88">
        <f>X15/SUM(V15:Y15)</f>
        <v>0.23658536585365852</v>
      </c>
      <c r="Y18" s="90">
        <f>Y15/SUM(V15:Y15)</f>
        <v>0.26707317073170733</v>
      </c>
      <c r="Z18" s="88">
        <f>Z15/SUM(Z15:AC15)</f>
        <v>0.24463007159904535</v>
      </c>
      <c r="AA18" s="88">
        <f>AA15/SUM(Z15:AC15)</f>
        <v>0.24701670644391407</v>
      </c>
      <c r="AB18" s="88">
        <f>AB15/SUM(Z15:AC15)</f>
        <v>0.23627684964200477</v>
      </c>
      <c r="AC18" s="90">
        <f>AC15/SUM(Z15:AC15)</f>
        <v>0.27207637231503579</v>
      </c>
      <c r="AD18" s="88">
        <f>AD15/SUM(AD15:AG15)</f>
        <v>0.24149659863945577</v>
      </c>
      <c r="AE18" s="88">
        <f>AE15/SUM(AD15:AG15)</f>
        <v>0.24829931972789115</v>
      </c>
      <c r="AF18" s="88">
        <f>AF15/SUM(AD15:AG15)</f>
        <v>0.23922902494331066</v>
      </c>
      <c r="AG18" s="90">
        <f>AG15/SUM(AD15:AG15)</f>
        <v>0.27097505668934241</v>
      </c>
      <c r="AH18" s="88"/>
      <c r="AI18" s="88"/>
      <c r="AJ18" s="88"/>
      <c r="AK18" s="90"/>
      <c r="AL18" s="88">
        <f>AL15/SUM(AL15:AM15,AN14:AO14)</f>
        <v>0.21391604370327774</v>
      </c>
      <c r="AM18" s="88">
        <f>AM15/SUM(AL15:AM15,AN14:AO14)</f>
        <v>0.25416906267970096</v>
      </c>
      <c r="AN18" s="88">
        <f>AN14/SUM(AL15:AM15,AN14:AO14)</f>
        <v>0.2550891316848764</v>
      </c>
      <c r="AO18" s="90">
        <f>AO14/SUM(AL15:AM15,AN14:AO14)</f>
        <v>0.27682576193214492</v>
      </c>
      <c r="AP18" s="3"/>
    </row>
    <row r="19" spans="1:42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>
        <v>175.3</v>
      </c>
      <c r="M19" s="12">
        <v>196.7</v>
      </c>
      <c r="N19" s="11">
        <v>184.3</v>
      </c>
      <c r="O19" s="12">
        <v>188.5</v>
      </c>
      <c r="P19" s="12">
        <v>192.6</v>
      </c>
      <c r="Q19" s="6">
        <v>209.2</v>
      </c>
      <c r="R19" s="9">
        <v>199.8</v>
      </c>
      <c r="S19" s="12">
        <v>205.1</v>
      </c>
      <c r="T19" s="12">
        <v>203.2</v>
      </c>
      <c r="U19" s="6">
        <v>217.5</v>
      </c>
      <c r="V19" s="83">
        <v>209.8</v>
      </c>
      <c r="W19" s="83">
        <v>203.8</v>
      </c>
      <c r="X19" s="83">
        <v>201.3</v>
      </c>
      <c r="Y19" s="83">
        <v>226.9</v>
      </c>
      <c r="Z19" s="83">
        <v>211</v>
      </c>
      <c r="AA19" s="63">
        <v>210.8</v>
      </c>
      <c r="AB19" s="63">
        <v>204.5</v>
      </c>
      <c r="AC19" s="63">
        <v>228.9</v>
      </c>
      <c r="AD19" s="83">
        <v>215.1</v>
      </c>
      <c r="AE19" s="63">
        <v>214.7</v>
      </c>
      <c r="AF19" s="63">
        <v>208.2</v>
      </c>
      <c r="AG19" s="63">
        <v>241.3</v>
      </c>
      <c r="AH19" s="83">
        <v>210.8</v>
      </c>
      <c r="AI19" s="63">
        <v>114.7</v>
      </c>
      <c r="AJ19" s="63">
        <v>194.5</v>
      </c>
      <c r="AK19" s="63">
        <v>248.5</v>
      </c>
      <c r="AL19" s="83">
        <v>201.2</v>
      </c>
      <c r="AM19" s="63">
        <v>221.4</v>
      </c>
      <c r="AN19" s="84"/>
      <c r="AO19" s="13"/>
    </row>
    <row r="20" spans="1:42" x14ac:dyDescent="0.2">
      <c r="J20" s="139" t="s">
        <v>7</v>
      </c>
      <c r="K20" s="157"/>
      <c r="L20" s="7">
        <f>IF(L15&gt;L19,1,0)</f>
        <v>1</v>
      </c>
      <c r="M20" s="7">
        <f t="shared" ref="M20:P20" si="10">IF(M15&gt;M19,1,0)</f>
        <v>1</v>
      </c>
      <c r="N20" s="7">
        <f t="shared" si="10"/>
        <v>1</v>
      </c>
      <c r="O20" s="7">
        <f t="shared" si="10"/>
        <v>1</v>
      </c>
      <c r="P20" s="7">
        <f t="shared" si="10"/>
        <v>1</v>
      </c>
      <c r="Q20" s="7">
        <f t="shared" ref="Q20:T20" si="11">IF(Q15&gt;Q19,1,0)</f>
        <v>1</v>
      </c>
      <c r="R20" s="7">
        <f t="shared" si="11"/>
        <v>1</v>
      </c>
      <c r="S20" s="7">
        <f t="shared" si="11"/>
        <v>0</v>
      </c>
      <c r="T20" s="7">
        <f t="shared" si="11"/>
        <v>0</v>
      </c>
      <c r="U20" s="7">
        <f t="shared" ref="U20:AM20" si="12">IF(U15&gt;U19,1,0)</f>
        <v>0</v>
      </c>
      <c r="V20" s="7">
        <f t="shared" si="12"/>
        <v>0</v>
      </c>
      <c r="W20" s="7">
        <f t="shared" si="12"/>
        <v>0</v>
      </c>
      <c r="X20" s="7">
        <f t="shared" si="12"/>
        <v>0</v>
      </c>
      <c r="Y20" s="7">
        <f t="shared" si="12"/>
        <v>0</v>
      </c>
      <c r="Z20" s="7">
        <f t="shared" si="12"/>
        <v>0</v>
      </c>
      <c r="AA20" s="7">
        <f t="shared" si="12"/>
        <v>0</v>
      </c>
      <c r="AB20" s="7">
        <f t="shared" si="12"/>
        <v>0</v>
      </c>
      <c r="AC20" s="7">
        <f t="shared" si="12"/>
        <v>0</v>
      </c>
      <c r="AD20" s="7">
        <f t="shared" si="12"/>
        <v>0</v>
      </c>
      <c r="AE20" s="7">
        <f t="shared" si="12"/>
        <v>1</v>
      </c>
      <c r="AF20" s="7">
        <f t="shared" si="12"/>
        <v>1</v>
      </c>
      <c r="AG20" s="7">
        <f t="shared" si="12"/>
        <v>0</v>
      </c>
      <c r="AH20" s="7">
        <f t="shared" si="12"/>
        <v>0</v>
      </c>
      <c r="AI20" s="7">
        <f t="shared" si="12"/>
        <v>1</v>
      </c>
      <c r="AJ20" s="7">
        <f t="shared" si="12"/>
        <v>1</v>
      </c>
      <c r="AK20" s="7">
        <f t="shared" si="12"/>
        <v>0</v>
      </c>
      <c r="AL20" s="7">
        <f>IF(AL15&gt;AL19,1,0)</f>
        <v>0</v>
      </c>
      <c r="AM20" s="8">
        <f t="shared" si="12"/>
        <v>0</v>
      </c>
      <c r="AN20" s="45" t="s">
        <v>8</v>
      </c>
      <c r="AO20" s="42">
        <f>AVERAGE(L20:AM20)</f>
        <v>0.39285714285714285</v>
      </c>
    </row>
    <row r="21" spans="1:42" x14ac:dyDescent="0.2">
      <c r="J21" s="158" t="s">
        <v>9</v>
      </c>
      <c r="K21" s="159"/>
      <c r="M21" s="6"/>
      <c r="N21" s="6"/>
      <c r="O21" s="6">
        <f>AVERAGE(L20:O20)</f>
        <v>1</v>
      </c>
      <c r="P21" s="6">
        <f t="shared" ref="P21" si="13">AVERAGE(M20:P20)</f>
        <v>1</v>
      </c>
      <c r="Q21" s="6">
        <f t="shared" ref="Q21" si="14">AVERAGE(N20:Q20)</f>
        <v>1</v>
      </c>
      <c r="R21" s="6">
        <f t="shared" ref="R21" si="15">AVERAGE(O20:R20)</f>
        <v>1</v>
      </c>
      <c r="S21" s="6">
        <f t="shared" ref="S21" si="16">AVERAGE(P20:S20)</f>
        <v>0.75</v>
      </c>
      <c r="T21" s="6">
        <f t="shared" ref="T21" si="17">AVERAGE(Q20:T20)</f>
        <v>0.5</v>
      </c>
      <c r="U21" s="6">
        <f t="shared" ref="U21" si="18">AVERAGE(R20:U20)</f>
        <v>0.25</v>
      </c>
      <c r="V21" s="6">
        <f t="shared" ref="V21" si="19">AVERAGE(S20:V20)</f>
        <v>0</v>
      </c>
      <c r="W21" s="6">
        <f t="shared" ref="W21" si="20">AVERAGE(T20:W20)</f>
        <v>0</v>
      </c>
      <c r="X21" s="6">
        <f t="shared" ref="X21:AM21" si="21">AVERAGE(U20:X20)</f>
        <v>0</v>
      </c>
      <c r="Y21" s="6">
        <f t="shared" si="21"/>
        <v>0</v>
      </c>
      <c r="Z21" s="6">
        <f t="shared" si="21"/>
        <v>0</v>
      </c>
      <c r="AA21" s="6">
        <f t="shared" si="21"/>
        <v>0</v>
      </c>
      <c r="AB21" s="6">
        <f t="shared" si="21"/>
        <v>0</v>
      </c>
      <c r="AC21" s="6">
        <f t="shared" si="21"/>
        <v>0</v>
      </c>
      <c r="AD21" s="6">
        <f t="shared" si="21"/>
        <v>0</v>
      </c>
      <c r="AE21" s="6">
        <f t="shared" si="21"/>
        <v>0.25</v>
      </c>
      <c r="AF21" s="6">
        <f t="shared" si="21"/>
        <v>0.5</v>
      </c>
      <c r="AG21" s="6">
        <f t="shared" si="21"/>
        <v>0.5</v>
      </c>
      <c r="AH21" s="6">
        <f t="shared" si="21"/>
        <v>0.5</v>
      </c>
      <c r="AI21" s="6">
        <f t="shared" si="21"/>
        <v>0.5</v>
      </c>
      <c r="AJ21" s="6">
        <f t="shared" si="21"/>
        <v>0.5</v>
      </c>
      <c r="AK21" s="6">
        <f t="shared" si="21"/>
        <v>0.5</v>
      </c>
      <c r="AL21" s="6">
        <f t="shared" si="21"/>
        <v>0.5</v>
      </c>
      <c r="AM21" s="10">
        <f t="shared" si="21"/>
        <v>0.25</v>
      </c>
      <c r="AN21" s="41" t="s">
        <v>10</v>
      </c>
      <c r="AO21" s="42">
        <f>AVERAGE(O21:AM21)</f>
        <v>0.38</v>
      </c>
    </row>
    <row r="22" spans="1:42" x14ac:dyDescent="0.2">
      <c r="J22" s="143" t="s">
        <v>11</v>
      </c>
      <c r="K22" s="144"/>
      <c r="L22" s="18">
        <f t="shared" ref="L22:P22" si="22">L15/L19-1</f>
        <v>6.2179121505989698E-2</v>
      </c>
      <c r="M22" s="18">
        <f t="shared" si="22"/>
        <v>3.304524656837815E-2</v>
      </c>
      <c r="N22" s="18">
        <f t="shared" si="22"/>
        <v>4.6120455778621894E-2</v>
      </c>
      <c r="O22" s="18">
        <f t="shared" si="22"/>
        <v>4.9867374005305054E-2</v>
      </c>
      <c r="P22" s="18">
        <f t="shared" si="22"/>
        <v>2.0768431983385183E-2</v>
      </c>
      <c r="Q22" s="18">
        <f t="shared" ref="Q22:T22" si="23">Q15/Q19-1</f>
        <v>2.6768642447418944E-2</v>
      </c>
      <c r="R22" s="18">
        <f>R15/R19-1</f>
        <v>8.0080080080080496E-3</v>
      </c>
      <c r="S22" s="18">
        <f t="shared" si="23"/>
        <v>-2.5353486104339296E-2</v>
      </c>
      <c r="T22" s="18">
        <f t="shared" si="23"/>
        <v>-3.4448818897637845E-2</v>
      </c>
      <c r="U22" s="18">
        <f t="shared" ref="U22:AM22" si="24">U15/U19-1</f>
        <v>-1.1954022988505675E-2</v>
      </c>
      <c r="V22" s="18">
        <f t="shared" si="24"/>
        <v>-2.764537654909438E-2</v>
      </c>
      <c r="W22" s="18">
        <f t="shared" si="24"/>
        <v>-3.9254170755643747E-3</v>
      </c>
      <c r="X22" s="18">
        <f t="shared" si="24"/>
        <v>-3.6264282165921591E-2</v>
      </c>
      <c r="Y22" s="18">
        <f t="shared" si="24"/>
        <v>-3.4817100044072347E-2</v>
      </c>
      <c r="Z22" s="18">
        <f t="shared" si="24"/>
        <v>-2.8436018957345932E-2</v>
      </c>
      <c r="AA22" s="18">
        <f t="shared" si="24"/>
        <v>-1.8026565464895672E-2</v>
      </c>
      <c r="AB22" s="18">
        <f t="shared" si="24"/>
        <v>-3.1784841075794601E-2</v>
      </c>
      <c r="AC22" s="18">
        <f t="shared" si="24"/>
        <v>-3.9318479685452878E-3</v>
      </c>
      <c r="AD22" s="18">
        <f t="shared" si="24"/>
        <v>-9.7629009762900676E-3</v>
      </c>
      <c r="AE22" s="18">
        <f t="shared" si="24"/>
        <v>2.0027945971122563E-2</v>
      </c>
      <c r="AF22" s="18">
        <f t="shared" si="24"/>
        <v>1.344860710854956E-2</v>
      </c>
      <c r="AG22" s="18">
        <f t="shared" si="24"/>
        <v>-9.5317032739329344E-3</v>
      </c>
      <c r="AH22" s="18">
        <f t="shared" si="24"/>
        <v>-4.6489563567362446E-2</v>
      </c>
      <c r="AI22" s="18">
        <f t="shared" si="24"/>
        <v>0.22057541412380122</v>
      </c>
      <c r="AJ22" s="18">
        <f t="shared" si="24"/>
        <v>0.14652956298200515</v>
      </c>
      <c r="AK22" s="18">
        <f t="shared" si="24"/>
        <v>-0.1428571428571429</v>
      </c>
      <c r="AL22" s="18">
        <f t="shared" si="24"/>
        <v>-7.5546719681908514E-2</v>
      </c>
      <c r="AM22" s="40">
        <f t="shared" si="24"/>
        <v>-1.8066847335139746E-3</v>
      </c>
      <c r="AN22" s="41" t="s">
        <v>13</v>
      </c>
      <c r="AO22" s="43">
        <f>MEDIAN(L22:AM22)</f>
        <v>-6.7317756212391111E-3</v>
      </c>
    </row>
    <row r="23" spans="1:42" x14ac:dyDescent="0.2">
      <c r="J23" s="158" t="s">
        <v>12</v>
      </c>
      <c r="K23" s="159"/>
      <c r="M23" s="32"/>
      <c r="N23" s="32"/>
      <c r="O23" s="32">
        <f t="shared" ref="O23" si="25">AVERAGE(L22:O22)</f>
        <v>4.7803049464573699E-2</v>
      </c>
      <c r="P23" s="32">
        <f t="shared" ref="P23" si="26">AVERAGE(M22:P22)</f>
        <v>3.745037708392257E-2</v>
      </c>
      <c r="Q23" s="32">
        <f t="shared" ref="Q23" si="27">AVERAGE(N22:Q22)</f>
        <v>3.5881226053682769E-2</v>
      </c>
      <c r="R23" s="32">
        <f t="shared" ref="R23" si="28">AVERAGE(O22:R22)</f>
        <v>2.6353114111029308E-2</v>
      </c>
      <c r="S23" s="32">
        <f t="shared" ref="S23" si="29">AVERAGE(P22:S22)</f>
        <v>7.5478990836182203E-3</v>
      </c>
      <c r="T23" s="32">
        <f t="shared" ref="T23" si="30">AVERAGE(Q22:T22)</f>
        <v>-6.2564136366375367E-3</v>
      </c>
      <c r="U23" s="32">
        <f t="shared" ref="U23" si="31">AVERAGE(R22:U22)</f>
        <v>-1.5937079995618691E-2</v>
      </c>
      <c r="V23" s="32">
        <f t="shared" ref="V23" si="32">AVERAGE(S22:V22)</f>
        <v>-2.4850426134894299E-2</v>
      </c>
      <c r="W23" s="32">
        <f t="shared" ref="W23" si="33">AVERAGE(T22:W22)</f>
        <v>-1.9493408877700569E-2</v>
      </c>
      <c r="X23" s="32">
        <f t="shared" ref="X23" si="34">AVERAGE(U22:X22)</f>
        <v>-1.9947274694771505E-2</v>
      </c>
      <c r="Y23" s="32">
        <f t="shared" ref="Y23" si="35">AVERAGE(V22:Y22)</f>
        <v>-2.5663043958663173E-2</v>
      </c>
      <c r="Z23" s="32">
        <f t="shared" ref="Z23:AM23" si="36">AVERAGE(W22:Z22)</f>
        <v>-2.5860704560726061E-2</v>
      </c>
      <c r="AA23" s="32">
        <f t="shared" si="36"/>
        <v>-2.9385991658058885E-2</v>
      </c>
      <c r="AB23" s="32">
        <f t="shared" si="36"/>
        <v>-2.8266131385527138E-2</v>
      </c>
      <c r="AC23" s="32">
        <f t="shared" si="36"/>
        <v>-2.0544818366645373E-2</v>
      </c>
      <c r="AD23" s="32">
        <f t="shared" si="36"/>
        <v>-1.5876538871381407E-2</v>
      </c>
      <c r="AE23" s="32">
        <f t="shared" si="36"/>
        <v>-6.3629110123768484E-3</v>
      </c>
      <c r="AF23" s="32">
        <f t="shared" si="36"/>
        <v>4.9454510337091917E-3</v>
      </c>
      <c r="AG23" s="32">
        <f t="shared" si="36"/>
        <v>3.5454872073622801E-3</v>
      </c>
      <c r="AH23" s="32">
        <f t="shared" si="36"/>
        <v>-5.6361784404058146E-3</v>
      </c>
      <c r="AI23" s="32">
        <f t="shared" si="36"/>
        <v>4.4500688597763849E-2</v>
      </c>
      <c r="AJ23" s="32">
        <f t="shared" si="36"/>
        <v>7.7770927566127745E-2</v>
      </c>
      <c r="AK23" s="32">
        <f t="shared" si="36"/>
        <v>4.4439567670325253E-2</v>
      </c>
      <c r="AL23" s="32">
        <f t="shared" si="36"/>
        <v>3.7175278641688736E-2</v>
      </c>
      <c r="AM23" s="33">
        <f t="shared" si="36"/>
        <v>-1.8420246072640062E-2</v>
      </c>
      <c r="AN23" s="19" t="s">
        <v>14</v>
      </c>
      <c r="AO23" s="33">
        <f>MEDIAN(O23:AM23)</f>
        <v>-6.2564136366375367E-3</v>
      </c>
    </row>
    <row r="24" spans="1:42" x14ac:dyDescent="0.2">
      <c r="J24" s="139" t="s">
        <v>25</v>
      </c>
      <c r="K24" s="157"/>
      <c r="L24" s="100">
        <f>AVERAGE(L22:R22,AE22:AF22,AI22:AJ22)</f>
        <v>5.8848982771144136E-2</v>
      </c>
      <c r="M24" s="139" t="s">
        <v>29</v>
      </c>
      <c r="N24" s="140"/>
      <c r="O24" s="46">
        <f>MEDIAN(L22:R22,AE22:AF22,AI22:AJ22)</f>
        <v>3.304524656837815E-2</v>
      </c>
      <c r="AJ24" s="3"/>
      <c r="AK24" s="170" t="s">
        <v>23</v>
      </c>
      <c r="AL24" s="171"/>
      <c r="AM24" s="171"/>
      <c r="AN24" s="172"/>
      <c r="AO24" s="44">
        <f>AVERAGE(AM17:AN17,AL17,AJ17)</f>
        <v>5.265342171661349E-2</v>
      </c>
    </row>
    <row r="25" spans="1:42" x14ac:dyDescent="0.2">
      <c r="J25" s="141" t="s">
        <v>26</v>
      </c>
      <c r="K25" s="163"/>
      <c r="L25" s="99">
        <f>AVERAGE(S22:AD22,AG22:AH22,AK22:AM22)</f>
        <v>-3.1916617198933406E-2</v>
      </c>
      <c r="M25" s="141" t="s">
        <v>30</v>
      </c>
      <c r="N25" s="142"/>
      <c r="O25" s="33">
        <f>MEDIAN(S22:AD22,AG22:AH22,AK22:AM22)</f>
        <v>-2.764537654909438E-2</v>
      </c>
      <c r="AK25" s="173" t="s">
        <v>27</v>
      </c>
      <c r="AL25" s="174"/>
      <c r="AM25" s="174"/>
      <c r="AN25" s="174"/>
      <c r="AO25" s="46">
        <f>AVERAGE(AN18,AF18,T18,P18,L18)</f>
        <v>0.24529613074001166</v>
      </c>
    </row>
    <row r="26" spans="1:42" x14ac:dyDescent="0.2">
      <c r="AK26" s="137" t="s">
        <v>28</v>
      </c>
      <c r="AL26" s="138"/>
      <c r="AM26" s="138"/>
      <c r="AN26" s="138"/>
      <c r="AO26" s="47">
        <f>_xlfn.STDEV.S(AN18,AF18,AB18,T18,H18,D18,P18,X18)</f>
        <v>6.3502115921252426E-3</v>
      </c>
    </row>
    <row r="29" spans="1:42" ht="18" customHeight="1" x14ac:dyDescent="0.2"/>
  </sheetData>
  <mergeCells count="29">
    <mergeCell ref="B11:E11"/>
    <mergeCell ref="F11:I11"/>
    <mergeCell ref="J23:K23"/>
    <mergeCell ref="AK24:AN24"/>
    <mergeCell ref="AK25:AN25"/>
    <mergeCell ref="AK26:AN26"/>
    <mergeCell ref="M24:N24"/>
    <mergeCell ref="M25:N25"/>
    <mergeCell ref="J22:K22"/>
    <mergeCell ref="J11:M11"/>
    <mergeCell ref="N11:Q11"/>
    <mergeCell ref="R11:U11"/>
    <mergeCell ref="V11:Y11"/>
    <mergeCell ref="AD11:AG11"/>
    <mergeCell ref="AH11:AK11"/>
    <mergeCell ref="AL11:AO11"/>
    <mergeCell ref="J20:K20"/>
    <mergeCell ref="J21:K21"/>
    <mergeCell ref="Z11:AC11"/>
    <mergeCell ref="J24:K24"/>
    <mergeCell ref="J25:K25"/>
    <mergeCell ref="AK10:AM10"/>
    <mergeCell ref="A1:C3"/>
    <mergeCell ref="O1:P1"/>
    <mergeCell ref="T1:U1"/>
    <mergeCell ref="T2:U2"/>
    <mergeCell ref="T3:U3"/>
    <mergeCell ref="T4:U4"/>
    <mergeCell ref="L10:M10"/>
  </mergeCells>
  <conditionalFormatting sqref="L20:AM20 AO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AM21 A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AM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M23:AM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O22:A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O20:AO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O20:AO21 AO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L22:AM22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M23:AM23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AO22:AO23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 AO24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topLeftCell="A4" zoomScale="85" zoomScaleNormal="85" workbookViewId="0">
      <selection activeCell="G23" sqref="G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7" t="s">
        <v>76</v>
      </c>
      <c r="B4" s="177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171</v>
      </c>
      <c r="B6" t="s">
        <v>172</v>
      </c>
      <c r="C6" t="s">
        <v>168</v>
      </c>
      <c r="D6">
        <v>20170720</v>
      </c>
      <c r="E6">
        <v>225.78798699999999</v>
      </c>
      <c r="F6">
        <v>225.50606099999999</v>
      </c>
      <c r="G6">
        <v>209.084022</v>
      </c>
      <c r="H6">
        <v>224.33170799999999</v>
      </c>
      <c r="I6">
        <v>177.473174</v>
      </c>
      <c r="J6">
        <v>221.17744449999998</v>
      </c>
      <c r="R6">
        <v>203.8</v>
      </c>
      <c r="S6">
        <v>203</v>
      </c>
      <c r="T6" s="92"/>
      <c r="U6" s="91"/>
    </row>
    <row r="7" spans="1:21" x14ac:dyDescent="0.2">
      <c r="A7" t="s">
        <v>171</v>
      </c>
      <c r="B7" t="s">
        <v>172</v>
      </c>
      <c r="C7" t="s">
        <v>169</v>
      </c>
      <c r="D7">
        <v>20171019</v>
      </c>
      <c r="E7">
        <v>213.81551400000001</v>
      </c>
      <c r="F7">
        <v>209.53308799999999</v>
      </c>
      <c r="G7">
        <v>197.573532</v>
      </c>
      <c r="H7">
        <v>210.70551399999999</v>
      </c>
      <c r="I7">
        <v>162.78078600000001</v>
      </c>
      <c r="J7">
        <v>207.90691200000001</v>
      </c>
      <c r="K7">
        <v>192.23586656981891</v>
      </c>
      <c r="L7">
        <v>188.62116909576102</v>
      </c>
      <c r="M7">
        <v>191.82444747499645</v>
      </c>
      <c r="N7">
        <v>190.66952114500015</v>
      </c>
      <c r="O7">
        <v>186.19433468857665</v>
      </c>
      <c r="P7">
        <v>190.82010478695085</v>
      </c>
      <c r="Q7">
        <v>190.06090729351732</v>
      </c>
      <c r="R7">
        <v>201.3</v>
      </c>
      <c r="S7">
        <v>194</v>
      </c>
      <c r="T7" s="92"/>
      <c r="U7" s="91"/>
    </row>
    <row r="8" spans="1:21" x14ac:dyDescent="0.2">
      <c r="A8" t="s">
        <v>171</v>
      </c>
      <c r="B8" t="s">
        <v>172</v>
      </c>
      <c r="C8" t="s">
        <v>167</v>
      </c>
      <c r="D8">
        <v>20180125</v>
      </c>
      <c r="E8">
        <v>220.97826599999999</v>
      </c>
      <c r="F8">
        <v>219.75764799999999</v>
      </c>
      <c r="G8">
        <v>203.54478900000001</v>
      </c>
      <c r="H8">
        <v>200.90529100000001</v>
      </c>
      <c r="I8">
        <v>154.690247</v>
      </c>
      <c r="J8">
        <v>211.29649850000001</v>
      </c>
      <c r="K8">
        <v>200.49893855690939</v>
      </c>
      <c r="L8">
        <v>203.46659383934625</v>
      </c>
      <c r="M8">
        <v>199.86325428448583</v>
      </c>
      <c r="N8">
        <v>184.97677499792437</v>
      </c>
      <c r="O8">
        <v>184.35780201970519</v>
      </c>
      <c r="P8">
        <v>197.16285675485386</v>
      </c>
      <c r="Q8">
        <v>195.05437007553749</v>
      </c>
      <c r="R8">
        <v>226.9</v>
      </c>
      <c r="S8">
        <v>219</v>
      </c>
      <c r="T8" s="92"/>
      <c r="U8" s="91"/>
    </row>
    <row r="9" spans="1:21" x14ac:dyDescent="0.2">
      <c r="A9" t="s">
        <v>171</v>
      </c>
      <c r="B9" t="s">
        <v>172</v>
      </c>
      <c r="C9" t="s">
        <v>42</v>
      </c>
      <c r="D9">
        <v>20180419</v>
      </c>
      <c r="E9">
        <v>207.89872399999999</v>
      </c>
      <c r="F9">
        <v>207.73787799999999</v>
      </c>
      <c r="G9">
        <v>194.27751599999999</v>
      </c>
      <c r="H9">
        <v>208.552966</v>
      </c>
      <c r="I9">
        <v>162.82629399999999</v>
      </c>
      <c r="J9">
        <v>204.61677099999997</v>
      </c>
      <c r="K9">
        <v>206.03755011816409</v>
      </c>
      <c r="L9">
        <v>207.02166998984265</v>
      </c>
      <c r="M9">
        <v>209.02906044919675</v>
      </c>
      <c r="N9">
        <v>227.33646947108028</v>
      </c>
      <c r="O9">
        <v>230.51846562763583</v>
      </c>
      <c r="P9">
        <v>212.07674129536031</v>
      </c>
      <c r="Q9">
        <v>215.33665949188</v>
      </c>
      <c r="R9">
        <v>211</v>
      </c>
      <c r="S9">
        <v>205</v>
      </c>
      <c r="T9" s="9"/>
      <c r="U9" s="62"/>
    </row>
    <row r="10" spans="1:21" x14ac:dyDescent="0.2">
      <c r="A10" t="s">
        <v>171</v>
      </c>
      <c r="B10" t="s">
        <v>172</v>
      </c>
      <c r="C10" t="s">
        <v>43</v>
      </c>
      <c r="D10">
        <v>20180719</v>
      </c>
      <c r="E10">
        <v>228.53793400000001</v>
      </c>
      <c r="F10">
        <v>224.459834</v>
      </c>
      <c r="G10">
        <v>208.81990400000001</v>
      </c>
      <c r="H10">
        <v>217.96004099999999</v>
      </c>
      <c r="I10">
        <v>164.05358899999999</v>
      </c>
      <c r="J10">
        <v>219.94442824999999</v>
      </c>
      <c r="K10">
        <v>225.35143828011184</v>
      </c>
      <c r="L10">
        <v>221.50156925161235</v>
      </c>
      <c r="M10">
        <v>220.34500544056783</v>
      </c>
      <c r="N10">
        <v>214.24681346895829</v>
      </c>
      <c r="O10">
        <v>206.5451771874142</v>
      </c>
      <c r="P10">
        <v>220.35636458777859</v>
      </c>
      <c r="Q10">
        <v>218.05772803607385</v>
      </c>
      <c r="R10">
        <v>210.8</v>
      </c>
      <c r="S10">
        <v>207</v>
      </c>
      <c r="T10" s="9"/>
      <c r="U10" s="62"/>
    </row>
    <row r="11" spans="1:21" x14ac:dyDescent="0.2">
      <c r="A11" t="s">
        <v>171</v>
      </c>
      <c r="B11" t="s">
        <v>172</v>
      </c>
      <c r="C11" t="s">
        <v>44</v>
      </c>
      <c r="D11">
        <v>20181018</v>
      </c>
      <c r="E11">
        <v>223.44440800000001</v>
      </c>
      <c r="F11">
        <v>219.31818999999999</v>
      </c>
      <c r="G11">
        <v>195.17246599999999</v>
      </c>
      <c r="H11">
        <v>214.89752899999999</v>
      </c>
      <c r="I11">
        <v>157.77266399999999</v>
      </c>
      <c r="J11">
        <v>213.20814824999999</v>
      </c>
      <c r="K11">
        <v>202.38649945964769</v>
      </c>
      <c r="L11">
        <v>202.25830395116481</v>
      </c>
      <c r="M11">
        <v>193.47150194073453</v>
      </c>
      <c r="N11">
        <v>204.09148529660993</v>
      </c>
      <c r="O11">
        <v>199.07483674739967</v>
      </c>
      <c r="P11">
        <v>200.66017147561001</v>
      </c>
      <c r="Q11">
        <v>200.32379981186111</v>
      </c>
      <c r="R11">
        <v>204.5</v>
      </c>
      <c r="S11">
        <v>198</v>
      </c>
      <c r="T11" s="9"/>
      <c r="U11" s="62"/>
    </row>
    <row r="12" spans="1:21" x14ac:dyDescent="0.2">
      <c r="A12" t="s">
        <v>171</v>
      </c>
      <c r="B12" t="s">
        <v>172</v>
      </c>
      <c r="C12" t="s">
        <v>45</v>
      </c>
      <c r="D12">
        <v>20190124</v>
      </c>
      <c r="E12">
        <v>235.01950400000001</v>
      </c>
      <c r="F12">
        <v>234.965383</v>
      </c>
      <c r="G12">
        <v>214.71998500000001</v>
      </c>
      <c r="H12">
        <v>219.00686999999999</v>
      </c>
      <c r="I12">
        <v>161.60244599999999</v>
      </c>
      <c r="J12">
        <v>225.92793549999999</v>
      </c>
      <c r="K12">
        <v>208.25699872515943</v>
      </c>
      <c r="L12">
        <v>212.12625288399474</v>
      </c>
      <c r="M12">
        <v>217.83071096719146</v>
      </c>
      <c r="N12">
        <v>201.7862209108975</v>
      </c>
      <c r="O12">
        <v>202.80626248410181</v>
      </c>
      <c r="P12">
        <v>209.81248416710076</v>
      </c>
      <c r="Q12">
        <v>208.76982168974098</v>
      </c>
      <c r="R12">
        <v>228.9</v>
      </c>
      <c r="S12">
        <v>228</v>
      </c>
      <c r="T12" s="9"/>
      <c r="U12" s="62"/>
    </row>
    <row r="13" spans="1:21" x14ac:dyDescent="0.2">
      <c r="A13" t="s">
        <v>171</v>
      </c>
      <c r="B13" t="s">
        <v>172</v>
      </c>
      <c r="C13" t="s">
        <v>46</v>
      </c>
      <c r="D13">
        <v>20190418</v>
      </c>
      <c r="E13">
        <v>230.19883100000001</v>
      </c>
      <c r="F13">
        <v>230.735623</v>
      </c>
      <c r="G13">
        <v>221.854961</v>
      </c>
      <c r="H13">
        <v>214.29529400000001</v>
      </c>
      <c r="I13">
        <v>157.845088</v>
      </c>
      <c r="J13">
        <v>224.27117724999999</v>
      </c>
      <c r="K13">
        <v>223.32330966029099</v>
      </c>
      <c r="L13">
        <v>223.89562825090707</v>
      </c>
      <c r="M13">
        <v>235.57626043984681</v>
      </c>
      <c r="N13">
        <v>223.09495145974191</v>
      </c>
      <c r="O13">
        <v>222.69885731803839</v>
      </c>
      <c r="P13">
        <v>226.32804703781306</v>
      </c>
      <c r="Q13">
        <v>225.81950902777305</v>
      </c>
      <c r="R13">
        <v>215.1</v>
      </c>
      <c r="S13">
        <v>213</v>
      </c>
      <c r="T13" s="9"/>
      <c r="U13" s="62"/>
    </row>
    <row r="14" spans="1:21" x14ac:dyDescent="0.2">
      <c r="A14" t="s">
        <v>171</v>
      </c>
      <c r="B14" t="s">
        <v>172</v>
      </c>
      <c r="C14" t="s">
        <v>47</v>
      </c>
      <c r="D14">
        <v>20190718</v>
      </c>
      <c r="E14">
        <v>234.80934600000001</v>
      </c>
      <c r="F14">
        <v>234.19404499999999</v>
      </c>
      <c r="G14">
        <v>225.289266</v>
      </c>
      <c r="H14">
        <v>232.99452400000001</v>
      </c>
      <c r="I14">
        <v>168.232339</v>
      </c>
      <c r="J14">
        <v>231.82179524999998</v>
      </c>
      <c r="K14">
        <v>217.26604987842009</v>
      </c>
      <c r="L14">
        <v>216.19258845436278</v>
      </c>
      <c r="M14">
        <v>216.29723059472173</v>
      </c>
      <c r="N14">
        <v>231.58620371756737</v>
      </c>
      <c r="O14">
        <v>227.01680908182584</v>
      </c>
      <c r="P14">
        <v>220.17114724112412</v>
      </c>
      <c r="Q14">
        <v>221.42167149467033</v>
      </c>
      <c r="R14">
        <v>214.7</v>
      </c>
      <c r="S14">
        <v>219</v>
      </c>
      <c r="T14" s="9"/>
      <c r="U14" s="62"/>
    </row>
    <row r="15" spans="1:21" x14ac:dyDescent="0.2">
      <c r="A15" t="s">
        <v>171</v>
      </c>
      <c r="B15" t="s">
        <v>172</v>
      </c>
      <c r="C15" t="s">
        <v>48</v>
      </c>
      <c r="D15">
        <v>20191024</v>
      </c>
      <c r="E15">
        <v>229.447923</v>
      </c>
      <c r="F15">
        <v>230.549736</v>
      </c>
      <c r="G15">
        <v>213.766413</v>
      </c>
      <c r="H15">
        <v>225.056206</v>
      </c>
      <c r="I15">
        <v>157.21140299999999</v>
      </c>
      <c r="J15">
        <v>224.70506949999998</v>
      </c>
      <c r="K15">
        <v>213.99955322476816</v>
      </c>
      <c r="L15">
        <v>215.59212653763251</v>
      </c>
      <c r="M15">
        <v>207.79882361106365</v>
      </c>
      <c r="N15">
        <v>211.53848711912215</v>
      </c>
      <c r="O15">
        <v>204.6532638234317</v>
      </c>
      <c r="P15">
        <v>212.27689211633782</v>
      </c>
      <c r="Q15">
        <v>210.97652440539267</v>
      </c>
      <c r="R15">
        <v>208.2</v>
      </c>
      <c r="S15">
        <v>211</v>
      </c>
      <c r="T15" s="9"/>
      <c r="U15" s="62"/>
    </row>
    <row r="16" spans="1:21" x14ac:dyDescent="0.2">
      <c r="A16" t="s">
        <v>171</v>
      </c>
      <c r="B16" t="s">
        <v>172</v>
      </c>
      <c r="C16" t="s">
        <v>49</v>
      </c>
      <c r="D16">
        <v>20200123</v>
      </c>
      <c r="E16">
        <v>248.56614099999999</v>
      </c>
      <c r="F16">
        <v>247.39116100000001</v>
      </c>
      <c r="G16">
        <v>244.405024</v>
      </c>
      <c r="H16">
        <v>243.70521299999999</v>
      </c>
      <c r="I16">
        <v>170.41318999999999</v>
      </c>
      <c r="J16">
        <v>246.01688475</v>
      </c>
      <c r="K16">
        <v>228.58108744353288</v>
      </c>
      <c r="L16">
        <v>226.41333656092328</v>
      </c>
      <c r="M16">
        <v>241.24210787033229</v>
      </c>
      <c r="N16">
        <v>228.48425669719143</v>
      </c>
      <c r="O16">
        <v>228.71867055343304</v>
      </c>
      <c r="P16">
        <v>231.01197849143324</v>
      </c>
      <c r="Q16">
        <v>230.74190626947436</v>
      </c>
      <c r="R16">
        <v>241.3</v>
      </c>
      <c r="S16">
        <v>239</v>
      </c>
      <c r="T16" s="9"/>
      <c r="U16" s="62"/>
    </row>
    <row r="17" spans="1:22" x14ac:dyDescent="0.2">
      <c r="A17" t="s">
        <v>171</v>
      </c>
      <c r="B17" t="s">
        <v>172</v>
      </c>
      <c r="C17" t="s">
        <v>50</v>
      </c>
      <c r="D17">
        <v>20200423</v>
      </c>
      <c r="E17">
        <v>219.232552</v>
      </c>
      <c r="F17">
        <v>220.419195</v>
      </c>
      <c r="G17">
        <v>208.547909</v>
      </c>
      <c r="H17">
        <v>215.96148400000001</v>
      </c>
      <c r="I17">
        <v>158.65421000000001</v>
      </c>
      <c r="J17">
        <v>216.04028500000001</v>
      </c>
      <c r="K17">
        <v>210.79532279499003</v>
      </c>
      <c r="L17">
        <v>212.94288523509536</v>
      </c>
      <c r="M17">
        <v>203.93586610969177</v>
      </c>
      <c r="N17">
        <v>211.79191877196325</v>
      </c>
      <c r="O17">
        <v>222.50834099168031</v>
      </c>
      <c r="P17">
        <v>209.87839175132063</v>
      </c>
      <c r="Q17">
        <v>211.97545427579021</v>
      </c>
      <c r="R17">
        <v>210.8</v>
      </c>
      <c r="S17">
        <v>201</v>
      </c>
      <c r="T17" s="9"/>
      <c r="U17" s="62"/>
    </row>
    <row r="18" spans="1:22" x14ac:dyDescent="0.2">
      <c r="A18" t="s">
        <v>171</v>
      </c>
      <c r="B18" t="s">
        <v>172</v>
      </c>
      <c r="C18" t="s">
        <v>51</v>
      </c>
      <c r="D18">
        <v>20200723</v>
      </c>
      <c r="E18">
        <v>168.169849</v>
      </c>
      <c r="F18">
        <v>167.972477</v>
      </c>
      <c r="G18">
        <v>147.34887599999999</v>
      </c>
      <c r="H18">
        <v>171.168845</v>
      </c>
      <c r="I18">
        <v>124.990252</v>
      </c>
      <c r="J18">
        <v>163.66501175000002</v>
      </c>
      <c r="K18">
        <v>154.18394458592991</v>
      </c>
      <c r="L18">
        <v>153.17390065325301</v>
      </c>
      <c r="M18">
        <v>142.01592438886547</v>
      </c>
      <c r="N18">
        <v>159.31052707991208</v>
      </c>
      <c r="O18">
        <v>158.35092338236723</v>
      </c>
      <c r="P18">
        <v>152.27098669005181</v>
      </c>
      <c r="Q18">
        <v>153.21770113006326</v>
      </c>
      <c r="R18">
        <v>114.7</v>
      </c>
      <c r="S18">
        <v>140</v>
      </c>
      <c r="T18" s="9"/>
      <c r="U18" s="62"/>
    </row>
    <row r="19" spans="1:22" x14ac:dyDescent="0.2">
      <c r="A19" t="s">
        <v>171</v>
      </c>
      <c r="B19" t="s">
        <v>172</v>
      </c>
      <c r="C19" t="s">
        <v>52</v>
      </c>
      <c r="D19">
        <v>20201022</v>
      </c>
      <c r="E19">
        <v>192.810830036</v>
      </c>
      <c r="F19">
        <v>191.5324238868308</v>
      </c>
      <c r="G19">
        <v>198.85717216821311</v>
      </c>
      <c r="H19">
        <v>191.25088157100001</v>
      </c>
      <c r="I19">
        <v>134.11746945870789</v>
      </c>
      <c r="J19">
        <v>193.61282691551099</v>
      </c>
      <c r="K19">
        <v>160.51341168201915</v>
      </c>
      <c r="L19">
        <v>159.63650606971945</v>
      </c>
      <c r="M19">
        <v>188.93937204889056</v>
      </c>
      <c r="N19">
        <v>156.42521523084415</v>
      </c>
      <c r="O19">
        <v>150.22328080608321</v>
      </c>
      <c r="P19">
        <v>165.61753473354415</v>
      </c>
      <c r="Q19">
        <v>163.55922009518343</v>
      </c>
      <c r="R19">
        <v>194.5</v>
      </c>
      <c r="S19">
        <v>223</v>
      </c>
      <c r="T19" s="9"/>
      <c r="U19" s="62"/>
    </row>
    <row r="20" spans="1:22" x14ac:dyDescent="0.2">
      <c r="A20" t="s">
        <v>171</v>
      </c>
      <c r="B20" t="s">
        <v>172</v>
      </c>
      <c r="C20" t="s">
        <v>53</v>
      </c>
      <c r="D20">
        <v>20210121</v>
      </c>
      <c r="E20">
        <v>231.02796900000001</v>
      </c>
      <c r="F20">
        <v>225.979229</v>
      </c>
      <c r="G20">
        <v>228.21809200000001</v>
      </c>
      <c r="H20">
        <v>220.97717499999999</v>
      </c>
      <c r="I20">
        <v>151.94634500000001</v>
      </c>
      <c r="J20">
        <v>226.55061625000002</v>
      </c>
      <c r="K20">
        <v>267.20095067990093</v>
      </c>
      <c r="L20">
        <v>263.1061991716636</v>
      </c>
      <c r="M20">
        <v>255.92556688350152</v>
      </c>
      <c r="N20">
        <v>257.66108694618521</v>
      </c>
      <c r="O20">
        <v>252.64445468405015</v>
      </c>
      <c r="P20">
        <v>260.93719217165466</v>
      </c>
      <c r="Q20">
        <v>259.57924175615932</v>
      </c>
      <c r="R20">
        <v>248.5</v>
      </c>
      <c r="S20">
        <v>213</v>
      </c>
    </row>
    <row r="21" spans="1:22" x14ac:dyDescent="0.2">
      <c r="A21" t="s">
        <v>171</v>
      </c>
      <c r="B21" t="s">
        <v>172</v>
      </c>
      <c r="C21" t="s">
        <v>54</v>
      </c>
      <c r="D21">
        <v>20210422</v>
      </c>
      <c r="E21">
        <v>186.47985399999999</v>
      </c>
      <c r="F21">
        <v>182.99157099999999</v>
      </c>
      <c r="G21">
        <v>193.64374799999999</v>
      </c>
      <c r="H21">
        <v>187.738058</v>
      </c>
      <c r="I21">
        <v>127.198949</v>
      </c>
      <c r="J21">
        <v>187.71330774999998</v>
      </c>
      <c r="K21">
        <v>171.92813958382675</v>
      </c>
      <c r="L21">
        <v>172.48135943945539</v>
      </c>
      <c r="M21">
        <v>180.73115046461783</v>
      </c>
      <c r="N21">
        <v>180.96079992877094</v>
      </c>
      <c r="O21">
        <v>178.30883748470552</v>
      </c>
      <c r="P21">
        <v>176.4856578744795</v>
      </c>
      <c r="Q21">
        <v>176.81599079597598</v>
      </c>
      <c r="R21">
        <v>201.2</v>
      </c>
      <c r="S21">
        <v>186.3</v>
      </c>
    </row>
    <row r="22" spans="1:22" x14ac:dyDescent="0.2">
      <c r="A22" t="s">
        <v>171</v>
      </c>
      <c r="B22" t="s">
        <v>172</v>
      </c>
      <c r="C22" t="s">
        <v>55</v>
      </c>
      <c r="D22">
        <v>20210722</v>
      </c>
      <c r="E22">
        <v>202.82920100000001</v>
      </c>
      <c r="F22">
        <v>196.990523</v>
      </c>
      <c r="G22">
        <v>182.43661399999999</v>
      </c>
      <c r="H22">
        <v>213.881687</v>
      </c>
      <c r="I22">
        <v>145.57415599999999</v>
      </c>
      <c r="J22">
        <v>199.03450624999999</v>
      </c>
      <c r="K22">
        <v>202.63357856500684</v>
      </c>
      <c r="L22">
        <v>200.5520485689475</v>
      </c>
      <c r="M22">
        <v>175.51788549455262</v>
      </c>
      <c r="N22">
        <v>212.24337096370732</v>
      </c>
      <c r="O22">
        <v>213.21296658512483</v>
      </c>
      <c r="P22">
        <v>197.53596033670127</v>
      </c>
      <c r="Q22">
        <v>200.28263508567341</v>
      </c>
      <c r="R22">
        <v>221.4</v>
      </c>
      <c r="S22">
        <v>221</v>
      </c>
    </row>
    <row r="23" spans="1:22" x14ac:dyDescent="0.2">
      <c r="A23" t="s">
        <v>171</v>
      </c>
      <c r="B23" t="s">
        <v>172</v>
      </c>
      <c r="C23" t="s">
        <v>71</v>
      </c>
      <c r="D23" s="12">
        <v>20211021</v>
      </c>
      <c r="E23">
        <v>208.28460502799999</v>
      </c>
      <c r="F23">
        <v>199.57378458754681</v>
      </c>
      <c r="G23">
        <v>170.92806824964029</v>
      </c>
      <c r="H23">
        <v>185.48758429399999</v>
      </c>
      <c r="I23">
        <v>119.72082691723629</v>
      </c>
      <c r="J23">
        <f>AVERAGE(E23:H23)</f>
        <v>191.06851053979676</v>
      </c>
      <c r="K23" s="93">
        <f>(E23/E22)*$S21</f>
        <v>191.31082568686151</v>
      </c>
      <c r="L23" s="93">
        <f>(F23/F22)*$S21</f>
        <v>188.74306998342237</v>
      </c>
      <c r="M23" s="93">
        <f>(G23/G22)*$S21</f>
        <v>174.5477424554042</v>
      </c>
      <c r="N23" s="93">
        <f t="shared" ref="N23:O23" si="0">(H23/H22)*$S21</f>
        <v>161.56753501748938</v>
      </c>
      <c r="O23" s="93">
        <f t="shared" si="0"/>
        <v>153.21394035546479</v>
      </c>
      <c r="P23" s="93">
        <f>(J23/J22)*$S21</f>
        <v>178.84367984339971</v>
      </c>
      <c r="Q23" s="93">
        <f>(K23/K22)*$S21</f>
        <v>175.88993432314209</v>
      </c>
      <c r="R23" s="107">
        <f>'1. Data &amp; Confidence Interval'!AN14</f>
        <v>221.8</v>
      </c>
      <c r="S23" s="10"/>
    </row>
    <row r="24" spans="1:22" x14ac:dyDescent="0.2">
      <c r="A24" s="175" t="s">
        <v>75</v>
      </c>
      <c r="B24" s="176"/>
      <c r="C24" s="176"/>
      <c r="D24" s="176"/>
      <c r="E24" s="102">
        <f t="shared" ref="E24:Q24" si="1">CORREL(E$8:E$22,$S$8:$S$22)</f>
        <v>0.74072559434376173</v>
      </c>
      <c r="F24" s="102">
        <f t="shared" si="1"/>
        <v>0.72392664865224288</v>
      </c>
      <c r="G24" s="103">
        <f t="shared" si="1"/>
        <v>0.79024871704428001</v>
      </c>
      <c r="H24" s="102">
        <f t="shared" si="1"/>
        <v>0.73728760738537535</v>
      </c>
      <c r="I24" s="102">
        <f t="shared" si="1"/>
        <v>0.63915399992985378</v>
      </c>
      <c r="J24" s="102">
        <f>CORREL(J$8:J$22,$S$8:$S$22)</f>
        <v>0.77460779764347432</v>
      </c>
      <c r="K24" s="102">
        <f t="shared" si="1"/>
        <v>0.52630573930698921</v>
      </c>
      <c r="L24" s="102">
        <f t="shared" si="1"/>
        <v>0.54066485391600982</v>
      </c>
      <c r="M24" s="102">
        <f t="shared" si="1"/>
        <v>0.67802830406075465</v>
      </c>
      <c r="N24" s="102">
        <f t="shared" si="1"/>
        <v>0.45541481553911689</v>
      </c>
      <c r="O24" s="102">
        <f t="shared" si="1"/>
        <v>0.43761447766066452</v>
      </c>
      <c r="P24" s="102">
        <f t="shared" si="1"/>
        <v>0.5665841575065701</v>
      </c>
      <c r="Q24" s="102">
        <f t="shared" si="1"/>
        <v>0.55333483384932236</v>
      </c>
      <c r="R24" s="103">
        <f>CORREL(R$8:R$22,$S$8:$S$22)</f>
        <v>0.87441285265087021</v>
      </c>
      <c r="S24" s="5"/>
    </row>
    <row r="26" spans="1:22" x14ac:dyDescent="0.2">
      <c r="A26" s="178" t="s">
        <v>77</v>
      </c>
      <c r="B26" s="179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SYK_HIP</v>
      </c>
      <c r="B28" s="9" t="str">
        <f t="shared" si="2"/>
        <v>HIP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-0.10092648108865065</v>
      </c>
      <c r="F28" s="18">
        <f t="shared" si="3"/>
        <v>-9.9802466063206974E-2</v>
      </c>
      <c r="G28" s="18">
        <f t="shared" si="3"/>
        <v>-2.9098454974240018E-2</v>
      </c>
      <c r="H28" s="18">
        <f t="shared" si="3"/>
        <v>-9.5090026239179726E-2</v>
      </c>
      <c r="I28" s="18">
        <f t="shared" si="3"/>
        <v>0.14383484232946664</v>
      </c>
      <c r="J28" s="18">
        <f t="shared" si="3"/>
        <v>-8.21848925015497E-2</v>
      </c>
      <c r="K28" s="18"/>
      <c r="L28" s="18"/>
      <c r="M28" s="18"/>
      <c r="N28" s="18"/>
      <c r="O28" s="18"/>
      <c r="P28" s="18"/>
      <c r="Q28" s="18"/>
      <c r="R28" s="40">
        <f t="shared" si="3"/>
        <v>-3.9254170755643747E-3</v>
      </c>
    </row>
    <row r="29" spans="1:22" x14ac:dyDescent="0.2">
      <c r="A29" s="9" t="str">
        <f t="shared" ref="A29:D29" si="4">A7</f>
        <v>SYK_HIP</v>
      </c>
      <c r="B29" s="9" t="str">
        <f t="shared" si="4"/>
        <v>HIP</v>
      </c>
      <c r="C29" s="9" t="str">
        <f t="shared" si="4"/>
        <v>2017Q3</v>
      </c>
      <c r="D29" s="9">
        <f t="shared" si="4"/>
        <v>20171019</v>
      </c>
      <c r="E29" s="18">
        <f t="shared" ref="E29:R29" si="5">$S7/E7-1</f>
        <v>-9.2675754108282327E-2</v>
      </c>
      <c r="F29" s="18">
        <f t="shared" si="5"/>
        <v>-7.4131909896731907E-2</v>
      </c>
      <c r="G29" s="18">
        <f t="shared" si="5"/>
        <v>-1.808709883265136E-2</v>
      </c>
      <c r="H29" s="18">
        <f t="shared" si="5"/>
        <v>-7.9283705883463451E-2</v>
      </c>
      <c r="I29" s="18">
        <f t="shared" si="5"/>
        <v>0.19178684884836472</v>
      </c>
      <c r="J29" s="18">
        <f t="shared" si="5"/>
        <v>-6.6890089734005564E-2</v>
      </c>
      <c r="K29" s="18">
        <f t="shared" si="5"/>
        <v>9.1769213605119582E-3</v>
      </c>
      <c r="L29" s="18">
        <f t="shared" si="5"/>
        <v>2.8516581304340205E-2</v>
      </c>
      <c r="M29" s="18">
        <f t="shared" si="5"/>
        <v>1.1341372560383034E-2</v>
      </c>
      <c r="N29" s="18">
        <f t="shared" si="5"/>
        <v>1.7467284938881722E-2</v>
      </c>
      <c r="O29" s="18">
        <f t="shared" si="5"/>
        <v>4.1922141855061712E-2</v>
      </c>
      <c r="P29" s="18">
        <f t="shared" si="5"/>
        <v>1.6664361528359262E-2</v>
      </c>
      <c r="Q29" s="18">
        <f t="shared" si="5"/>
        <v>2.0725423037149859E-2</v>
      </c>
      <c r="R29" s="40">
        <f t="shared" si="5"/>
        <v>-3.6264282165921591E-2</v>
      </c>
    </row>
    <row r="30" spans="1:22" x14ac:dyDescent="0.2">
      <c r="A30" s="9" t="str">
        <f>A8</f>
        <v>SYK_HIP</v>
      </c>
      <c r="B30" s="9" t="str">
        <f t="shared" ref="B30:D31" si="6">B8</f>
        <v>HIP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-8.9523102692822265E-3</v>
      </c>
      <c r="F30" s="18">
        <f t="shared" si="7"/>
        <v>-3.4476524794258001E-3</v>
      </c>
      <c r="G30" s="18">
        <f t="shared" si="7"/>
        <v>7.5930271052038423E-2</v>
      </c>
      <c r="H30" s="18">
        <f t="shared" si="7"/>
        <v>9.0065865910918141E-2</v>
      </c>
      <c r="I30" s="18">
        <f t="shared" si="7"/>
        <v>0.41573243463758902</v>
      </c>
      <c r="J30" s="18">
        <f t="shared" si="7"/>
        <v>3.6458254418257674E-2</v>
      </c>
      <c r="K30" s="18">
        <f t="shared" si="7"/>
        <v>9.2275109166422231E-2</v>
      </c>
      <c r="L30" s="18">
        <f t="shared" si="7"/>
        <v>7.634376664760345E-2</v>
      </c>
      <c r="M30" s="18">
        <f t="shared" si="7"/>
        <v>9.5749195038498103E-2</v>
      </c>
      <c r="N30" s="18">
        <f t="shared" si="7"/>
        <v>0.18393241531244886</v>
      </c>
      <c r="O30" s="18">
        <f t="shared" si="7"/>
        <v>0.18790741482474416</v>
      </c>
      <c r="P30" s="18">
        <f t="shared" si="7"/>
        <v>0.11075688192273336</v>
      </c>
      <c r="Q30" s="18">
        <f t="shared" si="7"/>
        <v>0.12276387304313774</v>
      </c>
      <c r="R30" s="40">
        <f t="shared" si="7"/>
        <v>-3.4817100044072347E-2</v>
      </c>
      <c r="V30" s="107"/>
    </row>
    <row r="31" spans="1:22" x14ac:dyDescent="0.2">
      <c r="A31" s="9" t="str">
        <f>A9</f>
        <v>SYK_HIP</v>
      </c>
      <c r="B31" s="9" t="str">
        <f t="shared" si="6"/>
        <v>HIP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-1.3942961958727462E-2</v>
      </c>
      <c r="F31" s="18">
        <f t="shared" si="7"/>
        <v>-1.3179483810843551E-2</v>
      </c>
      <c r="G31" s="18">
        <f t="shared" si="7"/>
        <v>5.5191584804903604E-2</v>
      </c>
      <c r="H31" s="18">
        <f t="shared" si="7"/>
        <v>-1.7036276530346672E-2</v>
      </c>
      <c r="I31" s="18">
        <f t="shared" si="7"/>
        <v>0.25901041511145628</v>
      </c>
      <c r="J31" s="18">
        <f t="shared" si="7"/>
        <v>1.8729109941826305E-3</v>
      </c>
      <c r="K31" s="18">
        <f t="shared" ref="K31:Q31" si="9">$S9/K9-1</f>
        <v>-5.0357331349021317E-3</v>
      </c>
      <c r="L31" s="18">
        <f t="shared" si="9"/>
        <v>-9.7654993795666112E-3</v>
      </c>
      <c r="M31" s="18">
        <f t="shared" si="9"/>
        <v>-1.927512107904239E-2</v>
      </c>
      <c r="N31" s="18">
        <f t="shared" si="9"/>
        <v>-9.825290910450124E-2</v>
      </c>
      <c r="O31" s="18">
        <f t="shared" si="9"/>
        <v>-0.11070031009514292</v>
      </c>
      <c r="P31" s="18">
        <f t="shared" si="9"/>
        <v>-3.3368776095557329E-2</v>
      </c>
      <c r="Q31" s="18">
        <f t="shared" si="9"/>
        <v>-4.8002321185212637E-2</v>
      </c>
      <c r="R31" s="40">
        <f>$S9/R9-1</f>
        <v>-2.8436018957345932E-2</v>
      </c>
    </row>
    <row r="32" spans="1:22" x14ac:dyDescent="0.2">
      <c r="A32" s="9" t="str">
        <f t="shared" ref="A32:D32" si="10">A10</f>
        <v>SYK_HIP</v>
      </c>
      <c r="B32" s="9" t="str">
        <f t="shared" si="10"/>
        <v>HIP</v>
      </c>
      <c r="C32" s="9" t="str">
        <f t="shared" si="10"/>
        <v>2018Q2</v>
      </c>
      <c r="D32" s="9">
        <f t="shared" si="10"/>
        <v>20180719</v>
      </c>
      <c r="E32" s="18">
        <f t="shared" si="8"/>
        <v>-9.4242271394647359E-2</v>
      </c>
      <c r="F32" s="18">
        <f t="shared" ref="F32:J32" si="11">$S10/F10-1</f>
        <v>-7.7786006025470034E-2</v>
      </c>
      <c r="G32" s="18">
        <f t="shared" si="11"/>
        <v>-8.7151845448603105E-3</v>
      </c>
      <c r="H32" s="18">
        <f t="shared" si="11"/>
        <v>-5.0284634512433368E-2</v>
      </c>
      <c r="I32" s="18">
        <f t="shared" si="11"/>
        <v>0.26178281902750711</v>
      </c>
      <c r="J32" s="18">
        <f t="shared" si="11"/>
        <v>-5.8853176472771107E-2</v>
      </c>
      <c r="K32" s="18">
        <f t="shared" ref="K32:Q32" si="12">$S10/K10-1</f>
        <v>-8.143475107223852E-2</v>
      </c>
      <c r="L32" s="18">
        <f t="shared" si="12"/>
        <v>-6.5469374779640765E-2</v>
      </c>
      <c r="M32" s="18">
        <f t="shared" si="12"/>
        <v>-6.0564138560278313E-2</v>
      </c>
      <c r="N32" s="18">
        <f t="shared" si="12"/>
        <v>-3.382460327704373E-2</v>
      </c>
      <c r="O32" s="18">
        <f t="shared" si="12"/>
        <v>2.2020500249837482E-3</v>
      </c>
      <c r="P32" s="18">
        <f t="shared" si="12"/>
        <v>-6.0612565526593221E-2</v>
      </c>
      <c r="Q32" s="18">
        <f t="shared" si="12"/>
        <v>-5.0710094687607454E-2</v>
      </c>
      <c r="R32" s="40">
        <f t="shared" ref="R32:R39" si="13">$S10/R10-1</f>
        <v>-1.8026565464895672E-2</v>
      </c>
    </row>
    <row r="33" spans="1:18" x14ac:dyDescent="0.2">
      <c r="A33" s="9" t="str">
        <f t="shared" ref="A33:D33" si="14">A11</f>
        <v>SYK_HIP</v>
      </c>
      <c r="B33" s="9" t="str">
        <f t="shared" si="14"/>
        <v>HIP</v>
      </c>
      <c r="C33" s="9" t="str">
        <f t="shared" si="14"/>
        <v>2018Q3</v>
      </c>
      <c r="D33" s="9">
        <f t="shared" si="14"/>
        <v>20181018</v>
      </c>
      <c r="E33" s="18">
        <f t="shared" si="8"/>
        <v>-0.11387355014944034</v>
      </c>
      <c r="F33" s="18">
        <f t="shared" ref="F33:J33" si="15">$S11/F11-1</f>
        <v>-9.7202106218367001E-2</v>
      </c>
      <c r="G33" s="18">
        <f t="shared" si="15"/>
        <v>1.4487361142426769E-2</v>
      </c>
      <c r="H33" s="18">
        <f t="shared" si="15"/>
        <v>-7.8630634231257268E-2</v>
      </c>
      <c r="I33" s="18">
        <f t="shared" si="15"/>
        <v>0.25497025264148432</v>
      </c>
      <c r="J33" s="18">
        <f t="shared" si="15"/>
        <v>-7.1330051758469737E-2</v>
      </c>
      <c r="K33" s="18">
        <f t="shared" ref="K33:Q33" si="16">$S11/K11-1</f>
        <v>-2.1673873856997483E-2</v>
      </c>
      <c r="L33" s="18">
        <f t="shared" si="16"/>
        <v>-2.1053790464855116E-2</v>
      </c>
      <c r="M33" s="18">
        <f t="shared" si="16"/>
        <v>2.3406537985386056E-2</v>
      </c>
      <c r="N33" s="18">
        <f t="shared" si="16"/>
        <v>-2.9846837009182781E-2</v>
      </c>
      <c r="O33" s="18">
        <f t="shared" si="16"/>
        <v>-5.3991592556899004E-3</v>
      </c>
      <c r="P33" s="18">
        <f t="shared" si="16"/>
        <v>-1.3257097589659761E-2</v>
      </c>
      <c r="Q33" s="18">
        <f t="shared" si="16"/>
        <v>-1.1600218316762945E-2</v>
      </c>
      <c r="R33" s="40">
        <f t="shared" si="13"/>
        <v>-3.1784841075794601E-2</v>
      </c>
    </row>
    <row r="34" spans="1:18" x14ac:dyDescent="0.2">
      <c r="A34" s="9" t="str">
        <f t="shared" ref="A34:D34" si="17">A12</f>
        <v>SYK_HIP</v>
      </c>
      <c r="B34" s="9" t="str">
        <f t="shared" si="17"/>
        <v>HIP</v>
      </c>
      <c r="C34" s="9" t="str">
        <f t="shared" si="17"/>
        <v>2018Q4</v>
      </c>
      <c r="D34" s="9">
        <f t="shared" si="17"/>
        <v>20190124</v>
      </c>
      <c r="E34" s="18">
        <f t="shared" si="8"/>
        <v>-2.9867750891006906E-2</v>
      </c>
      <c r="F34" s="18">
        <f t="shared" ref="F34:J34" si="18">$S12/F12-1</f>
        <v>-2.964429445336636E-2</v>
      </c>
      <c r="G34" s="18">
        <f t="shared" si="18"/>
        <v>6.1848062256524505E-2</v>
      </c>
      <c r="H34" s="18">
        <f t="shared" si="18"/>
        <v>4.1063232399970007E-2</v>
      </c>
      <c r="I34" s="18">
        <f t="shared" si="18"/>
        <v>0.41086973398905124</v>
      </c>
      <c r="J34" s="18">
        <f t="shared" si="18"/>
        <v>9.1713514551192699E-3</v>
      </c>
      <c r="K34" s="18">
        <f t="shared" ref="K34:Q34" si="19">$S12/K12-1</f>
        <v>9.4801141837714598E-2</v>
      </c>
      <c r="L34" s="18">
        <f t="shared" si="19"/>
        <v>7.4831600993235492E-2</v>
      </c>
      <c r="M34" s="18">
        <f t="shared" si="19"/>
        <v>4.6684367817815042E-2</v>
      </c>
      <c r="N34" s="18">
        <f t="shared" si="19"/>
        <v>0.12990866755306185</v>
      </c>
      <c r="O34" s="18">
        <f t="shared" si="19"/>
        <v>0.12422563883042392</v>
      </c>
      <c r="P34" s="18">
        <f t="shared" si="19"/>
        <v>8.6684621771191406E-2</v>
      </c>
      <c r="Q34" s="18">
        <f t="shared" si="19"/>
        <v>9.2111868250946527E-2</v>
      </c>
      <c r="R34" s="40">
        <f t="shared" si="13"/>
        <v>-3.9318479685452878E-3</v>
      </c>
    </row>
    <row r="35" spans="1:18" x14ac:dyDescent="0.2">
      <c r="A35" s="9" t="str">
        <f t="shared" ref="A35:D35" si="20">A13</f>
        <v>SYK_HIP</v>
      </c>
      <c r="B35" s="9" t="str">
        <f t="shared" si="20"/>
        <v>HIP</v>
      </c>
      <c r="C35" s="9" t="str">
        <f t="shared" si="20"/>
        <v>2019Q1</v>
      </c>
      <c r="D35" s="9">
        <f t="shared" si="20"/>
        <v>20190418</v>
      </c>
      <c r="E35" s="18">
        <f t="shared" si="8"/>
        <v>-7.4712938051366584E-2</v>
      </c>
      <c r="F35" s="18">
        <f t="shared" ref="F35:J35" si="21">$S13/F13-1</f>
        <v>-7.6865560546756195E-2</v>
      </c>
      <c r="G35" s="18">
        <f t="shared" si="21"/>
        <v>-3.9913288213554998E-2</v>
      </c>
      <c r="H35" s="18">
        <f t="shared" si="21"/>
        <v>-6.0444351148467579E-3</v>
      </c>
      <c r="I35" s="18">
        <f t="shared" si="21"/>
        <v>0.34942431658057038</v>
      </c>
      <c r="J35" s="18">
        <f t="shared" si="21"/>
        <v>-5.0256913920934898E-2</v>
      </c>
      <c r="K35" s="18">
        <f t="shared" ref="K35:Q35" si="22">$S13/K13-1</f>
        <v>-4.6225849312345968E-2</v>
      </c>
      <c r="L35" s="18">
        <f t="shared" si="22"/>
        <v>-4.8663872251658913E-2</v>
      </c>
      <c r="M35" s="18">
        <f t="shared" si="22"/>
        <v>-9.5834191432084159E-2</v>
      </c>
      <c r="N35" s="18">
        <f t="shared" si="22"/>
        <v>-4.5249573751845129E-2</v>
      </c>
      <c r="O35" s="18">
        <f t="shared" si="22"/>
        <v>-4.3551446266234639E-2</v>
      </c>
      <c r="P35" s="18">
        <f t="shared" si="22"/>
        <v>-5.8888181169991394E-2</v>
      </c>
      <c r="Q35" s="18">
        <f t="shared" si="22"/>
        <v>-5.6768828711767361E-2</v>
      </c>
      <c r="R35" s="40">
        <f t="shared" si="13"/>
        <v>-9.7629009762900676E-3</v>
      </c>
    </row>
    <row r="36" spans="1:18" x14ac:dyDescent="0.2">
      <c r="A36" s="9" t="str">
        <f t="shared" ref="A36:D36" si="23">A14</f>
        <v>SYK_HIP</v>
      </c>
      <c r="B36" s="9" t="str">
        <f t="shared" si="23"/>
        <v>HIP</v>
      </c>
      <c r="C36" s="9" t="str">
        <f t="shared" si="23"/>
        <v>2019Q2</v>
      </c>
      <c r="D36" s="9">
        <f t="shared" si="23"/>
        <v>20190718</v>
      </c>
      <c r="E36" s="18">
        <f t="shared" si="8"/>
        <v>-6.7328435896244154E-2</v>
      </c>
      <c r="F36" s="18">
        <f t="shared" ref="F36:J36" si="24">$S14/F14-1</f>
        <v>-6.4878016005915029E-2</v>
      </c>
      <c r="G36" s="18">
        <f>$S14/G14-1</f>
        <v>-2.7916403260863754E-2</v>
      </c>
      <c r="H36" s="18">
        <f t="shared" si="24"/>
        <v>-6.0063746390880857E-2</v>
      </c>
      <c r="I36" s="18">
        <f t="shared" si="24"/>
        <v>0.30177111785861821</v>
      </c>
      <c r="J36" s="18">
        <f t="shared" si="24"/>
        <v>-5.5308842881545139E-2</v>
      </c>
      <c r="K36" s="18">
        <f t="shared" ref="K36:Q36" si="25">$S14/K14-1</f>
        <v>7.9807688433153334E-3</v>
      </c>
      <c r="L36" s="18">
        <f t="shared" si="25"/>
        <v>1.2985697454794387E-2</v>
      </c>
      <c r="M36" s="18">
        <f t="shared" si="25"/>
        <v>1.2495626494370082E-2</v>
      </c>
      <c r="N36" s="18">
        <f t="shared" si="25"/>
        <v>-5.4347813105986909E-2</v>
      </c>
      <c r="O36" s="18">
        <f t="shared" si="25"/>
        <v>-3.5313724627925036E-2</v>
      </c>
      <c r="P36" s="18">
        <f t="shared" si="25"/>
        <v>-5.3192584759597095E-3</v>
      </c>
      <c r="Q36" s="18">
        <f t="shared" si="25"/>
        <v>-1.0936921749001516E-2</v>
      </c>
      <c r="R36" s="40">
        <f t="shared" si="13"/>
        <v>2.0027945971122563E-2</v>
      </c>
    </row>
    <row r="37" spans="1:18" x14ac:dyDescent="0.2">
      <c r="A37" s="9" t="str">
        <f t="shared" ref="A37:D37" si="26">A15</f>
        <v>SYK_HIP</v>
      </c>
      <c r="B37" s="9" t="str">
        <f t="shared" si="26"/>
        <v>HIP</v>
      </c>
      <c r="C37" s="9" t="str">
        <f t="shared" si="26"/>
        <v>2019Q3</v>
      </c>
      <c r="D37" s="9">
        <f t="shared" si="26"/>
        <v>20191024</v>
      </c>
      <c r="E37" s="18">
        <f t="shared" si="8"/>
        <v>-8.0401351029008916E-2</v>
      </c>
      <c r="F37" s="18">
        <f t="shared" ref="F37:J37" si="27">$S15/F15-1</f>
        <v>-8.4796176040730753E-2</v>
      </c>
      <c r="G37" s="18">
        <f>$S15/G15-1</f>
        <v>-1.2941289331547146E-2</v>
      </c>
      <c r="H37" s="18">
        <f t="shared" si="27"/>
        <v>-6.2456424774174013E-2</v>
      </c>
      <c r="I37" s="18">
        <f t="shared" si="27"/>
        <v>0.34214182924122882</v>
      </c>
      <c r="J37" s="18">
        <f t="shared" si="27"/>
        <v>-6.0991367620212844E-2</v>
      </c>
      <c r="K37" s="18">
        <f t="shared" ref="K37:Q37" si="28">$S15/K15-1</f>
        <v>-1.4016633117068578E-2</v>
      </c>
      <c r="L37" s="18">
        <f t="shared" si="28"/>
        <v>-2.1300066061693324E-2</v>
      </c>
      <c r="M37" s="18">
        <f t="shared" si="28"/>
        <v>1.5405170892247133E-2</v>
      </c>
      <c r="N37" s="18">
        <f t="shared" si="28"/>
        <v>-2.5455751643856939E-3</v>
      </c>
      <c r="O37" s="18">
        <f t="shared" si="28"/>
        <v>3.1012142479408755E-2</v>
      </c>
      <c r="P37" s="18">
        <f t="shared" si="28"/>
        <v>-6.0152195729247238E-3</v>
      </c>
      <c r="Q37" s="18">
        <f t="shared" si="28"/>
        <v>1.1127112209985413E-4</v>
      </c>
      <c r="R37" s="40">
        <f t="shared" si="13"/>
        <v>1.344860710854956E-2</v>
      </c>
    </row>
    <row r="38" spans="1:18" x14ac:dyDescent="0.2">
      <c r="A38" s="9" t="str">
        <f t="shared" ref="A38:D38" si="29">A16</f>
        <v>SYK_HIP</v>
      </c>
      <c r="B38" s="9" t="str">
        <f t="shared" si="29"/>
        <v>HIP</v>
      </c>
      <c r="C38" s="9" t="str">
        <f t="shared" si="29"/>
        <v>2019Q4</v>
      </c>
      <c r="D38" s="9">
        <f t="shared" si="29"/>
        <v>20200123</v>
      </c>
      <c r="E38" s="18">
        <f t="shared" si="8"/>
        <v>-3.8485293940335952E-2</v>
      </c>
      <c r="F38" s="18">
        <f t="shared" ref="F38:J38" si="30">$S16/F16-1</f>
        <v>-3.3918596630863496E-2</v>
      </c>
      <c r="G38" s="18">
        <f t="shared" si="30"/>
        <v>-2.2115028208258058E-2</v>
      </c>
      <c r="H38" s="18">
        <f t="shared" si="30"/>
        <v>-1.9306985443926394E-2</v>
      </c>
      <c r="I38" s="18">
        <f t="shared" si="30"/>
        <v>0.40247359960810547</v>
      </c>
      <c r="J38" s="18">
        <f t="shared" si="30"/>
        <v>-2.8521964080353679E-2</v>
      </c>
      <c r="K38" s="18">
        <f t="shared" ref="K38:Q38" si="31">$S16/K16-1</f>
        <v>4.5580816300215377E-2</v>
      </c>
      <c r="L38" s="18">
        <f t="shared" si="31"/>
        <v>5.5591528442008986E-2</v>
      </c>
      <c r="M38" s="18">
        <f t="shared" si="31"/>
        <v>-9.2940154193040803E-3</v>
      </c>
      <c r="N38" s="18">
        <f t="shared" si="31"/>
        <v>4.6023929415605291E-2</v>
      </c>
      <c r="O38" s="18">
        <f t="shared" si="31"/>
        <v>4.4951859075121003E-2</v>
      </c>
      <c r="P38" s="18">
        <f t="shared" si="31"/>
        <v>3.4578386630557345E-2</v>
      </c>
      <c r="Q38" s="18">
        <f t="shared" si="31"/>
        <v>3.5789310507304828E-2</v>
      </c>
      <c r="R38" s="40">
        <f t="shared" si="13"/>
        <v>-9.5317032739329344E-3</v>
      </c>
    </row>
    <row r="39" spans="1:18" x14ac:dyDescent="0.2">
      <c r="A39" s="9" t="str">
        <f t="shared" ref="A39:D39" si="32">A17</f>
        <v>SYK_HIP</v>
      </c>
      <c r="B39" s="9" t="str">
        <f t="shared" si="32"/>
        <v>HIP</v>
      </c>
      <c r="C39" s="9" t="str">
        <f t="shared" si="32"/>
        <v>2020Q1</v>
      </c>
      <c r="D39" s="9">
        <f t="shared" si="32"/>
        <v>20200423</v>
      </c>
      <c r="E39" s="18">
        <f t="shared" si="8"/>
        <v>-8.3165350371873559E-2</v>
      </c>
      <c r="F39" s="18">
        <f t="shared" ref="F39:J39" si="33">$S17/F17-1</f>
        <v>-8.8101197357153938E-2</v>
      </c>
      <c r="G39" s="18">
        <f t="shared" ref="G39:G44" si="34">$S17/G17-1</f>
        <v>-3.6192686065243618E-2</v>
      </c>
      <c r="H39" s="18">
        <f t="shared" si="33"/>
        <v>-6.9278483009498126E-2</v>
      </c>
      <c r="I39" s="18">
        <f t="shared" si="33"/>
        <v>0.26690618547090561</v>
      </c>
      <c r="J39" s="18">
        <f t="shared" si="33"/>
        <v>-6.9617965001296023E-2</v>
      </c>
      <c r="K39" s="18">
        <f t="shared" ref="K39:Q39" si="35">$S17/K17-1</f>
        <v>-4.6468406723219946E-2</v>
      </c>
      <c r="L39" s="18">
        <f t="shared" si="35"/>
        <v>-5.6084922592788411E-2</v>
      </c>
      <c r="M39" s="18">
        <f t="shared" si="35"/>
        <v>-1.4396026386612415E-2</v>
      </c>
      <c r="N39" s="18">
        <f t="shared" si="35"/>
        <v>-5.0955290619860372E-2</v>
      </c>
      <c r="O39" s="18">
        <f t="shared" si="35"/>
        <v>-9.6663077419127053E-2</v>
      </c>
      <c r="P39" s="18">
        <f t="shared" si="35"/>
        <v>-4.2302552812775507E-2</v>
      </c>
      <c r="Q39" s="18">
        <f t="shared" si="35"/>
        <v>-5.1777005565515233E-2</v>
      </c>
      <c r="R39" s="40">
        <f t="shared" si="13"/>
        <v>-4.6489563567362446E-2</v>
      </c>
    </row>
    <row r="40" spans="1:18" x14ac:dyDescent="0.2">
      <c r="A40" s="9" t="str">
        <f t="shared" ref="A40:D40" si="36">A18</f>
        <v>SYK_HIP</v>
      </c>
      <c r="B40" s="9" t="str">
        <f t="shared" si="36"/>
        <v>HIP</v>
      </c>
      <c r="C40" s="9" t="str">
        <f t="shared" si="36"/>
        <v>2020Q2</v>
      </c>
      <c r="D40" s="9">
        <f t="shared" si="36"/>
        <v>20200723</v>
      </c>
      <c r="E40" s="18">
        <f t="shared" si="8"/>
        <v>-0.16750832070973676</v>
      </c>
      <c r="F40" s="18">
        <f t="shared" ref="F40:J40" si="37">$S18/F18-1</f>
        <v>-0.16653012147936597</v>
      </c>
      <c r="G40" s="18">
        <f t="shared" si="34"/>
        <v>-4.9873987501607986E-2</v>
      </c>
      <c r="H40" s="18">
        <f t="shared" si="37"/>
        <v>-0.18209414803260493</v>
      </c>
      <c r="I40" s="18">
        <f t="shared" si="37"/>
        <v>0.12008734889181594</v>
      </c>
      <c r="J40" s="18">
        <f t="shared" si="37"/>
        <v>-0.14459420188200378</v>
      </c>
      <c r="K40" s="18">
        <f t="shared" ref="K40:Q40" si="38">$S18/K18-1</f>
        <v>-9.1993654877761344E-2</v>
      </c>
      <c r="L40" s="18">
        <f t="shared" si="38"/>
        <v>-8.6006170744945654E-2</v>
      </c>
      <c r="M40" s="18">
        <f t="shared" si="38"/>
        <v>-1.4195058741057087E-2</v>
      </c>
      <c r="N40" s="18">
        <f t="shared" si="38"/>
        <v>-0.12121312655142802</v>
      </c>
      <c r="O40" s="18">
        <f t="shared" si="38"/>
        <v>-0.11588769418196299</v>
      </c>
      <c r="P40" s="18">
        <f t="shared" si="38"/>
        <v>-8.0586505392714503E-2</v>
      </c>
      <c r="Q40" s="18">
        <f t="shared" si="38"/>
        <v>-8.6267454951846845E-2</v>
      </c>
      <c r="R40" s="40">
        <f t="shared" ref="R40" si="39">$S18/R18-1</f>
        <v>0.22057541412380122</v>
      </c>
    </row>
    <row r="41" spans="1:18" x14ac:dyDescent="0.2">
      <c r="A41" s="9" t="str">
        <f t="shared" ref="A41:D41" si="40">A19</f>
        <v>SYK_HIP</v>
      </c>
      <c r="B41" s="9" t="str">
        <f t="shared" si="40"/>
        <v>HIP</v>
      </c>
      <c r="C41" s="9" t="str">
        <f t="shared" si="40"/>
        <v>2020Q3</v>
      </c>
      <c r="D41" s="9">
        <f t="shared" si="40"/>
        <v>20201022</v>
      </c>
      <c r="E41" s="18">
        <f t="shared" si="8"/>
        <v>0.15657403662627933</v>
      </c>
      <c r="F41" s="18">
        <f t="shared" ref="F41:I41" si="41">$S19/F19-1</f>
        <v>0.16429372883497884</v>
      </c>
      <c r="G41" s="18">
        <f t="shared" si="34"/>
        <v>0.12140788068415498</v>
      </c>
      <c r="H41" s="18">
        <f t="shared" si="41"/>
        <v>0.16600769715779551</v>
      </c>
      <c r="I41" s="18">
        <f t="shared" si="41"/>
        <v>0.66272150004036035</v>
      </c>
      <c r="J41" s="18">
        <f>$S19/J19-1</f>
        <v>0.15178319304904853</v>
      </c>
      <c r="K41" s="18">
        <f t="shared" ref="K41:Q41" si="42">$S19/K19-1</f>
        <v>0.38929200783401363</v>
      </c>
      <c r="L41" s="18">
        <f t="shared" si="42"/>
        <v>0.3969235827712696</v>
      </c>
      <c r="M41" s="18">
        <f t="shared" si="42"/>
        <v>0.18027279111680228</v>
      </c>
      <c r="N41" s="18">
        <f t="shared" si="42"/>
        <v>0.42560136274006899</v>
      </c>
      <c r="O41" s="18">
        <f t="shared" si="42"/>
        <v>0.48445699497044759</v>
      </c>
      <c r="P41" s="18">
        <f t="shared" si="42"/>
        <v>0.34647578445589322</v>
      </c>
      <c r="Q41" s="18">
        <f t="shared" si="42"/>
        <v>0.36342053887408454</v>
      </c>
      <c r="R41" s="40">
        <f>$S19/R19-1</f>
        <v>0.14652956298200515</v>
      </c>
    </row>
    <row r="42" spans="1:18" x14ac:dyDescent="0.2">
      <c r="A42" s="9" t="str">
        <f t="shared" ref="A42:D42" si="43">A20</f>
        <v>SYK_HIP</v>
      </c>
      <c r="B42" s="9" t="str">
        <f t="shared" si="43"/>
        <v>HIP</v>
      </c>
      <c r="C42" s="9" t="str">
        <f t="shared" si="43"/>
        <v>2020Q4</v>
      </c>
      <c r="D42" s="9">
        <f t="shared" si="43"/>
        <v>20210121</v>
      </c>
      <c r="E42" s="18">
        <f t="shared" ref="E42:I42" si="44">$S20/E20-1</f>
        <v>-7.8033707684977416E-2</v>
      </c>
      <c r="F42" s="18">
        <f t="shared" si="44"/>
        <v>-5.7435495542822679E-2</v>
      </c>
      <c r="G42" s="18">
        <f t="shared" si="34"/>
        <v>-6.6682233063275365E-2</v>
      </c>
      <c r="H42" s="18">
        <f t="shared" si="44"/>
        <v>-3.6099542860026146E-2</v>
      </c>
      <c r="I42" s="18">
        <f t="shared" si="44"/>
        <v>0.40181061939989404</v>
      </c>
      <c r="J42" s="18">
        <f>$S20/J20-1</f>
        <v>-5.9812753875040592E-2</v>
      </c>
      <c r="K42" s="18">
        <f t="shared" ref="K42:Q42" si="45">$S20/K20-1</f>
        <v>-0.20284714759429168</v>
      </c>
      <c r="L42" s="18">
        <f t="shared" si="45"/>
        <v>-0.19044096767545882</v>
      </c>
      <c r="M42" s="18">
        <f t="shared" si="45"/>
        <v>-0.16772676292650912</v>
      </c>
      <c r="N42" s="18">
        <f t="shared" si="45"/>
        <v>-0.17333268083089737</v>
      </c>
      <c r="O42" s="18">
        <f t="shared" si="45"/>
        <v>-0.15691796890467413</v>
      </c>
      <c r="P42" s="18">
        <f t="shared" si="45"/>
        <v>-0.18371161187370988</v>
      </c>
      <c r="Q42" s="18">
        <f t="shared" si="45"/>
        <v>-0.179441319887645</v>
      </c>
      <c r="R42" s="40">
        <f>$S20/R20-1</f>
        <v>-0.1428571428571429</v>
      </c>
    </row>
    <row r="43" spans="1:18" x14ac:dyDescent="0.2">
      <c r="A43" s="9" t="str">
        <f t="shared" ref="A43:D43" si="46">A21</f>
        <v>SYK_HIP</v>
      </c>
      <c r="B43" s="9" t="str">
        <f t="shared" si="46"/>
        <v>HIP</v>
      </c>
      <c r="C43" s="9" t="str">
        <f t="shared" si="46"/>
        <v>2021Q1</v>
      </c>
      <c r="D43" s="9">
        <f t="shared" si="46"/>
        <v>20210422</v>
      </c>
      <c r="E43" s="18">
        <f t="shared" ref="E43:J43" si="47">$S21/E21-1</f>
        <v>-9.6446879457545709E-4</v>
      </c>
      <c r="F43" s="18">
        <f t="shared" si="47"/>
        <v>1.8079679746560773E-2</v>
      </c>
      <c r="G43" s="18">
        <f t="shared" si="34"/>
        <v>-3.7924012914684835E-2</v>
      </c>
      <c r="H43" s="18">
        <f t="shared" si="47"/>
        <v>-7.6599173088282013E-3</v>
      </c>
      <c r="I43" s="18">
        <f t="shared" si="47"/>
        <v>0.46463474316914377</v>
      </c>
      <c r="J43" s="18">
        <f t="shared" si="47"/>
        <v>-7.5290759453359168E-3</v>
      </c>
      <c r="K43" s="18">
        <f t="shared" ref="K43:Q43" si="48">$S21/K21-1</f>
        <v>8.3592252268663625E-2</v>
      </c>
      <c r="L43" s="18">
        <f t="shared" si="48"/>
        <v>8.0116718730961045E-2</v>
      </c>
      <c r="M43" s="18">
        <f t="shared" si="48"/>
        <v>3.0812892636747913E-2</v>
      </c>
      <c r="N43" s="18">
        <f t="shared" si="48"/>
        <v>2.9504732921885157E-2</v>
      </c>
      <c r="O43" s="18">
        <f t="shared" si="48"/>
        <v>4.4816413073075712E-2</v>
      </c>
      <c r="P43" s="18">
        <f t="shared" si="48"/>
        <v>5.5609856595263407E-2</v>
      </c>
      <c r="Q43" s="18">
        <f t="shared" si="48"/>
        <v>5.3637734694298222E-2</v>
      </c>
      <c r="R43" s="40">
        <f>$S21/R21-1</f>
        <v>-7.4055666003976062E-2</v>
      </c>
    </row>
    <row r="44" spans="1:18" x14ac:dyDescent="0.2">
      <c r="A44" s="9" t="str">
        <f t="shared" ref="A44:D44" si="49">A22</f>
        <v>SYK_HIP</v>
      </c>
      <c r="B44" s="9" t="str">
        <f t="shared" si="49"/>
        <v>HIP</v>
      </c>
      <c r="C44" s="9" t="str">
        <f t="shared" si="49"/>
        <v>2021Q2</v>
      </c>
      <c r="D44" s="9">
        <f t="shared" si="49"/>
        <v>20210722</v>
      </c>
      <c r="E44" s="18">
        <f>$S22/E22-1</f>
        <v>8.9586701078608444E-2</v>
      </c>
      <c r="F44" s="18">
        <f t="shared" ref="F44:J44" si="50">$S22/F22-1</f>
        <v>0.12188138106522017</v>
      </c>
      <c r="G44" s="18">
        <f t="shared" si="34"/>
        <v>0.21137964115032304</v>
      </c>
      <c r="H44" s="18">
        <f t="shared" si="50"/>
        <v>3.3281545044106631E-2</v>
      </c>
      <c r="I44" s="18">
        <f t="shared" si="50"/>
        <v>0.51812661033047669</v>
      </c>
      <c r="J44" s="18">
        <f t="shared" si="50"/>
        <v>0.11036022930822842</v>
      </c>
      <c r="K44" s="18">
        <f t="shared" ref="K44:Q44" si="51">$S22/K22-1</f>
        <v>9.0638587962858397E-2</v>
      </c>
      <c r="L44" s="18">
        <f t="shared" si="51"/>
        <v>0.10195832741156341</v>
      </c>
      <c r="M44" s="18">
        <f t="shared" si="51"/>
        <v>0.25913093914784535</v>
      </c>
      <c r="N44" s="18">
        <f t="shared" si="51"/>
        <v>4.1257491324852902E-2</v>
      </c>
      <c r="O44" s="18">
        <f t="shared" si="51"/>
        <v>3.652232572715608E-2</v>
      </c>
      <c r="P44" s="18">
        <f t="shared" si="51"/>
        <v>0.11878363627212041</v>
      </c>
      <c r="Q44" s="18">
        <f t="shared" si="51"/>
        <v>0.10344064479411541</v>
      </c>
      <c r="R44" s="40">
        <f>$S22/R22-1</f>
        <v>-1.8066847335139746E-3</v>
      </c>
    </row>
    <row r="45" spans="1:18" x14ac:dyDescent="0.2">
      <c r="A45" s="184" t="s">
        <v>78</v>
      </c>
      <c r="B45" s="184"/>
      <c r="C45" s="180"/>
      <c r="D45" s="181"/>
      <c r="E45" s="73" cm="1">
        <f t="array" ref="E45">SUM(ABS(E28:E44))/COUNT(E28:E44)</f>
        <v>7.5955393179002573E-2</v>
      </c>
      <c r="F45" s="73" cm="1">
        <f t="array" ref="F45">SUM(ABS(F28:F44))/COUNT(F28:F44)</f>
        <v>7.4821992482222321E-2</v>
      </c>
      <c r="G45" s="111" cm="1">
        <f t="array" ref="G45">SUM(ABS(G28:G44))/COUNT(G28:G44)</f>
        <v>5.2335556941244636E-2</v>
      </c>
      <c r="H45" s="73" cm="1">
        <f t="array" ref="H45">SUM(ABS(H28:H44))/COUNT(H28:H44)</f>
        <v>6.4338076520250351E-2</v>
      </c>
      <c r="I45" s="73" cm="1">
        <f t="array" ref="I45">SUM(ABS(I28:I44))/COUNT(I28:I44)</f>
        <v>0.3392991304221199</v>
      </c>
      <c r="J45" s="73" cm="1">
        <f t="array" ref="J45">SUM(ABS(J28:J44))/COUNT(J28:J44)</f>
        <v>6.2678660876373846E-2</v>
      </c>
      <c r="K45" s="73" cm="1">
        <f t="array" ref="K45">SUM(ABS(K28:K44))/COUNT(K28:K44)</f>
        <v>8.26896034539088E-2</v>
      </c>
      <c r="L45" s="73" cm="1">
        <f t="array" ref="L45">SUM(ABS(L28:L44))/COUNT(L28:L44)</f>
        <v>8.2878279231649019E-2</v>
      </c>
      <c r="M45" s="73" cm="1">
        <f t="array" ref="M45">SUM(ABS(M28:M44))/COUNT(M28:M44)</f>
        <v>6.603651301468641E-2</v>
      </c>
      <c r="N45" s="73" cm="1">
        <f t="array" ref="N45">SUM(ABS(N28:N44))/COUNT(N28:N44)</f>
        <v>9.2704018351371001E-2</v>
      </c>
      <c r="O45" s="73" cm="1">
        <f t="array" ref="O45">SUM(ABS(O28:O44))/COUNT(O28:O44)</f>
        <v>9.7653147600698709E-2</v>
      </c>
      <c r="P45" s="73" cm="1">
        <f t="array" ref="P45">SUM(ABS(P28:P44))/COUNT(P28:P44)</f>
        <v>7.8350956105375277E-2</v>
      </c>
      <c r="Q45" s="73" cm="1">
        <f t="array" ref="Q45">SUM(ABS(Q28:Q44))/COUNT(Q28:Q44)</f>
        <v>8.0469051836156005E-2</v>
      </c>
      <c r="R45" s="111" cm="1">
        <f t="array" ref="R45">SUM(ABS(R28:R44))/COUNT(R28:R44)</f>
        <v>4.9545368491166863E-2</v>
      </c>
    </row>
    <row r="46" spans="1:18" x14ac:dyDescent="0.2">
      <c r="A46" s="185" t="s">
        <v>79</v>
      </c>
      <c r="B46" s="185"/>
      <c r="C46" s="182"/>
      <c r="D46" s="183"/>
      <c r="E46" s="74" cm="1">
        <f t="array" ref="E46">SQRT(SUM(POWER(E28:E44,2))/COUNT(E28:E44))</f>
        <v>8.8602854457410257E-2</v>
      </c>
      <c r="F46" s="74" cm="1">
        <f t="array" ref="F46">SQRT(SUM(POWER(F28:F44,2))/COUNT(F28:F44))</f>
        <v>8.7932126731130447E-2</v>
      </c>
      <c r="G46" s="112" cm="1">
        <f t="array" ref="G46">SQRT(SUM(POWER(G28:G44,2))/COUNT(G28:G44))</f>
        <v>7.121989605146764E-2</v>
      </c>
      <c r="H46" s="74" cm="1">
        <f t="array" ref="H46">SQRT(SUM(POWER(H28:H44,2))/COUNT(H28:H44))</f>
        <v>8.0451385664447192E-2</v>
      </c>
      <c r="I46" s="74" cm="1">
        <f t="array" ref="I46">SQRT(SUM(POWER(I28:I44,2))/COUNT(I28:I44))</f>
        <v>0.3648211314224426</v>
      </c>
      <c r="J46" s="74" cm="1">
        <f t="array" ref="J46">SQRT(SUM(POWER(J28:J44,2))/COUNT(J28:J44))</f>
        <v>7.5116117431158008E-2</v>
      </c>
      <c r="K46" s="74" cm="1">
        <f t="array" ref="K46">SQRT(SUM(POWER(K28:K44,2))/COUNT(K28:K44))</f>
        <v>0.12442565480110497</v>
      </c>
      <c r="L46" s="74" cm="1">
        <f t="array" ref="L46">SQRT(SUM(POWER(L28:L44,2))/COUNT(L28:L44))</f>
        <v>0.12357183492901679</v>
      </c>
      <c r="M46" s="74" cm="1">
        <f t="array" ref="M46">SQRT(SUM(POWER(M28:M44,2))/COUNT(M28:M44))</f>
        <v>9.8382219200971482E-2</v>
      </c>
      <c r="N46" s="74" cm="1">
        <f t="array" ref="N46">SQRT(SUM(POWER(N28:N44,2))/COUNT(N28:N44))</f>
        <v>0.13712892552878941</v>
      </c>
      <c r="O46" s="74" cm="1">
        <f t="array" ref="O46">SQRT(SUM(POWER(O28:O44,2))/COUNT(O28:O44))</f>
        <v>0.14923793271953834</v>
      </c>
      <c r="P46" s="74" cm="1">
        <f t="array" ref="P46">SQRT(SUM(POWER(P28:P44,2))/COUNT(P28:P44))</f>
        <v>0.11429982647052993</v>
      </c>
      <c r="Q46" s="74" cm="1">
        <f t="array" ref="Q46">SQRT(SUM(POWER(Q28:Q44,2))/COUNT(Q28:Q44))</f>
        <v>0.11768395012954734</v>
      </c>
      <c r="R46" s="112" cm="1">
        <f t="array" ref="R46">SQRT(SUM(POWER(R28:R44,2))/COUNT(R28:R44))</f>
        <v>7.8084254368681286E-2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6"/>
  <sheetViews>
    <sheetView zoomScale="85" zoomScaleNormal="85" workbookViewId="0">
      <selection activeCell="J17" sqref="J17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86" t="s">
        <v>83</v>
      </c>
      <c r="C7" s="186"/>
      <c r="D7" s="186" t="s">
        <v>112</v>
      </c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6"/>
      <c r="P7" s="6"/>
      <c r="Q7" s="6"/>
    </row>
    <row r="8" spans="1:17" ht="15" x14ac:dyDescent="0.2">
      <c r="A8" s="67" t="s">
        <v>173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2">
        <v>5.8923676284423361E-2</v>
      </c>
      <c r="D9" s="2">
        <v>5.3491212999509839E-2</v>
      </c>
      <c r="E9" s="2">
        <v>6.8204494369193791E-2</v>
      </c>
      <c r="F9" s="2">
        <v>6.3973673626162797E-2</v>
      </c>
      <c r="G9" s="2">
        <v>6.5490861159605729E-2</v>
      </c>
      <c r="H9" s="2">
        <v>6.7925040125380698E-2</v>
      </c>
      <c r="I9" s="2">
        <v>6.8248753740775034E-2</v>
      </c>
      <c r="J9" s="2">
        <v>6.4785094407184982E-2</v>
      </c>
      <c r="K9" s="2">
        <v>6.4424442140034316E-2</v>
      </c>
      <c r="L9" s="2">
        <v>0.10389215558895309</v>
      </c>
      <c r="M9" s="2">
        <v>0.14464494028364669</v>
      </c>
      <c r="O9" s="6"/>
      <c r="P9" s="6"/>
      <c r="Q9" s="6"/>
    </row>
    <row r="10" spans="1:17" ht="15" x14ac:dyDescent="0.2">
      <c r="B10" s="71" t="s">
        <v>97</v>
      </c>
      <c r="C10" s="2">
        <v>8.8168949183610207E-2</v>
      </c>
      <c r="D10" s="2">
        <v>7.0323722747143297E-2</v>
      </c>
      <c r="E10" s="2">
        <v>9.0596289393045037E-2</v>
      </c>
      <c r="F10" s="2">
        <v>9.32665121121381E-2</v>
      </c>
      <c r="G10" s="2">
        <v>8.6602565271053769E-2</v>
      </c>
      <c r="H10" s="2">
        <v>9.0428265619805909E-2</v>
      </c>
      <c r="I10" s="2">
        <v>9.0577683813137758E-2</v>
      </c>
      <c r="J10" s="2">
        <v>8.5442819254850477E-2</v>
      </c>
      <c r="K10" s="2">
        <v>8.4271902560169892E-2</v>
      </c>
      <c r="L10" s="2">
        <v>0.14133816609930319</v>
      </c>
      <c r="M10" s="2">
        <v>0.18286064818855721</v>
      </c>
      <c r="O10" s="6"/>
      <c r="P10" s="6"/>
      <c r="Q10" s="6"/>
    </row>
    <row r="11" spans="1:17" ht="15" x14ac:dyDescent="0.2">
      <c r="B11" s="71" t="s">
        <v>98</v>
      </c>
      <c r="C11" s="2">
        <v>9.6234309623430825E-3</v>
      </c>
      <c r="D11" s="2">
        <v>3.7551786069651698E-2</v>
      </c>
      <c r="E11" s="2">
        <v>3.6042624783938049E-2</v>
      </c>
      <c r="F11" s="2">
        <v>-1.197173037022992E-2</v>
      </c>
      <c r="G11" s="2">
        <v>1.864337694727447E-2</v>
      </c>
      <c r="H11" s="2">
        <v>3.6042736145697203E-2</v>
      </c>
      <c r="I11" s="2">
        <v>3.7557398885006643E-2</v>
      </c>
      <c r="J11" s="2">
        <v>1.8397568617244842E-2</v>
      </c>
      <c r="K11" s="2">
        <v>1.8630321621991849E-2</v>
      </c>
      <c r="L11" s="2">
        <v>4.2897310744300247E-2</v>
      </c>
      <c r="M11" s="2">
        <v>2.8050656914498481E-2</v>
      </c>
      <c r="O11" s="6"/>
      <c r="P11" s="6"/>
      <c r="Q11" s="6"/>
    </row>
    <row r="12" spans="1:17" x14ac:dyDescent="0.2">
      <c r="O12" s="6"/>
      <c r="P12" s="6"/>
      <c r="Q12" s="6"/>
    </row>
    <row r="13" spans="1:17" ht="15" x14ac:dyDescent="0.2">
      <c r="A13" s="67" t="s">
        <v>174</v>
      </c>
      <c r="C13" s="71" t="s">
        <v>85</v>
      </c>
      <c r="D13" s="71" t="s">
        <v>86</v>
      </c>
      <c r="E13" s="71" t="s">
        <v>87</v>
      </c>
      <c r="F13" s="71" t="s">
        <v>88</v>
      </c>
      <c r="G13" s="71" t="s">
        <v>89</v>
      </c>
      <c r="H13" s="71" t="s">
        <v>90</v>
      </c>
      <c r="I13" s="71" t="s">
        <v>91</v>
      </c>
      <c r="J13" s="71" t="s">
        <v>92</v>
      </c>
      <c r="K13" s="71" t="s">
        <v>93</v>
      </c>
      <c r="L13" s="71" t="s">
        <v>94</v>
      </c>
      <c r="M13" s="71" t="s">
        <v>95</v>
      </c>
      <c r="O13" s="6"/>
      <c r="P13" s="6"/>
      <c r="Q13" s="6"/>
    </row>
    <row r="14" spans="1:17" ht="15" x14ac:dyDescent="0.2">
      <c r="B14" s="71" t="s">
        <v>96</v>
      </c>
      <c r="C14" s="2">
        <v>4.3699850105690573E-2</v>
      </c>
      <c r="D14" s="2">
        <v>5.3616118195877138E-2</v>
      </c>
      <c r="E14" s="2">
        <v>5.3661691503847989E-2</v>
      </c>
      <c r="F14" s="2">
        <v>4.8655964631068263E-2</v>
      </c>
      <c r="G14" s="2">
        <v>5.463663503456237E-2</v>
      </c>
      <c r="H14" s="2">
        <v>5.3347101413206442E-2</v>
      </c>
      <c r="I14" s="2">
        <v>5.3517958454537613E-2</v>
      </c>
      <c r="J14" s="2">
        <v>5.4274470185498469E-2</v>
      </c>
      <c r="K14" s="2">
        <v>5.4929187851626933E-2</v>
      </c>
      <c r="L14" s="2">
        <v>7.4786943250522056E-2</v>
      </c>
      <c r="M14" s="2">
        <v>0.14251365585081169</v>
      </c>
      <c r="O14" s="6"/>
      <c r="P14" s="6"/>
      <c r="Q14" s="6"/>
    </row>
    <row r="15" spans="1:17" ht="15" x14ac:dyDescent="0.2">
      <c r="B15" s="71" t="s">
        <v>97</v>
      </c>
      <c r="C15" s="2">
        <v>6.8288193836905167E-2</v>
      </c>
      <c r="D15" s="2">
        <v>7.224388102522572E-2</v>
      </c>
      <c r="E15" s="2">
        <v>6.7608112625680825E-2</v>
      </c>
      <c r="F15" s="2">
        <v>6.7212964989776997E-2</v>
      </c>
      <c r="G15" s="2">
        <v>6.9874702520660734E-2</v>
      </c>
      <c r="H15" s="2">
        <v>6.7354069343693465E-2</v>
      </c>
      <c r="I15" s="2">
        <v>6.6538943782874199E-2</v>
      </c>
      <c r="J15" s="2">
        <v>6.9498870619297021E-2</v>
      </c>
      <c r="K15" s="2">
        <v>6.9638592634483909E-2</v>
      </c>
      <c r="L15" s="2">
        <v>9.0467919185950901E-2</v>
      </c>
      <c r="M15" s="2">
        <v>0.18661064911313119</v>
      </c>
      <c r="O15" s="6"/>
      <c r="P15" s="6"/>
      <c r="Q15" s="6"/>
    </row>
    <row r="16" spans="1:17" ht="15" x14ac:dyDescent="0.2">
      <c r="B16" s="71" t="s">
        <v>98</v>
      </c>
      <c r="C16" s="2">
        <v>9.7412929459602671E-3</v>
      </c>
      <c r="D16" s="2">
        <v>3.3134947829346451E-2</v>
      </c>
      <c r="E16" s="2">
        <v>2.9623136692258471E-2</v>
      </c>
      <c r="F16" s="2">
        <v>-5.5090343106781181E-3</v>
      </c>
      <c r="G16" s="2">
        <v>2.687937271896745E-2</v>
      </c>
      <c r="H16" s="2">
        <v>2.916710948946788E-2</v>
      </c>
      <c r="I16" s="2">
        <v>2.961820594091813E-2</v>
      </c>
      <c r="J16" s="2">
        <v>2.681519416102374E-2</v>
      </c>
      <c r="K16" s="2">
        <v>2.6873662050934891E-2</v>
      </c>
      <c r="L16" s="2">
        <v>3.1208636561637859E-2</v>
      </c>
      <c r="M16" s="2">
        <v>3.465618584165242E-2</v>
      </c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A21" s="67" t="s">
        <v>103</v>
      </c>
      <c r="B21" t="s">
        <v>139</v>
      </c>
      <c r="O21" s="6"/>
      <c r="P21" s="6"/>
      <c r="Q21" s="6"/>
    </row>
    <row r="22" spans="1:17" x14ac:dyDescent="0.2">
      <c r="B22" t="s">
        <v>140</v>
      </c>
      <c r="H22" s="68" t="s">
        <v>106</v>
      </c>
      <c r="O22" s="6"/>
      <c r="P22" s="6"/>
      <c r="Q22" s="6"/>
    </row>
    <row r="23" spans="1:17" x14ac:dyDescent="0.2">
      <c r="H23" s="68"/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7" t="s">
        <v>105</v>
      </c>
      <c r="B26" s="187" t="s">
        <v>108</v>
      </c>
      <c r="C26" s="187"/>
      <c r="D26" s="187"/>
      <c r="E26" s="187"/>
      <c r="F26" s="66" t="e">
        <f>#REF!+#REF!*'2. Past Proj &amp; Candidate Model'!R22</f>
        <v>#REF!</v>
      </c>
      <c r="G26" s="69" t="s">
        <v>109</v>
      </c>
      <c r="H26" s="2" t="e">
        <f>'2. Past Proj &amp; Candidate Model'!S22/'3. Improved Alpha Model'!F26-1</f>
        <v>#REF!</v>
      </c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B30" s="188" t="s">
        <v>159</v>
      </c>
      <c r="C30" s="188"/>
      <c r="D30" s="188"/>
      <c r="E30" s="3">
        <f>C9</f>
        <v>5.8923676284423361E-2</v>
      </c>
      <c r="F30" t="s">
        <v>110</v>
      </c>
      <c r="G30" s="188" t="s">
        <v>111</v>
      </c>
      <c r="H30" s="188"/>
      <c r="I30" s="3" t="e">
        <f>#REF!</f>
        <v>#REF!</v>
      </c>
      <c r="O30" s="6"/>
      <c r="P30" s="6"/>
      <c r="Q30" s="6"/>
    </row>
    <row r="31" spans="1:17" x14ac:dyDescent="0.2">
      <c r="O31" s="6"/>
      <c r="P31" s="6"/>
      <c r="Q31" s="6"/>
    </row>
    <row r="32" spans="1:17" x14ac:dyDescent="0.2">
      <c r="O32" s="6"/>
      <c r="P32" s="6"/>
      <c r="Q32" s="6"/>
    </row>
    <row r="33" spans="1:17" x14ac:dyDescent="0.2">
      <c r="A33" s="67" t="s">
        <v>107</v>
      </c>
      <c r="B33" t="s">
        <v>113</v>
      </c>
      <c r="O33" s="6"/>
      <c r="P33" s="6"/>
      <c r="Q33" s="6"/>
    </row>
    <row r="34" spans="1:17" x14ac:dyDescent="0.2">
      <c r="B34" t="s">
        <v>114</v>
      </c>
      <c r="O34" s="6"/>
      <c r="P34" s="6"/>
      <c r="Q34" s="6"/>
    </row>
    <row r="35" spans="1:17" x14ac:dyDescent="0.2">
      <c r="B35" t="s">
        <v>115</v>
      </c>
      <c r="O35" s="6"/>
      <c r="P35" s="6"/>
      <c r="Q35" s="6"/>
    </row>
    <row r="36" spans="1:17" x14ac:dyDescent="0.2">
      <c r="B36" t="s">
        <v>116</v>
      </c>
      <c r="O36" s="6"/>
      <c r="P36" s="6"/>
      <c r="Q36" s="6"/>
    </row>
    <row r="37" spans="1:17" x14ac:dyDescent="0.2">
      <c r="B37" t="s">
        <v>117</v>
      </c>
      <c r="O37" s="6"/>
      <c r="P37" s="6"/>
      <c r="Q37" s="6"/>
    </row>
    <row r="38" spans="1:17" x14ac:dyDescent="0.2">
      <c r="B38" t="s">
        <v>118</v>
      </c>
      <c r="O38" s="6"/>
      <c r="P38" s="6"/>
      <c r="Q38" s="6"/>
    </row>
    <row r="39" spans="1:17" x14ac:dyDescent="0.2">
      <c r="B39" t="s">
        <v>119</v>
      </c>
      <c r="O39" s="6"/>
      <c r="P39" s="6"/>
      <c r="Q39" s="6"/>
    </row>
    <row r="40" spans="1:17" x14ac:dyDescent="0.2">
      <c r="B40" t="s">
        <v>120</v>
      </c>
      <c r="O40" s="6"/>
      <c r="P40" s="6"/>
      <c r="Q40" s="6"/>
    </row>
    <row r="41" spans="1:17" x14ac:dyDescent="0.2">
      <c r="B41" t="s">
        <v>121</v>
      </c>
      <c r="O41" s="6"/>
      <c r="P41" s="6"/>
      <c r="Q41" s="6"/>
    </row>
    <row r="42" spans="1:17" x14ac:dyDescent="0.2">
      <c r="B42" t="s">
        <v>122</v>
      </c>
      <c r="O42" s="6"/>
      <c r="P42" s="6"/>
      <c r="Q42" s="6"/>
    </row>
    <row r="43" spans="1:17" x14ac:dyDescent="0.2">
      <c r="O43" s="6"/>
      <c r="P43" s="6"/>
      <c r="Q43" s="6"/>
    </row>
    <row r="44" spans="1:17" x14ac:dyDescent="0.2">
      <c r="O44" s="6"/>
      <c r="P44" s="6"/>
      <c r="Q44" s="6"/>
    </row>
    <row r="45" spans="1:17" x14ac:dyDescent="0.2">
      <c r="O45" s="6"/>
      <c r="P45" s="6"/>
    </row>
    <row r="46" spans="1:17" x14ac:dyDescent="0.2">
      <c r="O46" s="6"/>
      <c r="P46" s="6"/>
    </row>
  </sheetData>
  <mergeCells count="5">
    <mergeCell ref="D7:N7"/>
    <mergeCell ref="B7:C7"/>
    <mergeCell ref="B26:E26"/>
    <mergeCell ref="B30:D30"/>
    <mergeCell ref="G30:H30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conditionalFormatting sqref="C14:K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conditionalFormatting sqref="C15:K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C45" sqref="C45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8.28515625" customWidth="1"/>
    <col min="19" max="19" width="14.85546875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D5</f>
        <v>PROJ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175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5.3031308655981033E-2</v>
      </c>
      <c r="D6" s="2">
        <v>7.1078039310018729E-2</v>
      </c>
      <c r="E6" s="2">
        <v>8.1263730858376848E-2</v>
      </c>
      <c r="F6" s="2">
        <v>6.0996850603562892E-2</v>
      </c>
      <c r="G6" s="2">
        <v>6.5700313602777824E-2</v>
      </c>
      <c r="H6" s="2">
        <v>8.1012204334251686E-2</v>
      </c>
      <c r="I6" s="2">
        <v>8.1303218846190711E-2</v>
      </c>
      <c r="J6" s="2">
        <v>6.508319904477422E-2</v>
      </c>
      <c r="K6" s="2">
        <v>6.4317919138936891E-2</v>
      </c>
      <c r="L6" s="2">
        <v>0.1136975425360963</v>
      </c>
      <c r="M6" s="2">
        <v>0.14442742677735659</v>
      </c>
    </row>
    <row r="7" spans="1:25" ht="15" x14ac:dyDescent="0.2">
      <c r="B7" s="71" t="s">
        <v>97</v>
      </c>
      <c r="C7" s="2">
        <v>8.3644409497155486E-2</v>
      </c>
      <c r="D7" s="2">
        <v>9.8546741756452658E-2</v>
      </c>
      <c r="E7" s="2">
        <v>0.1064844496244136</v>
      </c>
      <c r="F7" s="2">
        <v>8.9139100787630918E-2</v>
      </c>
      <c r="G7" s="2">
        <v>8.489276950911219E-2</v>
      </c>
      <c r="H7" s="2">
        <v>0.1063557999670849</v>
      </c>
      <c r="I7" s="2">
        <v>0.10646955857640079</v>
      </c>
      <c r="J7" s="2">
        <v>8.384302481219609E-2</v>
      </c>
      <c r="K7" s="2">
        <v>8.2419762079013636E-2</v>
      </c>
      <c r="L7" s="2">
        <v>0.14851615797768189</v>
      </c>
      <c r="M7" s="2">
        <v>0.1792316365218739</v>
      </c>
    </row>
    <row r="8" spans="1:25" ht="15" x14ac:dyDescent="0.2">
      <c r="B8" s="71" t="s">
        <v>98</v>
      </c>
      <c r="C8" s="2">
        <v>5.7166928567371489E-3</v>
      </c>
      <c r="D8" s="2">
        <v>3.3134947829346451E-2</v>
      </c>
      <c r="E8" s="2">
        <v>2.50555031677786E-2</v>
      </c>
      <c r="F8" s="2">
        <v>-2.1492729597274881E-2</v>
      </c>
      <c r="G8" s="2">
        <v>7.8372636229923076E-4</v>
      </c>
      <c r="H8" s="2">
        <v>2.4599506165736581E-2</v>
      </c>
      <c r="I8" s="2">
        <v>2.580757460922178E-2</v>
      </c>
      <c r="J8" s="2">
        <v>7.070975423235093E-4</v>
      </c>
      <c r="K8" s="2">
        <v>2.4404632571384249E-4</v>
      </c>
      <c r="L8" s="2">
        <v>3.1208636561637859E-2</v>
      </c>
      <c r="M8" s="2">
        <v>-2.1792055061634449E-2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203</v>
      </c>
      <c r="D14">
        <v>203.8</v>
      </c>
      <c r="E14">
        <v>209.084022</v>
      </c>
      <c r="O14" s="2">
        <f>D14/C14-1</f>
        <v>3.9408866995074288E-3</v>
      </c>
      <c r="P14" s="2">
        <f>E14/C14-1</f>
        <v>2.9970551724137984E-2</v>
      </c>
    </row>
    <row r="15" spans="1:25" x14ac:dyDescent="0.2">
      <c r="B15" t="s">
        <v>169</v>
      </c>
      <c r="C15">
        <v>194</v>
      </c>
      <c r="D15">
        <v>201.3</v>
      </c>
      <c r="E15">
        <v>197.573532</v>
      </c>
      <c r="O15" s="2">
        <f t="shared" ref="O15:O20" si="0">D15/C15-1</f>
        <v>3.7628865979381532E-2</v>
      </c>
      <c r="P15" s="2">
        <f t="shared" ref="P15:P20" si="1">E15/C15-1</f>
        <v>1.8420268041237087E-2</v>
      </c>
    </row>
    <row r="16" spans="1:25" x14ac:dyDescent="0.2">
      <c r="B16" t="s">
        <v>167</v>
      </c>
      <c r="C16">
        <v>219</v>
      </c>
      <c r="D16">
        <v>226.9</v>
      </c>
      <c r="E16">
        <v>203.54478900000001</v>
      </c>
      <c r="O16" s="2">
        <f t="shared" si="0"/>
        <v>3.6073059360730575E-2</v>
      </c>
      <c r="P16" s="2">
        <f t="shared" si="1"/>
        <v>-7.0571739726027372E-2</v>
      </c>
    </row>
    <row r="17" spans="2:25" x14ac:dyDescent="0.2">
      <c r="B17" t="s">
        <v>42</v>
      </c>
      <c r="C17">
        <v>205</v>
      </c>
      <c r="D17">
        <v>211</v>
      </c>
      <c r="E17">
        <v>194.27751599999999</v>
      </c>
      <c r="O17" s="2">
        <f t="shared" si="0"/>
        <v>2.9268292682926855E-2</v>
      </c>
      <c r="P17" s="2">
        <f t="shared" si="1"/>
        <v>-5.230480000000004E-2</v>
      </c>
    </row>
    <row r="18" spans="2:25" x14ac:dyDescent="0.2">
      <c r="B18" t="s">
        <v>43</v>
      </c>
      <c r="C18">
        <v>207</v>
      </c>
      <c r="D18">
        <v>210.8</v>
      </c>
      <c r="E18">
        <v>208.81990400000001</v>
      </c>
      <c r="O18" s="2">
        <f t="shared" si="0"/>
        <v>1.8357487922705307E-2</v>
      </c>
      <c r="P18" s="2">
        <f t="shared" si="1"/>
        <v>8.7918067632850594E-3</v>
      </c>
    </row>
    <row r="19" spans="2:25" x14ac:dyDescent="0.2">
      <c r="B19" t="s">
        <v>44</v>
      </c>
      <c r="C19">
        <v>198</v>
      </c>
      <c r="D19">
        <v>204.5</v>
      </c>
      <c r="E19">
        <v>195.17246599999999</v>
      </c>
      <c r="O19" s="2">
        <f t="shared" si="0"/>
        <v>3.2828282828282873E-2</v>
      </c>
      <c r="P19" s="2">
        <f t="shared" si="1"/>
        <v>-1.4280474747474847E-2</v>
      </c>
    </row>
    <row r="20" spans="2:25" x14ac:dyDescent="0.2">
      <c r="B20" t="s">
        <v>45</v>
      </c>
      <c r="C20">
        <v>228</v>
      </c>
      <c r="D20">
        <v>228.9</v>
      </c>
      <c r="E20">
        <v>214.71998500000001</v>
      </c>
      <c r="O20" s="2">
        <f t="shared" si="0"/>
        <v>3.9473684210526994E-3</v>
      </c>
      <c r="P20" s="2">
        <f t="shared" si="1"/>
        <v>-5.8245679824561414E-2</v>
      </c>
    </row>
    <row r="21" spans="2:25" x14ac:dyDescent="0.2">
      <c r="B21" t="s">
        <v>46</v>
      </c>
      <c r="C21">
        <v>213</v>
      </c>
      <c r="D21">
        <v>215.1</v>
      </c>
      <c r="E21">
        <v>221.854961</v>
      </c>
      <c r="F21">
        <v>226.777632805552</v>
      </c>
      <c r="G21">
        <v>210.45002143114101</v>
      </c>
      <c r="H21">
        <v>216.97103928976949</v>
      </c>
      <c r="I21">
        <v>226.28251759171431</v>
      </c>
      <c r="J21">
        <v>226.77416847061579</v>
      </c>
      <c r="K21">
        <v>216.9186821154731</v>
      </c>
      <c r="L21">
        <v>216.96825850548419</v>
      </c>
      <c r="M21">
        <v>246.03658409347369</v>
      </c>
      <c r="N21">
        <v>285.60172024740308</v>
      </c>
      <c r="O21" s="2">
        <v>9.8591549295774517E-3</v>
      </c>
      <c r="P21" s="2">
        <v>4.1572586854460081E-2</v>
      </c>
      <c r="Q21" s="2">
        <v>6.4683722091793516E-2</v>
      </c>
      <c r="R21" s="2">
        <v>-1.197173037022992E-2</v>
      </c>
      <c r="S21" s="2">
        <v>1.864337694727447E-2</v>
      </c>
      <c r="T21" s="2">
        <v>6.2359237519785449E-2</v>
      </c>
      <c r="U21" s="2">
        <v>6.4667457608524881E-2</v>
      </c>
      <c r="V21" s="2">
        <v>1.8397568617244842E-2</v>
      </c>
      <c r="W21" s="2">
        <v>1.8630321621991849E-2</v>
      </c>
      <c r="X21" s="2">
        <v>0.15510133377217719</v>
      </c>
      <c r="Y21" s="2">
        <v>0.34085314670142308</v>
      </c>
    </row>
    <row r="22" spans="2:25" x14ac:dyDescent="0.2">
      <c r="B22" t="s">
        <v>47</v>
      </c>
      <c r="C22">
        <v>219</v>
      </c>
      <c r="D22">
        <v>214.7</v>
      </c>
      <c r="E22">
        <v>225.289266</v>
      </c>
      <c r="F22">
        <v>222.08097555980461</v>
      </c>
      <c r="G22">
        <v>210.36969464469891</v>
      </c>
      <c r="H22">
        <v>215.26037259523389</v>
      </c>
      <c r="I22">
        <v>221.88122448468491</v>
      </c>
      <c r="J22">
        <v>222.07864732302269</v>
      </c>
      <c r="K22">
        <v>215.2806411963611</v>
      </c>
      <c r="L22">
        <v>215.0046132672565</v>
      </c>
      <c r="M22">
        <v>216.4923886215245</v>
      </c>
      <c r="N22">
        <v>203.3119860187289</v>
      </c>
      <c r="O22" s="2">
        <v>-1.9634703196347081E-2</v>
      </c>
      <c r="P22" s="2">
        <v>2.87181095890412E-2</v>
      </c>
      <c r="Q22" s="2">
        <v>1.406838155161916E-2</v>
      </c>
      <c r="R22" s="2">
        <v>-3.94077870105074E-2</v>
      </c>
      <c r="S22" s="2">
        <v>-1.7075924222676009E-2</v>
      </c>
      <c r="T22" s="2">
        <v>1.3156276185775971E-2</v>
      </c>
      <c r="U22" s="2">
        <v>1.405775033343692E-2</v>
      </c>
      <c r="V22" s="2">
        <v>-1.698337353259782E-2</v>
      </c>
      <c r="W22" s="2">
        <v>-1.8243775035358342E-2</v>
      </c>
      <c r="X22" s="2">
        <v>-1.1450280267011561E-2</v>
      </c>
      <c r="Y22" s="2">
        <v>-7.1634767037767388E-2</v>
      </c>
    </row>
    <row r="23" spans="2:25" x14ac:dyDescent="0.2">
      <c r="B23" t="s">
        <v>48</v>
      </c>
      <c r="C23">
        <v>211</v>
      </c>
      <c r="D23">
        <v>208.2</v>
      </c>
      <c r="E23">
        <v>213.766413</v>
      </c>
      <c r="F23">
        <v>213.3903890456813</v>
      </c>
      <c r="G23">
        <v>204.45610321806851</v>
      </c>
      <c r="H23">
        <v>207.17183775555071</v>
      </c>
      <c r="I23">
        <v>213.35315798007829</v>
      </c>
      <c r="J23">
        <v>213.38986341416501</v>
      </c>
      <c r="K23">
        <v>207.23649357607519</v>
      </c>
      <c r="L23">
        <v>207.17198968721101</v>
      </c>
      <c r="M23">
        <v>215.11871206196381</v>
      </c>
      <c r="N23">
        <v>216.9186886089592</v>
      </c>
      <c r="O23" s="2">
        <v>-1.3270142180094809E-2</v>
      </c>
      <c r="P23" s="2">
        <v>1.311096208530804E-2</v>
      </c>
      <c r="Q23" s="2">
        <v>1.132885803640438E-2</v>
      </c>
      <c r="R23" s="2">
        <v>-3.1013728824319849E-2</v>
      </c>
      <c r="S23" s="2">
        <v>-1.8142949025826031E-2</v>
      </c>
      <c r="T23" s="2">
        <v>1.115240748852275E-2</v>
      </c>
      <c r="U23" s="2">
        <v>1.1326366891777351E-2</v>
      </c>
      <c r="V23" s="2">
        <v>-1.7836523336136501E-2</v>
      </c>
      <c r="W23" s="2">
        <v>-1.8142228970564171E-2</v>
      </c>
      <c r="X23" s="2">
        <v>1.951996237897546E-2</v>
      </c>
      <c r="Y23" s="2">
        <v>2.8050656914498481E-2</v>
      </c>
    </row>
    <row r="24" spans="2:25" x14ac:dyDescent="0.2">
      <c r="B24" t="s">
        <v>49</v>
      </c>
      <c r="C24">
        <v>239</v>
      </c>
      <c r="D24">
        <v>241.3</v>
      </c>
      <c r="E24">
        <v>244.405024</v>
      </c>
      <c r="F24">
        <v>232.4555363704448</v>
      </c>
      <c r="G24">
        <v>239.22792515798079</v>
      </c>
      <c r="H24">
        <v>247.91082359523011</v>
      </c>
      <c r="I24">
        <v>232.241248962578</v>
      </c>
      <c r="J24">
        <v>232.45211112094569</v>
      </c>
      <c r="K24">
        <v>247.5907458411784</v>
      </c>
      <c r="L24">
        <v>247.90582346879771</v>
      </c>
      <c r="M24">
        <v>215.6263365246094</v>
      </c>
      <c r="N24">
        <v>171.75299289613761</v>
      </c>
      <c r="O24" s="2">
        <v>9.6234309623430825E-3</v>
      </c>
      <c r="P24" s="2">
        <v>2.2615163179916301E-2</v>
      </c>
      <c r="Q24" s="2">
        <v>-2.7382693010691069E-2</v>
      </c>
      <c r="R24" s="2">
        <v>9.5366174887367983E-4</v>
      </c>
      <c r="S24" s="2">
        <v>3.7283780733180061E-2</v>
      </c>
      <c r="T24" s="2">
        <v>-2.827929304360666E-2</v>
      </c>
      <c r="U24" s="2">
        <v>-2.739702459855364E-2</v>
      </c>
      <c r="V24" s="2">
        <v>3.5944543268529028E-2</v>
      </c>
      <c r="W24" s="2">
        <v>3.7262859702082318E-2</v>
      </c>
      <c r="X24" s="2">
        <v>-9.779775512715716E-2</v>
      </c>
      <c r="Y24" s="2">
        <v>-0.28136823056009369</v>
      </c>
    </row>
    <row r="25" spans="2:25" x14ac:dyDescent="0.2">
      <c r="B25" t="s">
        <v>50</v>
      </c>
      <c r="C25">
        <v>201</v>
      </c>
      <c r="D25">
        <v>210.8</v>
      </c>
      <c r="E25">
        <v>208.547909</v>
      </c>
      <c r="F25">
        <v>210.08075625841241</v>
      </c>
      <c r="G25">
        <v>207.93148591016919</v>
      </c>
      <c r="H25">
        <v>208.0581890666227</v>
      </c>
      <c r="I25">
        <v>210.0807665014251</v>
      </c>
      <c r="J25">
        <v>210.08091097122829</v>
      </c>
      <c r="K25">
        <v>208.0817967606653</v>
      </c>
      <c r="L25">
        <v>208.0585174984555</v>
      </c>
      <c r="M25">
        <v>209.62235945960441</v>
      </c>
      <c r="N25">
        <v>211.2366852189416</v>
      </c>
      <c r="O25" s="2">
        <v>4.8756218905472659E-2</v>
      </c>
      <c r="P25" s="2">
        <v>3.7551786069651698E-2</v>
      </c>
      <c r="Q25" s="2">
        <v>4.5177891832897783E-2</v>
      </c>
      <c r="R25" s="2">
        <v>3.4485004528205021E-2</v>
      </c>
      <c r="S25" s="2">
        <v>3.5115368490660437E-2</v>
      </c>
      <c r="T25" s="2">
        <v>4.5177942793159787E-2</v>
      </c>
      <c r="U25" s="2">
        <v>4.5178661548399328E-2</v>
      </c>
      <c r="V25" s="2">
        <v>3.5232819704802631E-2</v>
      </c>
      <c r="W25" s="2">
        <v>3.5117002479877923E-2</v>
      </c>
      <c r="X25" s="2">
        <v>4.2897310744300247E-2</v>
      </c>
      <c r="Y25" s="2">
        <v>5.0928782183789163E-2</v>
      </c>
    </row>
    <row r="26" spans="2:25" x14ac:dyDescent="0.2">
      <c r="B26" t="s">
        <v>51</v>
      </c>
      <c r="C26">
        <v>140</v>
      </c>
      <c r="D26">
        <v>114.7</v>
      </c>
      <c r="E26">
        <v>147.34887599999999</v>
      </c>
      <c r="F26">
        <v>164.0069758842605</v>
      </c>
      <c r="G26">
        <v>107.3486036342519</v>
      </c>
      <c r="H26">
        <v>112.49828768818109</v>
      </c>
      <c r="I26">
        <v>164.0071877477352</v>
      </c>
      <c r="J26">
        <v>164.01041185021549</v>
      </c>
      <c r="K26">
        <v>113.07844078932681</v>
      </c>
      <c r="L26">
        <v>113.42867080214999</v>
      </c>
      <c r="M26">
        <v>186.24737659059221</v>
      </c>
      <c r="N26">
        <v>103.84826182703971</v>
      </c>
      <c r="O26" s="2">
        <v>-0.18071428571428569</v>
      </c>
      <c r="P26" s="2">
        <v>5.2491971428571427E-2</v>
      </c>
      <c r="Q26" s="2">
        <v>0.1714783991732893</v>
      </c>
      <c r="R26" s="2">
        <v>-0.23322425975534361</v>
      </c>
      <c r="S26" s="2">
        <v>-0.19644080222727761</v>
      </c>
      <c r="T26" s="2">
        <v>0.17147991248382291</v>
      </c>
      <c r="U26" s="2">
        <v>0.171502941787254</v>
      </c>
      <c r="V26" s="2">
        <v>-0.1922968515048086</v>
      </c>
      <c r="W26" s="2">
        <v>-0.1897952085560716</v>
      </c>
      <c r="X26" s="2">
        <v>0.33033840421851579</v>
      </c>
      <c r="Y26" s="2">
        <v>-0.25822670123543101</v>
      </c>
    </row>
    <row r="27" spans="2:25" x14ac:dyDescent="0.2">
      <c r="B27" t="s">
        <v>53</v>
      </c>
      <c r="C27">
        <v>213</v>
      </c>
      <c r="D27">
        <v>248.5</v>
      </c>
      <c r="E27">
        <v>228.21809200000001</v>
      </c>
      <c r="F27">
        <v>227.1165562538603</v>
      </c>
      <c r="G27">
        <v>237.4211952686511</v>
      </c>
      <c r="H27">
        <v>235.46479515350109</v>
      </c>
      <c r="I27">
        <v>227.11652109137651</v>
      </c>
      <c r="J27">
        <v>226.87710494306839</v>
      </c>
      <c r="K27">
        <v>235.44281593056311</v>
      </c>
      <c r="L27">
        <v>235.1732830163763</v>
      </c>
      <c r="M27">
        <v>224.83253493587529</v>
      </c>
      <c r="N27">
        <v>222.41512387295711</v>
      </c>
      <c r="O27" s="2">
        <v>0.16666666666666671</v>
      </c>
      <c r="P27" s="2">
        <v>7.1446441314554132E-2</v>
      </c>
      <c r="Q27" s="2">
        <v>6.6274911989954388E-2</v>
      </c>
      <c r="R27" s="2">
        <v>0.114653498913855</v>
      </c>
      <c r="S27" s="2">
        <v>0.1054685218474227</v>
      </c>
      <c r="T27" s="2">
        <v>6.6274746907870608E-2</v>
      </c>
      <c r="U27" s="2">
        <v>6.5150727432246036E-2</v>
      </c>
      <c r="V27" s="2">
        <v>0.1053653330073385</v>
      </c>
      <c r="W27" s="2">
        <v>0.10409992026467731</v>
      </c>
      <c r="X27" s="2">
        <v>5.5551807210682203E-2</v>
      </c>
      <c r="Y27" s="2">
        <v>4.4202459497451267E-2</v>
      </c>
    </row>
    <row r="28" spans="2:25" x14ac:dyDescent="0.2">
      <c r="B28" t="s">
        <v>54</v>
      </c>
      <c r="C28">
        <v>186.3</v>
      </c>
      <c r="D28">
        <v>201.2</v>
      </c>
      <c r="E28">
        <v>193.64374799999999</v>
      </c>
      <c r="F28">
        <v>193.01474099724771</v>
      </c>
      <c r="G28">
        <v>200.38004834831091</v>
      </c>
      <c r="H28">
        <v>196.7650581776129</v>
      </c>
      <c r="I28">
        <v>193.01476174394341</v>
      </c>
      <c r="J28">
        <v>193.2969434122767</v>
      </c>
      <c r="K28">
        <v>196.76507138082019</v>
      </c>
      <c r="L28">
        <v>197.20305022095451</v>
      </c>
      <c r="M28">
        <v>196.08650027950921</v>
      </c>
      <c r="N28">
        <v>200.44882532740729</v>
      </c>
      <c r="O28" s="2">
        <v>7.9978529253891484E-2</v>
      </c>
      <c r="P28" s="2">
        <v>3.941893719806755E-2</v>
      </c>
      <c r="Q28" s="2">
        <v>3.6042624783938049E-2</v>
      </c>
      <c r="R28" s="2">
        <v>7.5577285820240814E-2</v>
      </c>
      <c r="S28" s="2">
        <v>5.6173151785361641E-2</v>
      </c>
      <c r="T28" s="2">
        <v>3.6042736145697203E-2</v>
      </c>
      <c r="U28" s="2">
        <v>3.7557398885006643E-2</v>
      </c>
      <c r="V28" s="2">
        <v>5.6173222656039863E-2</v>
      </c>
      <c r="W28" s="2">
        <v>5.8524155775386388E-2</v>
      </c>
      <c r="X28" s="2">
        <v>5.2530865697848712E-2</v>
      </c>
      <c r="Y28" s="2">
        <v>7.5946459084311968E-2</v>
      </c>
    </row>
    <row r="29" spans="2:25" x14ac:dyDescent="0.2">
      <c r="B29" t="s">
        <v>55</v>
      </c>
      <c r="C29">
        <v>221</v>
      </c>
      <c r="D29">
        <v>221.4</v>
      </c>
      <c r="E29">
        <v>182.43661399999999</v>
      </c>
      <c r="F29">
        <v>181.79394432567341</v>
      </c>
      <c r="G29">
        <v>213.38078064828031</v>
      </c>
      <c r="H29">
        <v>197.77867359035329</v>
      </c>
      <c r="I29">
        <v>181.79397930819911</v>
      </c>
      <c r="J29">
        <v>181.79449953742741</v>
      </c>
      <c r="K29">
        <v>197.83132929778611</v>
      </c>
      <c r="L29">
        <v>198.8990039851999</v>
      </c>
      <c r="M29">
        <v>183.46498852465589</v>
      </c>
      <c r="N29">
        <v>187.71888968629</v>
      </c>
      <c r="O29" s="2">
        <v>1.8099547511312151E-3</v>
      </c>
      <c r="P29" s="2">
        <v>-0.1744949592760181</v>
      </c>
      <c r="Q29" s="2">
        <v>-0.1774029668521564</v>
      </c>
      <c r="R29" s="2">
        <v>-3.4476105663889922E-2</v>
      </c>
      <c r="S29" s="2">
        <v>-0.10507387515677261</v>
      </c>
      <c r="T29" s="2">
        <v>-0.177402808560185</v>
      </c>
      <c r="U29" s="2">
        <v>-0.17740045458177639</v>
      </c>
      <c r="V29" s="2">
        <v>-0.104835614037167</v>
      </c>
      <c r="W29" s="2">
        <v>-0.100004506854299</v>
      </c>
      <c r="X29" s="2">
        <v>-0.1698416808839098</v>
      </c>
      <c r="Y29" s="2">
        <v>-0.1505932593380542</v>
      </c>
    </row>
    <row r="30" spans="2:25" x14ac:dyDescent="0.2">
      <c r="B30" t="s">
        <v>71</v>
      </c>
      <c r="C30">
        <v>221.8</v>
      </c>
      <c r="D30">
        <v>221.8</v>
      </c>
      <c r="E30">
        <v>170.92806820000001</v>
      </c>
      <c r="F30">
        <v>177.7068566159048</v>
      </c>
      <c r="G30">
        <v>214.2132326538437</v>
      </c>
      <c r="H30">
        <v>206.80956147584371</v>
      </c>
      <c r="I30">
        <v>177.7068958849147</v>
      </c>
      <c r="J30">
        <v>177.7076228164841</v>
      </c>
      <c r="K30">
        <v>206.76946997431341</v>
      </c>
      <c r="L30">
        <v>207.7469267497745</v>
      </c>
      <c r="M30">
        <v>177.00837164160649</v>
      </c>
      <c r="N30">
        <v>190.20019720203851</v>
      </c>
      <c r="O30" s="2">
        <v>0</v>
      </c>
      <c r="P30" s="2">
        <v>-0.2293594761045987</v>
      </c>
      <c r="Q30" s="2">
        <v>-0.19879685926102439</v>
      </c>
      <c r="R30" s="2">
        <v>-3.4205443400163738E-2</v>
      </c>
      <c r="S30" s="2">
        <v>-6.7585385591326763E-2</v>
      </c>
      <c r="T30" s="2">
        <v>-0.19879668221409061</v>
      </c>
      <c r="U30" s="2">
        <v>-0.1987934047949319</v>
      </c>
      <c r="V30" s="2">
        <v>-6.7766140783077411E-2</v>
      </c>
      <c r="W30" s="2">
        <v>-6.335921212906015E-2</v>
      </c>
      <c r="X30" s="2">
        <v>-0.20194602506038531</v>
      </c>
      <c r="Y30" s="2">
        <v>-0.1424698052207464</v>
      </c>
    </row>
    <row r="31" spans="2:25" x14ac:dyDescent="0.2">
      <c r="B31" s="105" t="s">
        <v>148</v>
      </c>
      <c r="C31" s="105"/>
      <c r="D31" s="105">
        <f t="shared" ref="D31:D36" si="2">D$30/(1+O31)</f>
        <v>218.18469235324312</v>
      </c>
      <c r="E31">
        <f t="shared" ref="E31:E36" si="3">E$30/(1+P31)</f>
        <v>170.98993523681932</v>
      </c>
      <c r="L31" s="104" t="s">
        <v>141</v>
      </c>
      <c r="M31" s="104"/>
      <c r="N31" s="104"/>
      <c r="O31" s="113">
        <f>AVERAGE(O14:O29)</f>
        <v>1.6569941767058893E-2</v>
      </c>
      <c r="P31" s="3">
        <f>AVERAGE(P14:P29)</f>
        <v>-3.6181683286570093E-4</v>
      </c>
    </row>
    <row r="32" spans="2:25" x14ac:dyDescent="0.2">
      <c r="B32" s="94" t="s">
        <v>149</v>
      </c>
      <c r="C32" s="94"/>
      <c r="D32" s="105">
        <f t="shared" si="2"/>
        <v>218.71430823886985</v>
      </c>
      <c r="E32">
        <f t="shared" si="3"/>
        <v>167.49152472844</v>
      </c>
      <c r="I32" s="3"/>
      <c r="L32" s="94" t="s">
        <v>143</v>
      </c>
      <c r="M32" s="94"/>
      <c r="N32" s="94"/>
      <c r="O32" s="114">
        <f>MEDIAN(O14:O29)</f>
        <v>1.4108321426141379E-2</v>
      </c>
      <c r="P32" s="1">
        <f>MEDIAN(P14:P29)</f>
        <v>2.0517715610576692E-2</v>
      </c>
      <c r="R32" s="3"/>
    </row>
    <row r="33" spans="1:16" x14ac:dyDescent="0.2">
      <c r="B33" s="95" t="s">
        <v>150</v>
      </c>
      <c r="C33" s="95"/>
      <c r="D33" s="105">
        <f t="shared" si="2"/>
        <v>238.80439584717311</v>
      </c>
      <c r="E33">
        <f t="shared" si="3"/>
        <v>184.58346642374255</v>
      </c>
      <c r="L33" s="95" t="s">
        <v>142</v>
      </c>
      <c r="M33" s="95"/>
      <c r="N33" s="95"/>
      <c r="O33" s="115">
        <f>AVERAGE(O26,O22:O23)</f>
        <v>-7.1206377030242532E-2</v>
      </c>
      <c r="P33" s="1">
        <f>AVERAGE(P29,P19:P20,P16:P17)</f>
        <v>-7.3979530714816361E-2</v>
      </c>
    </row>
    <row r="34" spans="1:16" x14ac:dyDescent="0.2">
      <c r="B34" s="96" t="s">
        <v>151</v>
      </c>
      <c r="C34" s="96"/>
      <c r="D34" s="105">
        <f t="shared" si="2"/>
        <v>226.24219841639498</v>
      </c>
      <c r="E34">
        <f t="shared" si="3"/>
        <v>181.49963800342107</v>
      </c>
      <c r="L34" s="96" t="s">
        <v>144</v>
      </c>
      <c r="M34" s="96"/>
      <c r="N34" s="96"/>
      <c r="O34" s="116">
        <f>MEDIAN(O26,O22:O23)</f>
        <v>-1.9634703196347081E-2</v>
      </c>
      <c r="P34" s="1">
        <f>MEDIAN(P29,P19:P20,P16:P17)</f>
        <v>-5.8245679824561414E-2</v>
      </c>
    </row>
    <row r="35" spans="1:16" x14ac:dyDescent="0.2">
      <c r="B35" s="97" t="s">
        <v>152</v>
      </c>
      <c r="C35" s="97"/>
      <c r="D35" s="105">
        <f t="shared" si="2"/>
        <v>213.92210141273648</v>
      </c>
      <c r="E35">
        <f t="shared" si="3"/>
        <v>165.45149461227027</v>
      </c>
      <c r="I35" s="101"/>
      <c r="L35" s="97" t="s">
        <v>145</v>
      </c>
      <c r="M35" s="97"/>
      <c r="N35" s="97"/>
      <c r="O35" s="117">
        <f>AVERAGE(O27:O29,O24:O25,O14:O21)</f>
        <v>3.6826015335666915E-2</v>
      </c>
      <c r="P35" s="1">
        <f>AVERAGE(P21:P28,P18,P14:P15)</f>
        <v>3.3100780386202781E-2</v>
      </c>
    </row>
    <row r="36" spans="1:16" x14ac:dyDescent="0.2">
      <c r="B36" s="98" t="s">
        <v>153</v>
      </c>
      <c r="C36" s="98"/>
      <c r="D36" s="105">
        <f t="shared" si="2"/>
        <v>215.49289099526067</v>
      </c>
      <c r="E36">
        <f t="shared" si="3"/>
        <v>165.95432550364848</v>
      </c>
      <c r="L36" s="98" t="s">
        <v>146</v>
      </c>
      <c r="M36" s="98"/>
      <c r="N36" s="98"/>
      <c r="O36" s="118">
        <f>MEDIAN(O27:O29,O24:O25,O14:O21)</f>
        <v>2.9268292682926855E-2</v>
      </c>
      <c r="P36" s="1">
        <f>MEDIAN(P21:P28,P18,P14:P15)</f>
        <v>2.9970551724137984E-2</v>
      </c>
    </row>
    <row r="38" spans="1:16" x14ac:dyDescent="0.2">
      <c r="A38" s="67" t="s">
        <v>103</v>
      </c>
      <c r="B38" t="s">
        <v>154</v>
      </c>
    </row>
    <row r="39" spans="1:16" x14ac:dyDescent="0.2">
      <c r="B39" t="s">
        <v>155</v>
      </c>
    </row>
    <row r="45" spans="1:16" x14ac:dyDescent="0.2">
      <c r="A45" s="67" t="s">
        <v>105</v>
      </c>
      <c r="B45" s="77" t="s">
        <v>156</v>
      </c>
      <c r="C45" s="78">
        <f>D35</f>
        <v>213.92210141273648</v>
      </c>
      <c r="D45" t="s">
        <v>170</v>
      </c>
    </row>
    <row r="47" spans="1:16" x14ac:dyDescent="0.2">
      <c r="B47" s="189" t="s">
        <v>164</v>
      </c>
      <c r="C47" s="189"/>
      <c r="D47" s="2">
        <f>C45/D30-1</f>
        <v>-3.5518027895687698E-2</v>
      </c>
    </row>
    <row r="48" spans="1:16" x14ac:dyDescent="0.2">
      <c r="B48" s="177" t="s">
        <v>163</v>
      </c>
      <c r="C48" s="177"/>
      <c r="D48" s="2">
        <f>'1. Data &amp; Confidence Interval'!O25</f>
        <v>-2.764537654909438E-2</v>
      </c>
    </row>
  </sheetData>
  <mergeCells count="2">
    <mergeCell ref="B48:C48"/>
    <mergeCell ref="B47:C47"/>
  </mergeCells>
  <conditionalFormatting sqref="P21:W29 Q20:W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2:P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2021-10-22T18:19:31Z</dcterms:modified>
</cp:coreProperties>
</file>