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YK\"/>
    </mc:Choice>
  </mc:AlternateContent>
  <xr:revisionPtr revIDLastSave="0" documentId="13_ncr:1_{073CCAAF-B51A-4536-8BBD-53F5764CD18F}" xr6:coauthVersionLast="46" xr6:coauthVersionMax="46" xr10:uidLastSave="{00000000-0000-0000-0000-000000000000}"/>
  <bookViews>
    <workbookView xWindow="-28920" yWindow="-120" windowWidth="29040" windowHeight="15840" activeTab="1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M36" i="4"/>
  <c r="W36" i="4"/>
  <c r="W35" i="4"/>
  <c r="W34" i="4"/>
  <c r="W33" i="4"/>
  <c r="W32" i="4"/>
  <c r="W31" i="4"/>
  <c r="R23" i="2"/>
  <c r="Q23" i="2"/>
  <c r="P23" i="2"/>
  <c r="O23" i="2"/>
  <c r="N23" i="2"/>
  <c r="M23" i="2"/>
  <c r="L23" i="2"/>
  <c r="K23" i="2"/>
  <c r="J23" i="2"/>
  <c r="AO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C2" i="4" l="1"/>
  <c r="D48" i="4"/>
  <c r="O25" i="1"/>
  <c r="L36" i="4"/>
  <c r="L35" i="4"/>
  <c r="L34" i="4"/>
  <c r="L33" i="4"/>
  <c r="L32" i="4"/>
  <c r="L31" i="4"/>
  <c r="H41" i="2"/>
  <c r="AO23" i="1"/>
  <c r="AO22" i="1"/>
  <c r="AO20" i="1"/>
  <c r="L25" i="1"/>
  <c r="O24" i="1"/>
  <c r="L24" i="1"/>
  <c r="L20" i="1"/>
  <c r="D47" i="4" l="1"/>
  <c r="AL20" i="1"/>
  <c r="AM20" i="1"/>
  <c r="AL22" i="1"/>
  <c r="AM22" i="1"/>
  <c r="L22" i="1"/>
  <c r="M22" i="1"/>
  <c r="N22" i="1"/>
  <c r="O23" i="1" s="1"/>
  <c r="O22" i="1"/>
  <c r="P22" i="1"/>
  <c r="M20" i="1"/>
  <c r="N20" i="1"/>
  <c r="O21" i="1" s="1"/>
  <c r="O20" i="1"/>
  <c r="P20" i="1"/>
  <c r="R22" i="1"/>
  <c r="E18" i="1"/>
  <c r="D18" i="1"/>
  <c r="C18" i="1"/>
  <c r="B18" i="1"/>
  <c r="B17" i="1"/>
  <c r="C17" i="1"/>
  <c r="D17" i="1"/>
  <c r="E17" i="1"/>
  <c r="F13" i="1"/>
  <c r="G13" i="1"/>
  <c r="H13" i="1"/>
  <c r="I13" i="1"/>
  <c r="P21" i="1" l="1"/>
  <c r="P23" i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J13" i="1"/>
  <c r="K13" i="1"/>
  <c r="L13" i="1"/>
  <c r="M13" i="1"/>
  <c r="J17" i="1"/>
  <c r="I17" i="1"/>
  <c r="H17" i="1"/>
  <c r="G17" i="1"/>
  <c r="F17" i="1"/>
  <c r="I18" i="1"/>
  <c r="H18" i="1"/>
  <c r="G18" i="1"/>
  <c r="F18" i="1"/>
  <c r="J18" i="1"/>
  <c r="J39" i="2" l="1"/>
  <c r="J42" i="2"/>
  <c r="L18" i="1"/>
  <c r="K18" i="1"/>
  <c r="Q22" i="1"/>
  <c r="S22" i="1"/>
  <c r="T22" i="1"/>
  <c r="Q20" i="1"/>
  <c r="R20" i="1"/>
  <c r="S20" i="1"/>
  <c r="T20" i="1"/>
  <c r="J41" i="2"/>
  <c r="J40" i="2"/>
  <c r="G40" i="2"/>
  <c r="R24" i="2"/>
  <c r="U22" i="1"/>
  <c r="V22" i="1"/>
  <c r="U20" i="1"/>
  <c r="V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N18" i="1"/>
  <c r="AO18" i="1"/>
  <c r="N17" i="1"/>
  <c r="M17" i="1"/>
  <c r="L17" i="1"/>
  <c r="K17" i="1"/>
  <c r="V17" i="1"/>
  <c r="U17" i="1"/>
  <c r="T17" i="1"/>
  <c r="S17" i="1"/>
  <c r="Q18" i="1"/>
  <c r="P18" i="1"/>
  <c r="N18" i="1"/>
  <c r="M18" i="1"/>
  <c r="W20" i="1"/>
  <c r="W22" i="1"/>
  <c r="AO25" i="1" l="1"/>
  <c r="AO26" i="1"/>
  <c r="Q21" i="1"/>
  <c r="S21" i="1"/>
  <c r="R21" i="1"/>
  <c r="R23" i="1"/>
  <c r="S23" i="1"/>
  <c r="Q23" i="1"/>
  <c r="V21" i="1"/>
  <c r="T21" i="1"/>
  <c r="W21" i="1"/>
  <c r="W23" i="1"/>
  <c r="U23" i="1"/>
  <c r="T23" i="1"/>
  <c r="U21" i="1"/>
  <c r="V23" i="1"/>
  <c r="J24" i="2"/>
  <c r="A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N17" i="1"/>
  <c r="AO24" i="1" s="1"/>
  <c r="AM17" i="1"/>
  <c r="AL17" i="1"/>
  <c r="AK17" i="1"/>
  <c r="AJ17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M18" i="1"/>
  <c r="AL18" i="1"/>
  <c r="W18" i="1"/>
  <c r="V18" i="1"/>
  <c r="U18" i="1"/>
  <c r="T18" i="1"/>
  <c r="S18" i="1"/>
  <c r="R18" i="1"/>
  <c r="O18" i="1"/>
  <c r="P17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30" i="3"/>
  <c r="E30" i="3"/>
  <c r="AI17" i="1"/>
  <c r="AH17" i="1"/>
  <c r="AG17" i="1"/>
  <c r="AF17" i="1"/>
  <c r="N10" i="1" l="1"/>
  <c r="C7" i="1"/>
  <c r="AN10" i="1"/>
  <c r="Y21" i="1"/>
  <c r="X21" i="1"/>
  <c r="AK22" i="1"/>
  <c r="AJ22" i="1"/>
  <c r="AI22" i="1"/>
  <c r="AL23" i="1" s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Q17" i="1"/>
  <c r="R17" i="1"/>
  <c r="W17" i="1"/>
  <c r="X17" i="1"/>
  <c r="Y17" i="1"/>
  <c r="Z17" i="1"/>
  <c r="AA17" i="1"/>
  <c r="AB17" i="1"/>
  <c r="AC17" i="1"/>
  <c r="AD17" i="1"/>
  <c r="AE17" i="1"/>
  <c r="F26" i="3"/>
  <c r="AM23" i="1" l="1"/>
  <c r="Y23" i="1"/>
  <c r="X23" i="1"/>
  <c r="B7" i="1"/>
  <c r="Z21" i="1"/>
  <c r="R44" i="2"/>
  <c r="R43" i="2"/>
  <c r="R42" i="2"/>
  <c r="R41" i="2"/>
  <c r="R39" i="2"/>
  <c r="R38" i="2"/>
  <c r="R37" i="2"/>
  <c r="R36" i="2"/>
  <c r="R35" i="2"/>
  <c r="R34" i="2"/>
  <c r="R33" i="2"/>
  <c r="R32" i="2"/>
  <c r="R2" i="1" l="1"/>
  <c r="Q2" i="1"/>
  <c r="R3" i="1"/>
  <c r="Q3" i="1"/>
  <c r="H26" i="3"/>
  <c r="S2" i="1" l="1"/>
  <c r="T2" i="1" s="1"/>
  <c r="S3" i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AC23" i="1"/>
  <c r="AB23" i="1"/>
  <c r="AH23" i="1"/>
  <c r="AA23" i="1"/>
  <c r="Z23" i="1"/>
  <c r="AI23" i="1"/>
  <c r="AE23" i="1"/>
  <c r="AG23" i="1"/>
  <c r="AD23" i="1"/>
  <c r="AF23" i="1"/>
  <c r="AK23" i="1"/>
  <c r="AJ23" i="1"/>
  <c r="S4" i="1" l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<sst xmlns="http://schemas.openxmlformats.org/spreadsheetml/2006/main" count="331" uniqueCount="175">
  <si>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</si>
  <si>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</si>
  <si>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</si>
  <si>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</si>
  <si>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</si>
  <si>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</si>
  <si>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</si>
  <si>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</si>
  <si>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</si>
  <si>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</si>
  <si>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</si>
  <si>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</si>
  <si>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</si>
  <si>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</si>
  <si>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</si>
  <si>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</si>
  <si>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</si>
  <si>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</si>
  <si>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</si>
  <si>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</si>
  <si>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</si>
  <si>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</si>
  <si>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</si>
  <si>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</si>
  <si>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</si>
  <si>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</si>
  <si>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</si>
  <si>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</si>
  <si>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</si>
  <si>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</si>
  <si>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</si>
  <si>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</si>
  <si>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</si>
  <si>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</si>
  <si>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</si>
  <si>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</si>
  <si>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</si>
  <si>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</si>
  <si>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</si>
  <si>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</si>
  <si>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</si>
  <si>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</si>
  <si>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</si>
  <si>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</si>
  <si>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</si>
  <si>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</si>
  <si>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</si>
  <si>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</si>
  <si>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</si>
  <si>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</si>
  <si>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</si>
  <si>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</si>
  <si>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</si>
  <si>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</si>
  <si>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</si>
  <si>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</si>
  <si>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</si>
  <si>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</si>
  <si>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</si>
  <si>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</si>
  <si>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</si>
  <si>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</si>
  <si>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</si>
  <si>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</si>
  <si>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</si>
  <si>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</si>
  <si>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</si>
  <si>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</si>
  <si>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</si>
  <si>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</si>
  <si>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</si>
  <si>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</si>
  <si>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</si>
  <si>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</si>
  <si>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</si>
  <si>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</si>
  <si>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</si>
  <si>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</si>
  <si>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</si>
  <si>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</si>
  <si>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</si>
  <si>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</si>
  <si>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</si>
  <si>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</si>
  <si>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</si>
  <si>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</si>
  <si>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</si>
  <si>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</si>
  <si>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</si>
  <si>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</si>
  <si>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</si>
  <si>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</si>
  <si>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</si>
  <si>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</si>
  <si>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</si>
  <si>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</si>
  <si>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</si>
  <si>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</si>
  <si>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</si>
  <si>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</si>
  <si>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</si>
  <si>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</si>
  <si>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</si>
  <si>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</si>
  <si>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</si>
  <si>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</si>
  <si>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</si>
  <si>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</si>
  <si>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</si>
  <si>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</si>
  <si>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</si>
  <si>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</si>
  <si>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</si>
  <si>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</si>
  <si>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</si>
  <si>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</si>
  <si>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</si>
  <si>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</si>
  <si>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</si>
  <si>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</si>
  <si>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</si>
  <si>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</si>
  <si>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</si>
  <si>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</si>
  <si>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</si>
  <si>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</si>
  <si>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</si>
  <si>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</si>
  <si>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</si>
  <si>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</si>
  <si>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</si>
  <si>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</si>
  <si>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</si>
  <si>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</si>
  <si>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</si>
  <si>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</si>
  <si>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</si>
  <si>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</si>
  <si>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</si>
  <si>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</si>
  <si>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</si>
  <si>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</si>
  <si>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</si>
  <si>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</si>
  <si>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</si>
  <si>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</si>
  <si>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</si>
  <si>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</si>
  <si>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</si>
  <si>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</si>
  <si>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</si>
  <si>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</si>
  <si>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</si>
  <si>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</si>
  <si>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</si>
  <si>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</si>
  <si>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</si>
  <si>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</si>
  <si>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</si>
  <si>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</si>
  <si>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</si>
  <si>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</si>
  <si>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</si>
  <si>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</si>
  <si>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</si>
  <si>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</si>
  <si>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</si>
  <si>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</si>
  <si>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</si>
  <si>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</si>
  <si>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</si>
  <si>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SYK_KNEE</t>
  </si>
  <si>
    <t>KNEE</t>
  </si>
  <si>
    <t>NSS_12_12</t>
  </si>
  <si>
    <t>NSS_12_12 RMQ3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</si>
</sst>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4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0" fontId="0" fillId="0" borderId="0" xfId="1" applyNumberFormat="1" applyFo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topLeftCell="I1" zoomScale="70" zoomScaleNormal="70" workbookViewId="0">
      <selection activeCell="AN14" sqref="AN14:AO14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52" t="s">
        <v>171</v>
      </c>
      <c r="B1" s="153"/>
      <c r="C1" s="154"/>
      <c r="O1" s="161" t="s">
        <v>35</v>
      </c>
      <c r="P1" s="162"/>
      <c r="Q1" s="61" t="s">
        <v>31</v>
      </c>
      <c r="R1" s="61" t="s">
        <v>32</v>
      </c>
      <c r="S1" s="4" t="s">
        <v>39</v>
      </c>
      <c r="T1" s="163" t="s">
        <v>41</v>
      </c>
      <c r="U1" s="164"/>
    </row>
    <row r="2" spans="1:41" x14ac:dyDescent="0.2">
      <c r="A2" s="155"/>
      <c r="B2" s="156"/>
      <c r="C2" s="157"/>
      <c r="O2" s="59" t="s">
        <v>37</v>
      </c>
      <c r="P2" s="60"/>
      <c r="Q2" s="62">
        <f>$B$7*($AO$25-2*$AO$26)</f>
        <v>303.30443355083082</v>
      </c>
      <c r="R2" s="62">
        <f>$B$7*($AO$25+2*$AO$26)</f>
        <v>332.00270185581326</v>
      </c>
      <c r="S2" s="64">
        <f>AVERAGE(Q2:R2)</f>
        <v>317.65356770332204</v>
      </c>
      <c r="T2" s="165">
        <f>$S$2/AJ14-1</f>
        <v>-4.3500247806919523E-2</v>
      </c>
      <c r="U2" s="166"/>
    </row>
    <row r="3" spans="1:41" x14ac:dyDescent="0.2">
      <c r="A3" s="158"/>
      <c r="B3" s="159"/>
      <c r="C3" s="160"/>
      <c r="O3" s="45" t="s">
        <v>38</v>
      </c>
      <c r="P3" s="19"/>
      <c r="Q3" s="63">
        <f>$C$7*($AO$25-2*$AO$26)</f>
        <v>306.08704303294854</v>
      </c>
      <c r="R3" s="63">
        <f>$C$7*($AO$25+2*$AO$26)</f>
        <v>335.04859820311424</v>
      </c>
      <c r="S3" s="65">
        <f>AVERAGE(Q3:R3)</f>
        <v>320.56782061803142</v>
      </c>
      <c r="T3" s="167">
        <f>$S$3/AJ15-1</f>
        <v>-3.4434275246893353E-2</v>
      </c>
      <c r="U3" s="168"/>
    </row>
    <row r="4" spans="1:41" x14ac:dyDescent="0.2">
      <c r="A4" s="50"/>
      <c r="B4" s="50"/>
      <c r="C4" s="50"/>
      <c r="R4" s="4" t="s">
        <v>40</v>
      </c>
      <c r="S4" s="65">
        <f>AVERAGE(S2:S3)</f>
        <v>319.11069416067676</v>
      </c>
      <c r="T4" s="167">
        <f>$S$4/AJ15-1</f>
        <v>-3.882321035940739E-2</v>
      </c>
      <c r="U4" s="168"/>
    </row>
    <row r="5" spans="1:41" x14ac:dyDescent="0.2">
      <c r="A5" s="58" t="s">
        <v>34</v>
      </c>
      <c r="B5" s="48" t="s">
        <v>31</v>
      </c>
      <c r="C5" s="49" t="s">
        <v>32</v>
      </c>
      <c r="H5" s="86"/>
      <c r="I5" s="86"/>
    </row>
    <row r="6" spans="1:41" ht="15.75" x14ac:dyDescent="0.25">
      <c r="A6" s="52" t="s">
        <v>33</v>
      </c>
      <c r="B6" s="56">
        <v>16223.560000000001</v>
      </c>
      <c r="C6" s="57">
        <v>16372.400000000001</v>
      </c>
    </row>
    <row r="7" spans="1:41" ht="14.25" x14ac:dyDescent="0.2">
      <c r="A7" s="53" t="s">
        <v>36</v>
      </c>
      <c r="B7" s="54">
        <f>B6*$AO$24</f>
        <v>1309.9070673355943</v>
      </c>
      <c r="C7" s="55">
        <f>C6*$AO$24</f>
        <v>1321.924563366196</v>
      </c>
    </row>
    <row r="8" spans="1:41" x14ac:dyDescent="0.2">
      <c r="J8" s="50"/>
      <c r="K8" s="50"/>
      <c r="L8" s="50"/>
    </row>
    <row r="9" spans="1:41" x14ac:dyDescent="0.2">
      <c r="J9" s="50"/>
      <c r="K9" s="50"/>
      <c r="L9" s="50"/>
    </row>
    <row r="10" spans="1:41" x14ac:dyDescent="0.2">
      <c r="L10" s="151" t="s">
        <v>15</v>
      </c>
      <c r="M10" s="151"/>
      <c r="N10" s="35">
        <f>AVERAGE(F13:AN13)</f>
        <v>1.0596837458155453</v>
      </c>
      <c r="AK10" s="151" t="s">
        <v>16</v>
      </c>
      <c r="AL10" s="151"/>
      <c r="AM10" s="151"/>
      <c r="AN10" s="79">
        <f>AVERAGE(AI13:AN13)</f>
        <v>1.0592837465719926</v>
      </c>
    </row>
    <row r="11" spans="1:41" x14ac:dyDescent="0.2">
      <c r="A11" s="51" t="s">
        <v>6</v>
      </c>
      <c r="B11" s="113">
        <v>2012</v>
      </c>
      <c r="C11" s="114"/>
      <c r="D11" s="114"/>
      <c r="E11" s="115"/>
      <c r="F11" s="116">
        <v>2013</v>
      </c>
      <c r="G11" s="117"/>
      <c r="H11" s="117"/>
      <c r="I11" s="118"/>
      <c r="J11" s="134">
        <v>2014</v>
      </c>
      <c r="K11" s="134"/>
      <c r="L11" s="134"/>
      <c r="M11" s="135"/>
      <c r="N11" s="136">
        <v>2015</v>
      </c>
      <c r="O11" s="137"/>
      <c r="P11" s="137"/>
      <c r="Q11" s="138"/>
      <c r="R11" s="136">
        <v>2016</v>
      </c>
      <c r="S11" s="137"/>
      <c r="T11" s="137"/>
      <c r="U11" s="138"/>
      <c r="V11" s="139">
        <v>2017</v>
      </c>
      <c r="W11" s="140"/>
      <c r="X11" s="140"/>
      <c r="Y11" s="141"/>
      <c r="Z11" s="147">
        <v>2018</v>
      </c>
      <c r="AA11" s="148"/>
      <c r="AB11" s="148"/>
      <c r="AC11" s="149"/>
      <c r="AD11" s="142">
        <v>2019</v>
      </c>
      <c r="AE11" s="143"/>
      <c r="AF11" s="143"/>
      <c r="AG11" s="144"/>
      <c r="AH11" s="145">
        <v>2020</v>
      </c>
      <c r="AI11" s="134"/>
      <c r="AJ11" s="134"/>
      <c r="AK11" s="135"/>
      <c r="AL11" s="136">
        <v>2021</v>
      </c>
      <c r="AM11" s="137"/>
      <c r="AN11" s="137"/>
      <c r="AO11" s="138"/>
    </row>
    <row r="12" spans="1:41" x14ac:dyDescent="0.2">
      <c r="A12" s="14" t="s">
        <v>19</v>
      </c>
      <c r="B12" s="105" t="s">
        <v>20</v>
      </c>
      <c r="C12" s="105" t="s">
        <v>3</v>
      </c>
      <c r="D12" s="105" t="s">
        <v>4</v>
      </c>
      <c r="E12" s="108" t="s">
        <v>5</v>
      </c>
      <c r="F12" s="80" t="s">
        <v>20</v>
      </c>
      <c r="G12" s="81" t="s">
        <v>3</v>
      </c>
      <c r="H12" s="81" t="s">
        <v>4</v>
      </c>
      <c r="I12" s="82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F13" s="85">
        <f t="shared" ref="F13" si="0">F15/B15</f>
        <v>0.99864682002706373</v>
      </c>
      <c r="G13" s="85">
        <f t="shared" ref="G13" si="1">G15/C15</f>
        <v>1.0198065407646246</v>
      </c>
      <c r="H13" s="85">
        <f t="shared" ref="H13" si="2">H15/D15</f>
        <v>1.0310114503816794</v>
      </c>
      <c r="I13" s="85">
        <f t="shared" ref="I13" si="3">I15/E15</f>
        <v>1.0827731092436974</v>
      </c>
      <c r="J13" s="85">
        <f t="shared" ref="J13:M13" si="4">J15/F15</f>
        <v>1.0542005420054201</v>
      </c>
      <c r="K13" s="85">
        <f t="shared" si="4"/>
        <v>1.0731707317073169</v>
      </c>
      <c r="L13" s="85">
        <f t="shared" si="4"/>
        <v>1.0745025451180008</v>
      </c>
      <c r="M13" s="85">
        <f t="shared" si="4"/>
        <v>1.0007760962359331</v>
      </c>
      <c r="N13" s="85">
        <f>N15/J15</f>
        <v>1.0248500428449014</v>
      </c>
      <c r="O13" s="85">
        <f t="shared" ref="O13:AM13" si="5">O15/K15</f>
        <v>1.0277777777777777</v>
      </c>
      <c r="P13" s="85">
        <f t="shared" si="5"/>
        <v>1.049956933677864</v>
      </c>
      <c r="Q13" s="85">
        <f t="shared" si="5"/>
        <v>1.0872431174873982</v>
      </c>
      <c r="R13" s="85">
        <f t="shared" si="5"/>
        <v>1.0919732441471572</v>
      </c>
      <c r="S13" s="85">
        <f t="shared" si="5"/>
        <v>1.0683865683865683</v>
      </c>
      <c r="T13" s="85">
        <f t="shared" si="5"/>
        <v>1.054963084495488</v>
      </c>
      <c r="U13" s="85">
        <f t="shared" si="5"/>
        <v>1.0581312410841655</v>
      </c>
      <c r="V13" s="85">
        <f t="shared" si="5"/>
        <v>1.0949464012251149</v>
      </c>
      <c r="W13" s="85">
        <f t="shared" si="5"/>
        <v>1.0808738980452282</v>
      </c>
      <c r="X13" s="85">
        <f t="shared" si="5"/>
        <v>1.0497667185069985</v>
      </c>
      <c r="Y13" s="85">
        <f t="shared" si="5"/>
        <v>1.1156049882035726</v>
      </c>
      <c r="Z13" s="85">
        <f t="shared" si="5"/>
        <v>1.0524475524475525</v>
      </c>
      <c r="AA13" s="85">
        <f t="shared" si="5"/>
        <v>1.0780141843971631</v>
      </c>
      <c r="AB13" s="85">
        <f t="shared" si="5"/>
        <v>1.0777777777777777</v>
      </c>
      <c r="AC13" s="85">
        <f t="shared" si="5"/>
        <v>1.0513595166163141</v>
      </c>
      <c r="AD13" s="85">
        <f t="shared" si="5"/>
        <v>1.0631229235880399</v>
      </c>
      <c r="AE13" s="85">
        <f t="shared" si="5"/>
        <v>1.0657894736842106</v>
      </c>
      <c r="AF13" s="85">
        <f t="shared" si="5"/>
        <v>1.0927835051546391</v>
      </c>
      <c r="AG13" s="85">
        <f t="shared" si="5"/>
        <v>1.1063218390804597</v>
      </c>
      <c r="AH13" s="85">
        <f t="shared" si="5"/>
        <v>1.0062500000000001</v>
      </c>
      <c r="AI13" s="85">
        <f t="shared" si="5"/>
        <v>0.55246913580246915</v>
      </c>
      <c r="AJ13" s="85">
        <f t="shared" si="5"/>
        <v>1.0440251572327044</v>
      </c>
      <c r="AK13" s="85">
        <f t="shared" si="5"/>
        <v>0.87506493506493499</v>
      </c>
      <c r="AL13" s="85">
        <f t="shared" si="5"/>
        <v>0.91304347826086951</v>
      </c>
      <c r="AM13" s="85">
        <f t="shared" si="5"/>
        <v>1.9497206703910615</v>
      </c>
      <c r="AN13" s="85">
        <f>AN14/AJ14</f>
        <v>1.0213791026799155</v>
      </c>
      <c r="AO13" s="31"/>
    </row>
    <row r="14" spans="1:41" x14ac:dyDescent="0.2">
      <c r="A14" s="15" t="s">
        <v>0</v>
      </c>
      <c r="B14" s="6">
        <v>221.7</v>
      </c>
      <c r="C14" s="6">
        <v>217.1</v>
      </c>
      <c r="D14" s="6">
        <v>209.6</v>
      </c>
      <c r="E14" s="6">
        <v>238</v>
      </c>
      <c r="F14" s="7">
        <v>221.4</v>
      </c>
      <c r="G14" s="7">
        <v>221.4</v>
      </c>
      <c r="H14" s="7">
        <v>216.1</v>
      </c>
      <c r="I14" s="7">
        <v>257.7</v>
      </c>
      <c r="J14" s="7">
        <v>233.4</v>
      </c>
      <c r="K14" s="7">
        <v>237.6</v>
      </c>
      <c r="L14" s="7">
        <v>232.2</v>
      </c>
      <c r="M14" s="7">
        <v>257.89999999999998</v>
      </c>
      <c r="N14" s="9">
        <v>239.2</v>
      </c>
      <c r="O14" s="6">
        <v>244.2</v>
      </c>
      <c r="P14" s="6">
        <v>243.8</v>
      </c>
      <c r="Q14" s="6">
        <v>280.39999999999998</v>
      </c>
      <c r="R14" s="9">
        <v>261.2</v>
      </c>
      <c r="S14" s="6">
        <v>260.89999999999998</v>
      </c>
      <c r="T14" s="6">
        <v>257.2</v>
      </c>
      <c r="U14" s="6">
        <v>296.7</v>
      </c>
      <c r="V14" s="9">
        <v>282.8</v>
      </c>
      <c r="W14" s="6">
        <v>280.5</v>
      </c>
      <c r="X14" s="6">
        <v>267.5</v>
      </c>
      <c r="Y14" s="6">
        <v>326.89999999999998</v>
      </c>
      <c r="Z14" s="9">
        <v>298.8</v>
      </c>
      <c r="AA14" s="6">
        <v>303.39999999999998</v>
      </c>
      <c r="AB14" s="6">
        <v>291.7</v>
      </c>
      <c r="AC14" s="6">
        <v>344.9</v>
      </c>
      <c r="AD14" s="9">
        <v>317.89999999999998</v>
      </c>
      <c r="AE14" s="6">
        <v>323.7</v>
      </c>
      <c r="AF14" s="6">
        <v>317.89999999999998</v>
      </c>
      <c r="AG14" s="6">
        <v>380.8</v>
      </c>
      <c r="AH14" s="9">
        <v>319.5</v>
      </c>
      <c r="AI14" s="6">
        <v>178.7</v>
      </c>
      <c r="AJ14" s="6">
        <v>332.1</v>
      </c>
      <c r="AK14" s="6">
        <v>333.2</v>
      </c>
      <c r="AL14" s="6">
        <v>293.39999999999998</v>
      </c>
      <c r="AM14" s="6">
        <v>348.3</v>
      </c>
      <c r="AN14" s="107">
        <v>339.2</v>
      </c>
      <c r="AO14" s="107">
        <v>388.8</v>
      </c>
    </row>
    <row r="15" spans="1:41" x14ac:dyDescent="0.2">
      <c r="A15" s="15" t="s">
        <v>1</v>
      </c>
      <c r="B15" s="6">
        <v>221.7</v>
      </c>
      <c r="C15" s="6">
        <v>217.1</v>
      </c>
      <c r="D15" s="6">
        <v>209.6</v>
      </c>
      <c r="E15" s="6">
        <v>238</v>
      </c>
      <c r="F15" s="6">
        <v>221.4</v>
      </c>
      <c r="G15" s="6">
        <v>221.4</v>
      </c>
      <c r="H15" s="6">
        <v>216.1</v>
      </c>
      <c r="I15" s="6">
        <v>257.7</v>
      </c>
      <c r="J15" s="6">
        <v>233.4</v>
      </c>
      <c r="K15" s="6">
        <v>237.6</v>
      </c>
      <c r="L15" s="6">
        <v>232.2</v>
      </c>
      <c r="M15" s="6">
        <v>257.89999999999998</v>
      </c>
      <c r="N15" s="9">
        <v>239.2</v>
      </c>
      <c r="O15" s="6">
        <v>244.2</v>
      </c>
      <c r="P15" s="6">
        <v>243.8</v>
      </c>
      <c r="Q15" s="6">
        <v>280.39999999999998</v>
      </c>
      <c r="R15" s="9">
        <v>261.2</v>
      </c>
      <c r="S15" s="6">
        <v>260.89999999999998</v>
      </c>
      <c r="T15" s="6">
        <v>257.2</v>
      </c>
      <c r="U15" s="6">
        <v>296.7</v>
      </c>
      <c r="V15" s="9">
        <v>286</v>
      </c>
      <c r="W15" s="6">
        <v>282</v>
      </c>
      <c r="X15" s="6">
        <v>270</v>
      </c>
      <c r="Y15" s="6">
        <v>331</v>
      </c>
      <c r="Z15" s="9">
        <v>301</v>
      </c>
      <c r="AA15" s="6">
        <v>304</v>
      </c>
      <c r="AB15" s="6">
        <v>291</v>
      </c>
      <c r="AC15" s="6">
        <v>348</v>
      </c>
      <c r="AD15" s="9">
        <v>320</v>
      </c>
      <c r="AE15" s="6">
        <v>324</v>
      </c>
      <c r="AF15" s="6">
        <v>318</v>
      </c>
      <c r="AG15" s="6">
        <v>385</v>
      </c>
      <c r="AH15" s="9">
        <v>322</v>
      </c>
      <c r="AI15" s="6">
        <v>179</v>
      </c>
      <c r="AJ15" s="6">
        <v>332</v>
      </c>
      <c r="AK15" s="6">
        <v>336.9</v>
      </c>
      <c r="AL15" s="9">
        <v>294</v>
      </c>
      <c r="AM15" s="6">
        <v>349</v>
      </c>
      <c r="AN15" s="9"/>
      <c r="AO15" s="10"/>
    </row>
    <row r="16" spans="1:41" x14ac:dyDescent="0.2">
      <c r="A16" s="15" t="s">
        <v>157</v>
      </c>
      <c r="B16" s="9">
        <v>2161</v>
      </c>
      <c r="C16" s="9">
        <v>2106</v>
      </c>
      <c r="D16" s="9">
        <v>2052</v>
      </c>
      <c r="E16" s="9">
        <v>2337</v>
      </c>
      <c r="F16" s="9">
        <v>2190</v>
      </c>
      <c r="G16" s="6">
        <v>2212</v>
      </c>
      <c r="H16" s="6">
        <v>2151</v>
      </c>
      <c r="I16" s="10">
        <v>2468</v>
      </c>
      <c r="J16" s="9">
        <v>2305</v>
      </c>
      <c r="K16" s="6">
        <v>2363</v>
      </c>
      <c r="L16" s="6">
        <v>2389</v>
      </c>
      <c r="M16" s="10">
        <v>2618</v>
      </c>
      <c r="N16" s="9">
        <v>2379</v>
      </c>
      <c r="O16" s="6">
        <v>2432</v>
      </c>
      <c r="P16" s="6">
        <v>2420</v>
      </c>
      <c r="Q16" s="10">
        <v>2715</v>
      </c>
      <c r="R16" s="9">
        <v>2495</v>
      </c>
      <c r="S16" s="6">
        <v>2840</v>
      </c>
      <c r="T16" s="6">
        <v>2833</v>
      </c>
      <c r="U16" s="10">
        <v>3157</v>
      </c>
      <c r="V16" s="9">
        <v>2955</v>
      </c>
      <c r="W16" s="6">
        <v>3012</v>
      </c>
      <c r="X16" s="6">
        <v>3006</v>
      </c>
      <c r="Y16" s="10">
        <v>3471</v>
      </c>
      <c r="Z16" s="9">
        <v>3241</v>
      </c>
      <c r="AA16" s="6">
        <v>3322</v>
      </c>
      <c r="AB16" s="6">
        <v>3242</v>
      </c>
      <c r="AC16" s="10">
        <v>3796</v>
      </c>
      <c r="AD16" s="9">
        <v>3516</v>
      </c>
      <c r="AE16" s="6">
        <v>3650</v>
      </c>
      <c r="AF16" s="6">
        <v>3587</v>
      </c>
      <c r="AG16" s="10">
        <v>4131</v>
      </c>
      <c r="AH16" s="9">
        <v>3588</v>
      </c>
      <c r="AI16" s="6">
        <v>2764</v>
      </c>
      <c r="AJ16" s="6">
        <v>3737</v>
      </c>
      <c r="AK16" s="10">
        <v>4262</v>
      </c>
      <c r="AL16" s="9">
        <v>3953</v>
      </c>
      <c r="AM16">
        <v>4294</v>
      </c>
      <c r="AN16" s="106">
        <v>4231.2</v>
      </c>
      <c r="AO16" s="10"/>
    </row>
    <row r="17" spans="1:42" x14ac:dyDescent="0.2">
      <c r="A17" s="87" t="s">
        <v>18</v>
      </c>
      <c r="B17" s="88">
        <f t="shared" ref="B17:E17" si="6">B15/B16</f>
        <v>0.1025913928736696</v>
      </c>
      <c r="C17" s="88">
        <f t="shared" si="6"/>
        <v>0.10308641975308641</v>
      </c>
      <c r="D17" s="88">
        <f t="shared" si="6"/>
        <v>0.10214424951267057</v>
      </c>
      <c r="E17" s="88">
        <f t="shared" si="6"/>
        <v>0.10183996576807873</v>
      </c>
      <c r="F17" s="88">
        <f>F15/F16</f>
        <v>0.10109589041095891</v>
      </c>
      <c r="G17" s="88">
        <f>G15/G16</f>
        <v>0.10009041591320073</v>
      </c>
      <c r="H17" s="88">
        <f>H15/H16</f>
        <v>0.10046490004649</v>
      </c>
      <c r="I17" s="88">
        <f>I15/I16</f>
        <v>0.10441653160453808</v>
      </c>
      <c r="J17" s="88">
        <f>J15/J16</f>
        <v>0.10125813449023861</v>
      </c>
      <c r="K17" s="88">
        <f t="shared" ref="K17:P17" si="7">K15/K16</f>
        <v>0.10055014811680067</v>
      </c>
      <c r="L17" s="88">
        <f t="shared" si="7"/>
        <v>9.7195479280033484E-2</v>
      </c>
      <c r="M17" s="88">
        <f t="shared" si="7"/>
        <v>9.8510313216195564E-2</v>
      </c>
      <c r="N17" s="88">
        <f t="shared" si="7"/>
        <v>0.10054644808743168</v>
      </c>
      <c r="O17" s="88">
        <f t="shared" si="7"/>
        <v>0.10041118421052631</v>
      </c>
      <c r="P17" s="88">
        <f t="shared" si="7"/>
        <v>0.10074380165289257</v>
      </c>
      <c r="Q17" s="88">
        <f t="shared" ref="Q17:AE17" si="8">Q15/Q16</f>
        <v>0.1032780847145488</v>
      </c>
      <c r="R17" s="88">
        <f t="shared" si="8"/>
        <v>0.10468937875751502</v>
      </c>
      <c r="S17" s="88">
        <f>S15/S16</f>
        <v>9.1866197183098589E-2</v>
      </c>
      <c r="T17" s="88">
        <f>T15/T16</f>
        <v>9.0787151429579951E-2</v>
      </c>
      <c r="U17" s="88">
        <f>U15/U16</f>
        <v>9.3981628127969591E-2</v>
      </c>
      <c r="V17" s="88">
        <f>V15/V16</f>
        <v>9.6785109983079529E-2</v>
      </c>
      <c r="W17" s="88">
        <f t="shared" si="8"/>
        <v>9.3625498007968128E-2</v>
      </c>
      <c r="X17" s="88">
        <f t="shared" si="8"/>
        <v>8.9820359281437126E-2</v>
      </c>
      <c r="Y17" s="88">
        <f t="shared" si="8"/>
        <v>9.5361567271679631E-2</v>
      </c>
      <c r="Z17" s="88">
        <f t="shared" si="8"/>
        <v>9.2872570194384454E-2</v>
      </c>
      <c r="AA17" s="88">
        <f t="shared" si="8"/>
        <v>9.151113786875377E-2</v>
      </c>
      <c r="AB17" s="88">
        <f t="shared" si="8"/>
        <v>8.9759407772979638E-2</v>
      </c>
      <c r="AC17" s="88">
        <f t="shared" si="8"/>
        <v>9.1675447839831406E-2</v>
      </c>
      <c r="AD17" s="88">
        <f t="shared" si="8"/>
        <v>9.1012514220705346E-2</v>
      </c>
      <c r="AE17" s="88">
        <f t="shared" si="8"/>
        <v>8.8767123287671237E-2</v>
      </c>
      <c r="AF17" s="88">
        <f t="shared" ref="AF17:AI17" si="9">AF15/AF16</f>
        <v>8.8653470867019787E-2</v>
      </c>
      <c r="AG17" s="88">
        <f t="shared" si="9"/>
        <v>9.3197772936335022E-2</v>
      </c>
      <c r="AH17" s="88">
        <f t="shared" si="9"/>
        <v>8.9743589743589744E-2</v>
      </c>
      <c r="AI17" s="88">
        <f t="shared" si="9"/>
        <v>6.4761215629522431E-2</v>
      </c>
      <c r="AJ17" s="88">
        <f>AJ15/AJ16</f>
        <v>8.8841316564088835E-2</v>
      </c>
      <c r="AK17" s="88">
        <f>AK15/AK16</f>
        <v>7.9047395588925387E-2</v>
      </c>
      <c r="AL17" s="88">
        <f>AL15/AL16</f>
        <v>7.437389324563623E-2</v>
      </c>
      <c r="AM17" s="88">
        <f>AM15/AM16</f>
        <v>8.1276199347927347E-2</v>
      </c>
      <c r="AN17" s="109">
        <f>AN14/AN16</f>
        <v>8.0166383059179433E-2</v>
      </c>
      <c r="AO17" s="89"/>
    </row>
    <row r="18" spans="1:42" x14ac:dyDescent="0.2">
      <c r="A18" s="87" t="s">
        <v>24</v>
      </c>
      <c r="B18" s="88">
        <f>B15/SUM(B15:E15)</f>
        <v>0.25011281588447654</v>
      </c>
      <c r="C18" s="88">
        <f>C15/SUM(B15:E15)</f>
        <v>0.24492328519855597</v>
      </c>
      <c r="D18" s="88">
        <f>D15/SUM(B15:E15)</f>
        <v>0.23646209386281589</v>
      </c>
      <c r="E18" s="90">
        <f>E15/SUM(B15:E15)</f>
        <v>0.26850180505415161</v>
      </c>
      <c r="F18" s="88">
        <f>F15/SUM(F15:I15)</f>
        <v>0.2415448396247</v>
      </c>
      <c r="G18" s="88">
        <f>G15/SUM(F15:I15)</f>
        <v>0.2415448396247</v>
      </c>
      <c r="H18" s="88">
        <f>H15/SUM(F15:I15)</f>
        <v>0.23576260091643031</v>
      </c>
      <c r="I18" s="90">
        <f>I15/SUM(F15:I15)</f>
        <v>0.28114771983416975</v>
      </c>
      <c r="J18" s="88">
        <f>J15/SUM(J15:M15)</f>
        <v>0.24284673811257934</v>
      </c>
      <c r="K18" s="88">
        <f>K15/SUM(J15:M15)</f>
        <v>0.24721673082925813</v>
      </c>
      <c r="L18" s="88">
        <f>L15/SUM(J15:M15)</f>
        <v>0.24159816876495679</v>
      </c>
      <c r="M18" s="90">
        <f>M15/SUM(J15:M15)</f>
        <v>0.26833836229320568</v>
      </c>
      <c r="N18" s="88">
        <f>N15/SUM(N15:Q15)</f>
        <v>0.23739579198094479</v>
      </c>
      <c r="O18" s="88">
        <f>O15/SUM(N15:Q15)</f>
        <v>0.24235807860262007</v>
      </c>
      <c r="P18" s="88">
        <f>P15/SUM(N15:Q15)</f>
        <v>0.24196109567288607</v>
      </c>
      <c r="Q18" s="90">
        <f>Q15/SUM(N15:Q15)</f>
        <v>0.27828503374354902</v>
      </c>
      <c r="R18" s="88">
        <f>R15/SUM(R15:U15)</f>
        <v>0.24275092936802972</v>
      </c>
      <c r="S18" s="88">
        <f>S15/SUM(R15:U15)</f>
        <v>0.24247211895910778</v>
      </c>
      <c r="T18" s="88">
        <f>T15/SUM(R15:U15)</f>
        <v>0.23903345724907063</v>
      </c>
      <c r="U18" s="90">
        <f>U15/SUM(R15:U15)</f>
        <v>0.27574349442379181</v>
      </c>
      <c r="V18" s="88">
        <f>V15/SUM(V15:Y15)</f>
        <v>0.24465355004277159</v>
      </c>
      <c r="W18" s="88">
        <f>W15/SUM(V15:Y15)</f>
        <v>0.24123182207014543</v>
      </c>
      <c r="X18" s="88">
        <f>X15/SUM(V15:Y15)</f>
        <v>0.2309666381522669</v>
      </c>
      <c r="Y18" s="90">
        <f>Y15/SUM(V15:Y15)</f>
        <v>0.28314798973481609</v>
      </c>
      <c r="Z18" s="88">
        <f>Z15/SUM(Z15:AC15)</f>
        <v>0.24196141479099678</v>
      </c>
      <c r="AA18" s="88">
        <f>AA15/SUM(Z15:AC15)</f>
        <v>0.24437299035369775</v>
      </c>
      <c r="AB18" s="88">
        <f>AB15/SUM(Z15:AC15)</f>
        <v>0.23392282958199356</v>
      </c>
      <c r="AC18" s="90">
        <f>AC15/SUM(Z15:AC15)</f>
        <v>0.27974276527331188</v>
      </c>
      <c r="AD18" s="88">
        <f>AD15/SUM(AD15:AG15)</f>
        <v>0.23756495916852263</v>
      </c>
      <c r="AE18" s="88">
        <f>AE15/SUM(AD15:AG15)</f>
        <v>0.24053452115812918</v>
      </c>
      <c r="AF18" s="88">
        <f>AF15/SUM(AD15:AG15)</f>
        <v>0.23608017817371937</v>
      </c>
      <c r="AG18" s="90">
        <f>AG15/SUM(AD15:AG15)</f>
        <v>0.28582034149962882</v>
      </c>
      <c r="AH18" s="88"/>
      <c r="AI18" s="88"/>
      <c r="AJ18" s="88"/>
      <c r="AK18" s="90"/>
      <c r="AL18" s="88">
        <f>AL15/SUM(AL15:AM15,AN14:AO14)</f>
        <v>0.21444201312910285</v>
      </c>
      <c r="AM18" s="88">
        <f>AM15/SUM(AL15:AM15,AN14:AO14)</f>
        <v>0.25455871626549964</v>
      </c>
      <c r="AN18" s="88">
        <f>AN14/SUM(AL15:AM15,AN14:AO14)</f>
        <v>0.24741064916119621</v>
      </c>
      <c r="AO18" s="90">
        <f>AO14/SUM(AL15:AM15,AN14:AO14)</f>
        <v>0.28358862144420133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>
        <v>257.10000000000002</v>
      </c>
      <c r="M19" s="12">
        <v>288.39999999999998</v>
      </c>
      <c r="N19" s="11">
        <v>264.39999999999998</v>
      </c>
      <c r="O19" s="12">
        <v>252.5</v>
      </c>
      <c r="P19" s="12">
        <v>242.9</v>
      </c>
      <c r="Q19" s="6">
        <v>269.8</v>
      </c>
      <c r="R19" s="9">
        <v>263.60000000000002</v>
      </c>
      <c r="S19" s="12">
        <v>261.10000000000002</v>
      </c>
      <c r="T19" s="12">
        <v>254.2</v>
      </c>
      <c r="U19" s="6">
        <v>298.3</v>
      </c>
      <c r="V19" s="83">
        <v>278.8</v>
      </c>
      <c r="W19" s="83">
        <v>279.8</v>
      </c>
      <c r="X19" s="83">
        <v>273.10000000000002</v>
      </c>
      <c r="Y19" s="83">
        <v>324.39999999999998</v>
      </c>
      <c r="Z19" s="83">
        <v>302.89999999999998</v>
      </c>
      <c r="AA19" s="63">
        <v>304.7</v>
      </c>
      <c r="AB19" s="63">
        <v>286.3</v>
      </c>
      <c r="AC19" s="63">
        <v>352.7</v>
      </c>
      <c r="AD19" s="83">
        <v>320</v>
      </c>
      <c r="AE19" s="63">
        <v>321.60000000000002</v>
      </c>
      <c r="AF19" s="63">
        <v>308</v>
      </c>
      <c r="AG19" s="63">
        <v>371.1</v>
      </c>
      <c r="AH19" s="83">
        <v>317.10000000000002</v>
      </c>
      <c r="AI19" s="63">
        <v>166.7</v>
      </c>
      <c r="AJ19" s="63">
        <v>286</v>
      </c>
      <c r="AK19" s="63">
        <v>390.1</v>
      </c>
      <c r="AL19" s="83">
        <v>314.8</v>
      </c>
      <c r="AM19" s="63">
        <v>325.10000000000002</v>
      </c>
      <c r="AN19" s="84"/>
      <c r="AO19" s="13"/>
    </row>
    <row r="20" spans="1:42" x14ac:dyDescent="0.2">
      <c r="J20" s="128" t="s">
        <v>7</v>
      </c>
      <c r="K20" s="146"/>
      <c r="L20" s="7">
        <f>IF(L15&gt;L19,1,0)</f>
        <v>0</v>
      </c>
      <c r="M20" s="7">
        <f t="shared" ref="M20:P20" si="10">IF(M15&gt;M19,1,0)</f>
        <v>0</v>
      </c>
      <c r="N20" s="7">
        <f t="shared" si="10"/>
        <v>0</v>
      </c>
      <c r="O20" s="7">
        <f t="shared" si="10"/>
        <v>0</v>
      </c>
      <c r="P20" s="7">
        <f t="shared" si="10"/>
        <v>1</v>
      </c>
      <c r="Q20" s="7">
        <f t="shared" ref="Q20:T20" si="11">IF(Q15&gt;Q19,1,0)</f>
        <v>1</v>
      </c>
      <c r="R20" s="7">
        <f t="shared" si="11"/>
        <v>0</v>
      </c>
      <c r="S20" s="7">
        <f t="shared" si="11"/>
        <v>0</v>
      </c>
      <c r="T20" s="7">
        <f t="shared" si="11"/>
        <v>1</v>
      </c>
      <c r="U20" s="7">
        <f t="shared" ref="U20:AM20" si="12">IF(U15&gt;U19,1,0)</f>
        <v>0</v>
      </c>
      <c r="V20" s="7">
        <f t="shared" si="12"/>
        <v>1</v>
      </c>
      <c r="W20" s="7">
        <f t="shared" si="12"/>
        <v>1</v>
      </c>
      <c r="X20" s="7">
        <f t="shared" si="12"/>
        <v>0</v>
      </c>
      <c r="Y20" s="7">
        <f t="shared" si="12"/>
        <v>1</v>
      </c>
      <c r="Z20" s="7">
        <f t="shared" si="12"/>
        <v>0</v>
      </c>
      <c r="AA20" s="7">
        <f t="shared" si="12"/>
        <v>0</v>
      </c>
      <c r="AB20" s="7">
        <f t="shared" si="12"/>
        <v>1</v>
      </c>
      <c r="AC20" s="7">
        <f t="shared" si="12"/>
        <v>0</v>
      </c>
      <c r="AD20" s="7">
        <f t="shared" si="12"/>
        <v>0</v>
      </c>
      <c r="AE20" s="7">
        <f t="shared" si="12"/>
        <v>1</v>
      </c>
      <c r="AF20" s="7">
        <f t="shared" si="12"/>
        <v>1</v>
      </c>
      <c r="AG20" s="7">
        <f t="shared" si="12"/>
        <v>1</v>
      </c>
      <c r="AH20" s="7">
        <f t="shared" si="12"/>
        <v>1</v>
      </c>
      <c r="AI20" s="7">
        <f t="shared" si="12"/>
        <v>1</v>
      </c>
      <c r="AJ20" s="7">
        <f t="shared" si="12"/>
        <v>1</v>
      </c>
      <c r="AK20" s="7">
        <f t="shared" si="12"/>
        <v>0</v>
      </c>
      <c r="AL20" s="7">
        <f>IF(AL15&gt;AL19,1,0)</f>
        <v>0</v>
      </c>
      <c r="AM20" s="8">
        <f t="shared" si="12"/>
        <v>1</v>
      </c>
      <c r="AN20" s="45" t="s">
        <v>8</v>
      </c>
      <c r="AO20" s="42">
        <f>AVERAGE(L20:AM20)</f>
        <v>0.5</v>
      </c>
    </row>
    <row r="21" spans="1:42" x14ac:dyDescent="0.2">
      <c r="J21" s="119" t="s">
        <v>9</v>
      </c>
      <c r="K21" s="120"/>
      <c r="M21" s="6"/>
      <c r="N21" s="6"/>
      <c r="O21" s="6">
        <f>AVERAGE(L20:O20)</f>
        <v>0</v>
      </c>
      <c r="P21" s="6">
        <f t="shared" ref="P21" si="13">AVERAGE(M20:P20)</f>
        <v>0.25</v>
      </c>
      <c r="Q21" s="6">
        <f t="shared" ref="Q21" si="14">AVERAGE(N20:Q20)</f>
        <v>0.5</v>
      </c>
      <c r="R21" s="6">
        <f t="shared" ref="R21" si="15">AVERAGE(O20:R20)</f>
        <v>0.5</v>
      </c>
      <c r="S21" s="6">
        <f t="shared" ref="S21" si="16">AVERAGE(P20:S20)</f>
        <v>0.5</v>
      </c>
      <c r="T21" s="6">
        <f t="shared" ref="T21" si="17">AVERAGE(Q20:T20)</f>
        <v>0.5</v>
      </c>
      <c r="U21" s="6">
        <f t="shared" ref="U21" si="18">AVERAGE(R20:U20)</f>
        <v>0.25</v>
      </c>
      <c r="V21" s="6">
        <f t="shared" ref="V21" si="19">AVERAGE(S20:V20)</f>
        <v>0.5</v>
      </c>
      <c r="W21" s="6">
        <f t="shared" ref="W21" si="20">AVERAGE(T20:W20)</f>
        <v>0.75</v>
      </c>
      <c r="X21" s="6">
        <f t="shared" ref="X21" si="21">AVERAGE(U20:X20)</f>
        <v>0.5</v>
      </c>
      <c r="Y21" s="6">
        <f t="shared" ref="Y21" si="22">AVERAGE(V20:Y20)</f>
        <v>0.75</v>
      </c>
      <c r="Z21" s="6">
        <f t="shared" ref="Z21" si="23">AVERAGE(W20:Z20)</f>
        <v>0.5</v>
      </c>
      <c r="AA21" s="6">
        <f t="shared" ref="AA21:AM21" si="24">AVERAGE(X20:AA20)</f>
        <v>0.25</v>
      </c>
      <c r="AB21" s="6">
        <f t="shared" si="24"/>
        <v>0.5</v>
      </c>
      <c r="AC21" s="6">
        <f t="shared" si="24"/>
        <v>0.25</v>
      </c>
      <c r="AD21" s="6">
        <f t="shared" si="24"/>
        <v>0.25</v>
      </c>
      <c r="AE21" s="6">
        <f t="shared" si="24"/>
        <v>0.5</v>
      </c>
      <c r="AF21" s="6">
        <f t="shared" si="24"/>
        <v>0.5</v>
      </c>
      <c r="AG21" s="6">
        <f t="shared" si="24"/>
        <v>0.75</v>
      </c>
      <c r="AH21" s="6">
        <f t="shared" si="24"/>
        <v>1</v>
      </c>
      <c r="AI21" s="6">
        <f t="shared" si="24"/>
        <v>1</v>
      </c>
      <c r="AJ21" s="6">
        <f t="shared" si="24"/>
        <v>1</v>
      </c>
      <c r="AK21" s="6">
        <f t="shared" si="24"/>
        <v>0.75</v>
      </c>
      <c r="AL21" s="6">
        <f t="shared" si="24"/>
        <v>0.5</v>
      </c>
      <c r="AM21" s="10">
        <f t="shared" si="24"/>
        <v>0.5</v>
      </c>
      <c r="AN21" s="41" t="s">
        <v>10</v>
      </c>
      <c r="AO21" s="42">
        <f>AVERAGE(O21:AM21)</f>
        <v>0.53</v>
      </c>
    </row>
    <row r="22" spans="1:42" x14ac:dyDescent="0.2">
      <c r="J22" s="132" t="s">
        <v>11</v>
      </c>
      <c r="K22" s="133"/>
      <c r="L22" s="18">
        <f t="shared" ref="L22:P22" si="25">L15/L19-1</f>
        <v>-9.6849474912485523E-2</v>
      </c>
      <c r="M22" s="18">
        <f t="shared" si="25"/>
        <v>-0.105755894590846</v>
      </c>
      <c r="N22" s="18">
        <f t="shared" si="25"/>
        <v>-9.53101361573373E-2</v>
      </c>
      <c r="O22" s="18">
        <f t="shared" si="25"/>
        <v>-3.28712871287129E-2</v>
      </c>
      <c r="P22" s="18">
        <f t="shared" si="25"/>
        <v>3.7052284890901621E-3</v>
      </c>
      <c r="Q22" s="18">
        <f t="shared" ref="Q22:T22" si="26">Q15/Q19-1</f>
        <v>3.9288361749443945E-2</v>
      </c>
      <c r="R22" s="18">
        <f>R15/R19-1</f>
        <v>-9.1047040971169446E-3</v>
      </c>
      <c r="S22" s="18">
        <f t="shared" si="26"/>
        <v>-7.6599004212962729E-4</v>
      </c>
      <c r="T22" s="18">
        <f t="shared" si="26"/>
        <v>1.1801730920534936E-2</v>
      </c>
      <c r="U22" s="18">
        <f t="shared" ref="U22:AM22" si="27">U15/U19-1</f>
        <v>-5.3637277908147318E-3</v>
      </c>
      <c r="V22" s="18">
        <f t="shared" si="27"/>
        <v>2.582496413199431E-2</v>
      </c>
      <c r="W22" s="18">
        <f t="shared" si="27"/>
        <v>7.8627591136526398E-3</v>
      </c>
      <c r="X22" s="18">
        <f t="shared" si="27"/>
        <v>-1.1351153423654448E-2</v>
      </c>
      <c r="Y22" s="18">
        <f t="shared" si="27"/>
        <v>2.0345252774352618E-2</v>
      </c>
      <c r="Z22" s="18">
        <f t="shared" si="27"/>
        <v>-6.2726972598216024E-3</v>
      </c>
      <c r="AA22" s="18">
        <f t="shared" si="27"/>
        <v>-2.2973416475221553E-3</v>
      </c>
      <c r="AB22" s="18">
        <f t="shared" si="27"/>
        <v>1.6416346489696032E-2</v>
      </c>
      <c r="AC22" s="18">
        <f t="shared" si="27"/>
        <v>-1.3325772611284314E-2</v>
      </c>
      <c r="AD22" s="18">
        <f t="shared" si="27"/>
        <v>0</v>
      </c>
      <c r="AE22" s="18">
        <f t="shared" si="27"/>
        <v>7.4626865671640896E-3</v>
      </c>
      <c r="AF22" s="18">
        <f t="shared" si="27"/>
        <v>3.2467532467532534E-2</v>
      </c>
      <c r="AG22" s="18">
        <f t="shared" si="27"/>
        <v>3.7456211263810157E-2</v>
      </c>
      <c r="AH22" s="18">
        <f t="shared" si="27"/>
        <v>1.5452538631346435E-2</v>
      </c>
      <c r="AI22" s="18">
        <f t="shared" si="27"/>
        <v>7.3785242951409868E-2</v>
      </c>
      <c r="AJ22" s="18">
        <f t="shared" si="27"/>
        <v>0.16083916083916083</v>
      </c>
      <c r="AK22" s="18">
        <f t="shared" si="27"/>
        <v>-0.13637528838759305</v>
      </c>
      <c r="AL22" s="18">
        <f t="shared" si="27"/>
        <v>-6.6073697585768754E-2</v>
      </c>
      <c r="AM22" s="40">
        <f t="shared" si="27"/>
        <v>7.3515841279606198E-2</v>
      </c>
      <c r="AN22" s="41" t="s">
        <v>13</v>
      </c>
      <c r="AO22" s="43">
        <f>MEDIAN(L22:AM22)</f>
        <v>1.8526142445450811E-3</v>
      </c>
    </row>
    <row r="23" spans="1:42" x14ac:dyDescent="0.2">
      <c r="J23" s="119" t="s">
        <v>12</v>
      </c>
      <c r="K23" s="120"/>
      <c r="M23" s="32"/>
      <c r="N23" s="32"/>
      <c r="O23" s="32">
        <f t="shared" ref="O23" si="28">AVERAGE(L22:O22)</f>
        <v>-8.2696698197345431E-2</v>
      </c>
      <c r="P23" s="32">
        <f t="shared" ref="P23" si="29">AVERAGE(M22:P22)</f>
        <v>-5.755802234695151E-2</v>
      </c>
      <c r="Q23" s="32">
        <f t="shared" ref="Q23" si="30">AVERAGE(N22:Q22)</f>
        <v>-2.1296958261879023E-2</v>
      </c>
      <c r="R23" s="32">
        <f t="shared" ref="R23" si="31">AVERAGE(O22:R22)</f>
        <v>2.5439975317606556E-4</v>
      </c>
      <c r="S23" s="32">
        <f t="shared" ref="S23" si="32">AVERAGE(P22:S22)</f>
        <v>8.2807240248218839E-3</v>
      </c>
      <c r="T23" s="32">
        <f t="shared" ref="T23" si="33">AVERAGE(Q22:T22)</f>
        <v>1.0304849632683077E-2</v>
      </c>
      <c r="U23" s="32">
        <f t="shared" ref="U23" si="34">AVERAGE(R22:U22)</f>
        <v>-8.5817275238159185E-4</v>
      </c>
      <c r="V23" s="32">
        <f t="shared" ref="V23" si="35">AVERAGE(S22:V22)</f>
        <v>7.8742443048962218E-3</v>
      </c>
      <c r="W23" s="32">
        <f t="shared" ref="W23" si="36">AVERAGE(T22:W22)</f>
        <v>1.0031431593841789E-2</v>
      </c>
      <c r="X23" s="32">
        <f t="shared" ref="X23" si="37">AVERAGE(U22:X22)</f>
        <v>4.2432105077944426E-3</v>
      </c>
      <c r="Y23" s="32">
        <f t="shared" ref="Y23" si="38">AVERAGE(V22:Y22)</f>
        <v>1.067045564908628E-2</v>
      </c>
      <c r="Z23" s="32">
        <f t="shared" ref="Z23:AM23" si="39">AVERAGE(W22:Z22)</f>
        <v>2.6460403011323019E-3</v>
      </c>
      <c r="AA23" s="32">
        <f t="shared" si="39"/>
        <v>1.0601511083860315E-4</v>
      </c>
      <c r="AB23" s="32">
        <f t="shared" si="39"/>
        <v>7.0478900891762231E-3</v>
      </c>
      <c r="AC23" s="32">
        <f t="shared" si="39"/>
        <v>-1.36986625723301E-3</v>
      </c>
      <c r="AD23" s="32">
        <f t="shared" si="39"/>
        <v>1.9830805772239057E-4</v>
      </c>
      <c r="AE23" s="32">
        <f t="shared" si="39"/>
        <v>2.6383151113939518E-3</v>
      </c>
      <c r="AF23" s="32">
        <f t="shared" si="39"/>
        <v>6.6511116058530773E-3</v>
      </c>
      <c r="AG23" s="32">
        <f t="shared" si="39"/>
        <v>1.9346607574626695E-2</v>
      </c>
      <c r="AH23" s="32">
        <f t="shared" si="39"/>
        <v>2.3209742232463304E-2</v>
      </c>
      <c r="AI23" s="32">
        <f t="shared" si="39"/>
        <v>3.9790381328524749E-2</v>
      </c>
      <c r="AJ23" s="32">
        <f t="shared" si="39"/>
        <v>7.1883288421431824E-2</v>
      </c>
      <c r="AK23" s="32">
        <f t="shared" si="39"/>
        <v>2.8425413508581021E-2</v>
      </c>
      <c r="AL23" s="32">
        <f t="shared" si="39"/>
        <v>8.0438544543022239E-3</v>
      </c>
      <c r="AM23" s="33">
        <f t="shared" si="39"/>
        <v>7.9765040363513062E-3</v>
      </c>
      <c r="AN23" s="19" t="s">
        <v>14</v>
      </c>
      <c r="AO23" s="33">
        <f>MEDIAN(O23:AM23)</f>
        <v>7.0478900891762231E-3</v>
      </c>
    </row>
    <row r="24" spans="1:42" x14ac:dyDescent="0.2">
      <c r="J24" s="128" t="s">
        <v>25</v>
      </c>
      <c r="K24" s="146"/>
      <c r="L24" s="100">
        <f>AVERAGE(P22:Q22,T22,V22:W22,Y22,AB22,AE22:AJ22,AM22)</f>
        <v>3.7587418404913912E-2</v>
      </c>
      <c r="M24" s="128" t="s">
        <v>29</v>
      </c>
      <c r="N24" s="129"/>
      <c r="O24" s="46">
        <f>MEDIAN(P22:Q22,T22,V22:W22,Y22,AB22,AE22:AJ22,AM22)</f>
        <v>2.3085108453173464E-2</v>
      </c>
      <c r="AJ24" s="3"/>
      <c r="AK24" s="121" t="s">
        <v>23</v>
      </c>
      <c r="AL24" s="122"/>
      <c r="AM24" s="122"/>
      <c r="AN24" s="123"/>
      <c r="AO24" s="44">
        <f>AVERAGE(AJ17:AN17)</f>
        <v>8.0741037561151446E-2</v>
      </c>
    </row>
    <row r="25" spans="1:42" x14ac:dyDescent="0.2">
      <c r="J25" s="130" t="s">
        <v>26</v>
      </c>
      <c r="K25" s="150"/>
      <c r="L25" s="99">
        <f>AVERAGE(L22:O22,R22:S22,U22,X22,Z22:AA22,AC22,AK22:AL22)</f>
        <v>-4.4747474279622106E-2</v>
      </c>
      <c r="M25" s="130" t="s">
        <v>30</v>
      </c>
      <c r="N25" s="131"/>
      <c r="O25" s="33">
        <f>MEDIAN(L22:O22,R22:S22,U22,X22,Z22:AA22,AC22,AK22:AL22)</f>
        <v>-1.3325772611284314E-2</v>
      </c>
      <c r="AK25" s="124" t="s">
        <v>27</v>
      </c>
      <c r="AL25" s="125"/>
      <c r="AM25" s="125"/>
      <c r="AN25" s="125"/>
      <c r="AO25" s="46">
        <f>AVERAGE(AN18,T18,P18,L18)</f>
        <v>0.2425008427120274</v>
      </c>
    </row>
    <row r="26" spans="1:42" x14ac:dyDescent="0.2">
      <c r="AK26" s="126" t="s">
        <v>28</v>
      </c>
      <c r="AL26" s="127"/>
      <c r="AM26" s="127"/>
      <c r="AN26" s="127"/>
      <c r="AO26" s="47">
        <f>_xlfn.STDEV.S(AN18,AF18,AB18,T18,H18,P18,X18)</f>
        <v>5.477157315319307E-3</v>
      </c>
    </row>
    <row r="29" spans="1:42" ht="18" customHeight="1" x14ac:dyDescent="0.2"/>
  </sheetData>
  <mergeCells count="29">
    <mergeCell ref="AK10:AM10"/>
    <mergeCell ref="A1:C3"/>
    <mergeCell ref="O1:P1"/>
    <mergeCell ref="T1:U1"/>
    <mergeCell ref="T2:U2"/>
    <mergeCell ref="T3:U3"/>
    <mergeCell ref="T4:U4"/>
    <mergeCell ref="L10:M10"/>
    <mergeCell ref="AK26:AN26"/>
    <mergeCell ref="M24:N24"/>
    <mergeCell ref="M25:N25"/>
    <mergeCell ref="J22:K22"/>
    <mergeCell ref="J11:M11"/>
    <mergeCell ref="N11:Q11"/>
    <mergeCell ref="R11:U11"/>
    <mergeCell ref="V11:Y11"/>
    <mergeCell ref="AD11:AG11"/>
    <mergeCell ref="AH11:AK11"/>
    <mergeCell ref="AL11:AO11"/>
    <mergeCell ref="J20:K20"/>
    <mergeCell ref="J21:K21"/>
    <mergeCell ref="Z11:AC11"/>
    <mergeCell ref="J24:K24"/>
    <mergeCell ref="J25:K25"/>
    <mergeCell ref="B11:E11"/>
    <mergeCell ref="F11:I11"/>
    <mergeCell ref="J23:K23"/>
    <mergeCell ref="AK24:AN24"/>
    <mergeCell ref="AK25:AN25"/>
  </mergeCells>
  <conditionalFormatting sqref="L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M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tabSelected="1" topLeftCell="A4" zoomScale="85" zoomScaleNormal="85" workbookViewId="0">
      <selection activeCell="A24" sqref="A24:D24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1" t="s">
        <v>76</v>
      </c>
      <c r="B4" s="171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171</v>
      </c>
      <c r="B6" t="s">
        <v>172</v>
      </c>
      <c r="C6" t="s">
        <v>168</v>
      </c>
      <c r="D6">
        <v>20170720</v>
      </c>
      <c r="E6">
        <v>292.65903800000001</v>
      </c>
      <c r="F6">
        <v>293.34424899999999</v>
      </c>
      <c r="G6">
        <v>276.99048800000003</v>
      </c>
      <c r="H6">
        <v>295.48578300000003</v>
      </c>
      <c r="I6">
        <v>250.511088</v>
      </c>
      <c r="J6">
        <v>289.6198895</v>
      </c>
      <c r="R6">
        <v>279.8</v>
      </c>
      <c r="S6">
        <v>282</v>
      </c>
      <c r="T6" s="92"/>
      <c r="U6" s="91"/>
    </row>
    <row r="7" spans="1:21" x14ac:dyDescent="0.2">
      <c r="A7" t="s">
        <v>171</v>
      </c>
      <c r="B7" t="s">
        <v>172</v>
      </c>
      <c r="C7" t="s">
        <v>169</v>
      </c>
      <c r="D7">
        <v>20171019</v>
      </c>
      <c r="E7">
        <v>319.91837900000002</v>
      </c>
      <c r="F7">
        <v>313.06368099999997</v>
      </c>
      <c r="G7">
        <v>281.32658099999998</v>
      </c>
      <c r="H7">
        <v>282.11059</v>
      </c>
      <c r="I7">
        <v>234.076898</v>
      </c>
      <c r="J7">
        <v>299.10480775000002</v>
      </c>
      <c r="K7">
        <v>308.26651893115292</v>
      </c>
      <c r="L7">
        <v>300.95683942315839</v>
      </c>
      <c r="M7">
        <v>286.41451341823688</v>
      </c>
      <c r="N7">
        <v>269.23524229252001</v>
      </c>
      <c r="O7">
        <v>263.50005408143852</v>
      </c>
      <c r="P7">
        <v>291.23537037155046</v>
      </c>
      <c r="Q7">
        <v>286.60142308634289</v>
      </c>
      <c r="R7">
        <v>273.10000000000002</v>
      </c>
      <c r="S7">
        <v>270</v>
      </c>
      <c r="T7" s="92"/>
      <c r="U7" s="91"/>
    </row>
    <row r="8" spans="1:21" x14ac:dyDescent="0.2">
      <c r="A8" t="s">
        <v>171</v>
      </c>
      <c r="B8" t="s">
        <v>172</v>
      </c>
      <c r="C8" t="s">
        <v>167</v>
      </c>
      <c r="D8">
        <v>20180125</v>
      </c>
      <c r="E8">
        <v>341.77253100000001</v>
      </c>
      <c r="F8">
        <v>340.45625799999999</v>
      </c>
      <c r="G8">
        <v>313.26839899999999</v>
      </c>
      <c r="H8">
        <v>318.13198699999998</v>
      </c>
      <c r="I8">
        <v>269.91443199999998</v>
      </c>
      <c r="J8">
        <v>328.40729375000001</v>
      </c>
      <c r="K8">
        <v>288.44414521742743</v>
      </c>
      <c r="L8">
        <v>293.62457301458744</v>
      </c>
      <c r="M8">
        <v>300.65579807405402</v>
      </c>
      <c r="N8">
        <v>304.47505175186791</v>
      </c>
      <c r="O8">
        <v>311.33741630496144</v>
      </c>
      <c r="P8">
        <v>296.45116699900319</v>
      </c>
      <c r="Q8">
        <v>299.16469189365017</v>
      </c>
      <c r="R8">
        <v>324.39999999999998</v>
      </c>
      <c r="S8">
        <v>331</v>
      </c>
      <c r="T8" s="92"/>
      <c r="U8" s="91"/>
    </row>
    <row r="9" spans="1:21" x14ac:dyDescent="0.2">
      <c r="A9" t="s">
        <v>171</v>
      </c>
      <c r="B9" t="s">
        <v>172</v>
      </c>
      <c r="C9" t="s">
        <v>42</v>
      </c>
      <c r="D9">
        <v>20180419</v>
      </c>
      <c r="E9">
        <v>296.78360800000002</v>
      </c>
      <c r="F9">
        <v>293.95890400000002</v>
      </c>
      <c r="G9">
        <v>265.08560299999999</v>
      </c>
      <c r="H9">
        <v>272.22301399999998</v>
      </c>
      <c r="I9">
        <v>282.94472300000001</v>
      </c>
      <c r="J9">
        <v>282.01278224999999</v>
      </c>
      <c r="K9">
        <v>287.42910953250367</v>
      </c>
      <c r="L9">
        <v>285.7941216753901</v>
      </c>
      <c r="M9">
        <v>280.08996398324877</v>
      </c>
      <c r="N9">
        <v>283.23407049917301</v>
      </c>
      <c r="O9">
        <v>346.9792356749565</v>
      </c>
      <c r="P9">
        <v>284.23921362663094</v>
      </c>
      <c r="Q9">
        <v>294.62761916531718</v>
      </c>
      <c r="R9">
        <v>302.89999999999998</v>
      </c>
      <c r="S9">
        <v>301</v>
      </c>
      <c r="T9" s="9"/>
      <c r="U9" s="62"/>
    </row>
    <row r="10" spans="1:21" x14ac:dyDescent="0.2">
      <c r="A10" t="s">
        <v>171</v>
      </c>
      <c r="B10" t="s">
        <v>172</v>
      </c>
      <c r="C10" t="s">
        <v>43</v>
      </c>
      <c r="D10">
        <v>20180719</v>
      </c>
      <c r="E10">
        <v>336.15438499999999</v>
      </c>
      <c r="F10">
        <v>339.67344900000001</v>
      </c>
      <c r="G10">
        <v>306.59765499999997</v>
      </c>
      <c r="H10">
        <v>293.43384700000001</v>
      </c>
      <c r="I10">
        <v>313.30514199999999</v>
      </c>
      <c r="J10">
        <v>318.964834</v>
      </c>
      <c r="K10">
        <v>340.93011594157849</v>
      </c>
      <c r="L10">
        <v>347.8095296919463</v>
      </c>
      <c r="M10">
        <v>348.13619868673135</v>
      </c>
      <c r="N10">
        <v>324.45305284512062</v>
      </c>
      <c r="O10">
        <v>333.29777895168587</v>
      </c>
      <c r="P10">
        <v>340.43994129631335</v>
      </c>
      <c r="Q10">
        <v>339.17776956889605</v>
      </c>
      <c r="R10">
        <v>304.7</v>
      </c>
      <c r="S10">
        <v>304</v>
      </c>
      <c r="T10" s="9"/>
      <c r="U10" s="62"/>
    </row>
    <row r="11" spans="1:21" x14ac:dyDescent="0.2">
      <c r="A11" t="s">
        <v>171</v>
      </c>
      <c r="B11" t="s">
        <v>172</v>
      </c>
      <c r="C11" t="s">
        <v>44</v>
      </c>
      <c r="D11">
        <v>20181018</v>
      </c>
      <c r="E11">
        <v>270.71190200000001</v>
      </c>
      <c r="F11">
        <v>272.04443500000002</v>
      </c>
      <c r="G11">
        <v>257.05032699999998</v>
      </c>
      <c r="H11">
        <v>285.276206</v>
      </c>
      <c r="I11">
        <v>292.04944499999999</v>
      </c>
      <c r="J11">
        <v>271.27071749999999</v>
      </c>
      <c r="K11">
        <v>244.81732763355149</v>
      </c>
      <c r="L11">
        <v>243.47357287852077</v>
      </c>
      <c r="M11">
        <v>254.87246276557462</v>
      </c>
      <c r="N11">
        <v>295.54861346312242</v>
      </c>
      <c r="O11">
        <v>283.37559579536043</v>
      </c>
      <c r="P11">
        <v>258.54354251478395</v>
      </c>
      <c r="Q11">
        <v>263.43851917515229</v>
      </c>
      <c r="R11">
        <v>286.3</v>
      </c>
      <c r="S11">
        <v>291</v>
      </c>
      <c r="T11" s="9"/>
      <c r="U11" s="62"/>
    </row>
    <row r="12" spans="1:21" x14ac:dyDescent="0.2">
      <c r="A12" t="s">
        <v>171</v>
      </c>
      <c r="B12" t="s">
        <v>172</v>
      </c>
      <c r="C12" t="s">
        <v>45</v>
      </c>
      <c r="D12">
        <v>20190124</v>
      </c>
      <c r="E12">
        <v>283.156069</v>
      </c>
      <c r="F12">
        <v>284.05289599999998</v>
      </c>
      <c r="G12">
        <v>279.17485499999998</v>
      </c>
      <c r="H12">
        <v>301.62961100000001</v>
      </c>
      <c r="I12">
        <v>299.90476799999999</v>
      </c>
      <c r="J12">
        <v>287.00335775000002</v>
      </c>
      <c r="K12">
        <v>304.37677645587968</v>
      </c>
      <c r="L12">
        <v>303.84518887879472</v>
      </c>
      <c r="M12">
        <v>316.0466036092613</v>
      </c>
      <c r="N12">
        <v>307.68152041744412</v>
      </c>
      <c r="O12">
        <v>298.82709582961201</v>
      </c>
      <c r="P12">
        <v>307.87686144285004</v>
      </c>
      <c r="Q12">
        <v>306.44234110564031</v>
      </c>
      <c r="R12">
        <v>352.7</v>
      </c>
      <c r="S12">
        <v>348</v>
      </c>
      <c r="T12" s="9"/>
      <c r="U12" s="62"/>
    </row>
    <row r="13" spans="1:21" x14ac:dyDescent="0.2">
      <c r="A13" t="s">
        <v>171</v>
      </c>
      <c r="B13" t="s">
        <v>172</v>
      </c>
      <c r="C13" t="s">
        <v>46</v>
      </c>
      <c r="D13">
        <v>20190418</v>
      </c>
      <c r="E13">
        <v>247.377443</v>
      </c>
      <c r="F13">
        <v>245.31911700000001</v>
      </c>
      <c r="G13">
        <v>236.33770999999999</v>
      </c>
      <c r="H13">
        <v>272.78080599999998</v>
      </c>
      <c r="I13">
        <v>260.21609799999999</v>
      </c>
      <c r="J13">
        <v>250.45376899999999</v>
      </c>
      <c r="K13">
        <v>304.02791813019553</v>
      </c>
      <c r="L13">
        <v>300.54632048532261</v>
      </c>
      <c r="M13">
        <v>294.60218786537922</v>
      </c>
      <c r="N13">
        <v>314.7161851029274</v>
      </c>
      <c r="O13">
        <v>301.94652358444665</v>
      </c>
      <c r="P13">
        <v>303.68255025058147</v>
      </c>
      <c r="Q13">
        <v>303.25361423647547</v>
      </c>
      <c r="R13">
        <v>320</v>
      </c>
      <c r="S13">
        <v>320</v>
      </c>
      <c r="T13" s="9"/>
      <c r="U13" s="62"/>
    </row>
    <row r="14" spans="1:21" x14ac:dyDescent="0.2">
      <c r="A14" t="s">
        <v>171</v>
      </c>
      <c r="B14" t="s">
        <v>172</v>
      </c>
      <c r="C14" t="s">
        <v>47</v>
      </c>
      <c r="D14">
        <v>20190718</v>
      </c>
      <c r="E14">
        <v>292.84252500000002</v>
      </c>
      <c r="F14">
        <v>286.855546</v>
      </c>
      <c r="G14">
        <v>283.95951400000001</v>
      </c>
      <c r="H14">
        <v>313.67151100000001</v>
      </c>
      <c r="I14">
        <v>275.52710500000001</v>
      </c>
      <c r="J14">
        <v>294.33227399999998</v>
      </c>
      <c r="K14">
        <v>378.81225896574574</v>
      </c>
      <c r="L14">
        <v>374.18109050180544</v>
      </c>
      <c r="M14">
        <v>384.4796688602932</v>
      </c>
      <c r="N14">
        <v>367.96901142670578</v>
      </c>
      <c r="O14">
        <v>338.82866693358841</v>
      </c>
      <c r="P14">
        <v>376.062728287391</v>
      </c>
      <c r="Q14">
        <v>370.05557082925492</v>
      </c>
      <c r="R14">
        <v>321.60000000000002</v>
      </c>
      <c r="S14">
        <v>324</v>
      </c>
      <c r="T14" s="9"/>
      <c r="U14" s="62"/>
    </row>
    <row r="15" spans="1:21" x14ac:dyDescent="0.2">
      <c r="A15" t="s">
        <v>171</v>
      </c>
      <c r="B15" t="s">
        <v>172</v>
      </c>
      <c r="C15" t="s">
        <v>48</v>
      </c>
      <c r="D15">
        <v>20191024</v>
      </c>
      <c r="E15">
        <v>311.17937000000001</v>
      </c>
      <c r="F15">
        <v>312.60139099999998</v>
      </c>
      <c r="G15">
        <v>284.66051800000002</v>
      </c>
      <c r="H15">
        <v>317.74229400000002</v>
      </c>
      <c r="I15">
        <v>265.14873299999999</v>
      </c>
      <c r="J15">
        <v>306.54589325000001</v>
      </c>
      <c r="K15">
        <v>344.2878245910494</v>
      </c>
      <c r="L15">
        <v>353.07963222715586</v>
      </c>
      <c r="M15">
        <v>324.7998509815734</v>
      </c>
      <c r="N15">
        <v>328.20482461985529</v>
      </c>
      <c r="O15">
        <v>311.79578318438035</v>
      </c>
      <c r="P15">
        <v>337.44471193464841</v>
      </c>
      <c r="Q15">
        <v>333.26877125644381</v>
      </c>
      <c r="R15">
        <v>308</v>
      </c>
      <c r="S15">
        <v>318</v>
      </c>
      <c r="T15" s="9"/>
      <c r="U15" s="62"/>
    </row>
    <row r="16" spans="1:21" x14ac:dyDescent="0.2">
      <c r="A16" t="s">
        <v>171</v>
      </c>
      <c r="B16" t="s">
        <v>172</v>
      </c>
      <c r="C16" t="s">
        <v>49</v>
      </c>
      <c r="D16">
        <v>20200123</v>
      </c>
      <c r="E16">
        <v>402.67909200000003</v>
      </c>
      <c r="F16">
        <v>404.18885899999998</v>
      </c>
      <c r="G16">
        <v>373.25843500000002</v>
      </c>
      <c r="H16">
        <v>401.42605800000001</v>
      </c>
      <c r="I16">
        <v>320.619551</v>
      </c>
      <c r="J16">
        <v>395.38811099999998</v>
      </c>
      <c r="K16">
        <v>411.5052718822588</v>
      </c>
      <c r="L16">
        <v>411.16917858500511</v>
      </c>
      <c r="M16">
        <v>416.97451815218011</v>
      </c>
      <c r="N16">
        <v>401.75163600977839</v>
      </c>
      <c r="O16">
        <v>384.5276425213014</v>
      </c>
      <c r="P16">
        <v>410.16181285279697</v>
      </c>
      <c r="Q16">
        <v>406.0150100005535</v>
      </c>
      <c r="R16">
        <v>371.1</v>
      </c>
      <c r="S16">
        <v>385</v>
      </c>
      <c r="T16" s="9"/>
      <c r="U16" s="62"/>
    </row>
    <row r="17" spans="1:22" x14ac:dyDescent="0.2">
      <c r="A17" t="s">
        <v>171</v>
      </c>
      <c r="B17" t="s">
        <v>172</v>
      </c>
      <c r="C17" t="s">
        <v>50</v>
      </c>
      <c r="D17">
        <v>20200423</v>
      </c>
      <c r="E17">
        <v>323.65443900000002</v>
      </c>
      <c r="F17">
        <v>328.32318800000002</v>
      </c>
      <c r="G17">
        <v>309.13017100000002</v>
      </c>
      <c r="H17">
        <v>324.93525299999999</v>
      </c>
      <c r="I17">
        <v>261.37823400000002</v>
      </c>
      <c r="J17">
        <v>321.51076275000003</v>
      </c>
      <c r="K17">
        <v>309.44481968534888</v>
      </c>
      <c r="L17">
        <v>312.73605040162676</v>
      </c>
      <c r="M17">
        <v>318.8544575958478</v>
      </c>
      <c r="N17">
        <v>311.63914228258693</v>
      </c>
      <c r="O17">
        <v>313.86301857181502</v>
      </c>
      <c r="P17">
        <v>313.06364611137741</v>
      </c>
      <c r="Q17">
        <v>313.26685577476718</v>
      </c>
      <c r="R17">
        <v>317.10000000000002</v>
      </c>
      <c r="S17">
        <v>322</v>
      </c>
      <c r="T17" s="9"/>
      <c r="U17" s="62"/>
    </row>
    <row r="18" spans="1:22" x14ac:dyDescent="0.2">
      <c r="A18" t="s">
        <v>171</v>
      </c>
      <c r="B18" t="s">
        <v>172</v>
      </c>
      <c r="C18" t="s">
        <v>51</v>
      </c>
      <c r="D18">
        <v>20200723</v>
      </c>
      <c r="E18">
        <v>184.529585</v>
      </c>
      <c r="F18">
        <v>186.87688600000001</v>
      </c>
      <c r="G18">
        <v>171.00017399999999</v>
      </c>
      <c r="H18">
        <v>188.035358</v>
      </c>
      <c r="I18">
        <v>152.319661</v>
      </c>
      <c r="J18">
        <v>182.61050075</v>
      </c>
      <c r="K18">
        <v>183.58631679388148</v>
      </c>
      <c r="L18">
        <v>183.27781738035512</v>
      </c>
      <c r="M18">
        <v>178.11932057579713</v>
      </c>
      <c r="N18">
        <v>186.33676930092903</v>
      </c>
      <c r="O18">
        <v>187.64734190529418</v>
      </c>
      <c r="P18">
        <v>182.88837592420535</v>
      </c>
      <c r="Q18">
        <v>183.64265698007705</v>
      </c>
      <c r="R18">
        <v>166.7</v>
      </c>
      <c r="S18">
        <v>179</v>
      </c>
      <c r="T18" s="9"/>
      <c r="U18" s="62"/>
    </row>
    <row r="19" spans="1:22" x14ac:dyDescent="0.2">
      <c r="A19" t="s">
        <v>171</v>
      </c>
      <c r="B19" t="s">
        <v>172</v>
      </c>
      <c r="C19" t="s">
        <v>52</v>
      </c>
      <c r="D19">
        <v>20201022</v>
      </c>
      <c r="E19">
        <v>288.89637537599998</v>
      </c>
      <c r="F19">
        <v>293.83129245049832</v>
      </c>
      <c r="G19">
        <v>304.47884849913868</v>
      </c>
      <c r="H19">
        <v>285.738532604</v>
      </c>
      <c r="I19">
        <v>219.70750401081989</v>
      </c>
      <c r="J19">
        <v>293.23626223240927</v>
      </c>
      <c r="K19">
        <v>280.23935127965524</v>
      </c>
      <c r="L19">
        <v>281.44626376447218</v>
      </c>
      <c r="M19">
        <v>318.7231486755436</v>
      </c>
      <c r="N19">
        <v>272.00840246288146</v>
      </c>
      <c r="O19">
        <v>258.19150961698085</v>
      </c>
      <c r="P19">
        <v>287.43851379861712</v>
      </c>
      <c r="Q19">
        <v>283.00786493302513</v>
      </c>
      <c r="R19">
        <v>286</v>
      </c>
      <c r="S19">
        <v>332</v>
      </c>
      <c r="T19" s="9"/>
      <c r="U19" s="62"/>
    </row>
    <row r="20" spans="1:22" x14ac:dyDescent="0.2">
      <c r="A20" t="s">
        <v>171</v>
      </c>
      <c r="B20" t="s">
        <v>172</v>
      </c>
      <c r="C20" t="s">
        <v>53</v>
      </c>
      <c r="D20">
        <v>20210121</v>
      </c>
      <c r="E20">
        <v>316.75672600000001</v>
      </c>
      <c r="F20">
        <v>309.70711399999999</v>
      </c>
      <c r="G20">
        <v>321.49231200000003</v>
      </c>
      <c r="H20">
        <v>318.47522099999998</v>
      </c>
      <c r="I20">
        <v>235.96377699999999</v>
      </c>
      <c r="J20">
        <v>316.60784324999997</v>
      </c>
      <c r="K20">
        <v>364.0171424619972</v>
      </c>
      <c r="L20">
        <v>349.93809199312057</v>
      </c>
      <c r="M20">
        <v>350.55127182110959</v>
      </c>
      <c r="N20">
        <v>370.03680395648485</v>
      </c>
      <c r="O20">
        <v>356.56485342504277</v>
      </c>
      <c r="P20">
        <v>358.46113696433048</v>
      </c>
      <c r="Q20">
        <v>358.26155010368092</v>
      </c>
      <c r="R20">
        <v>390.1</v>
      </c>
      <c r="S20">
        <v>336.9</v>
      </c>
    </row>
    <row r="21" spans="1:22" x14ac:dyDescent="0.2">
      <c r="A21" t="s">
        <v>171</v>
      </c>
      <c r="B21" t="s">
        <v>172</v>
      </c>
      <c r="C21" t="s">
        <v>54</v>
      </c>
      <c r="D21">
        <v>20210422</v>
      </c>
      <c r="E21">
        <v>298.42520999999999</v>
      </c>
      <c r="F21">
        <v>288.09023100000002</v>
      </c>
      <c r="G21">
        <v>295.54769599999997</v>
      </c>
      <c r="H21">
        <v>290.96921700000001</v>
      </c>
      <c r="I21">
        <v>206.45519899999999</v>
      </c>
      <c r="J21">
        <v>293.25808849999999</v>
      </c>
      <c r="K21">
        <v>317.40274158850849</v>
      </c>
      <c r="L21">
        <v>313.38511269683011</v>
      </c>
      <c r="M21">
        <v>309.71197464404679</v>
      </c>
      <c r="N21">
        <v>307.80268838340805</v>
      </c>
      <c r="O21">
        <v>294.76878793603987</v>
      </c>
      <c r="P21">
        <v>312.05370341263648</v>
      </c>
      <c r="Q21">
        <v>309.1875014435783</v>
      </c>
      <c r="R21">
        <v>314.8</v>
      </c>
      <c r="S21">
        <v>294</v>
      </c>
    </row>
    <row r="22" spans="1:22" x14ac:dyDescent="0.2">
      <c r="A22" t="s">
        <v>171</v>
      </c>
      <c r="B22" t="s">
        <v>172</v>
      </c>
      <c r="C22" t="s">
        <v>55</v>
      </c>
      <c r="D22">
        <v>20210722</v>
      </c>
      <c r="E22">
        <v>355.56144699999999</v>
      </c>
      <c r="F22">
        <v>350.78869300000002</v>
      </c>
      <c r="G22">
        <v>329.74904800000002</v>
      </c>
      <c r="H22">
        <v>353.66805799999997</v>
      </c>
      <c r="I22">
        <v>257.16621400000002</v>
      </c>
      <c r="J22">
        <v>347.44181150000003</v>
      </c>
      <c r="K22">
        <v>350.28899005549835</v>
      </c>
      <c r="L22">
        <v>357.9846334393755</v>
      </c>
      <c r="M22">
        <v>328.02224962024411</v>
      </c>
      <c r="N22">
        <v>357.35192239253263</v>
      </c>
      <c r="O22">
        <v>366.21440042301867</v>
      </c>
      <c r="P22">
        <v>348.3208020057732</v>
      </c>
      <c r="Q22">
        <v>351.36383298940706</v>
      </c>
      <c r="R22">
        <v>325.10000000000002</v>
      </c>
      <c r="S22">
        <v>349</v>
      </c>
    </row>
    <row r="23" spans="1:22" x14ac:dyDescent="0.2">
      <c r="A23" t="s">
        <v>171</v>
      </c>
      <c r="B23" t="s">
        <v>172</v>
      </c>
      <c r="C23" t="s">
        <v>71</v>
      </c>
      <c r="D23" s="12">
        <v>20211021</v>
      </c>
      <c r="E23">
        <v>343.41454687800001</v>
      </c>
      <c r="F23">
        <v>330.94873299764112</v>
      </c>
      <c r="G23">
        <v>300.73025539524258</v>
      </c>
      <c r="H23">
        <v>322.120197276</v>
      </c>
      <c r="I23">
        <v>223.6548570913269</v>
      </c>
      <c r="J23">
        <f>AVERAGE(E23:H23)</f>
        <v>324.30343313672097</v>
      </c>
      <c r="K23" s="93">
        <f t="shared" ref="K23:P23" si="0">(E23/E22)*$S21</f>
        <v>283.95619838427535</v>
      </c>
      <c r="L23" s="93">
        <f t="shared" si="0"/>
        <v>277.37190349321344</v>
      </c>
      <c r="M23" s="93">
        <f t="shared" si="0"/>
        <v>268.12721863021517</v>
      </c>
      <c r="N23" s="93">
        <f t="shared" si="0"/>
        <v>267.77464307829575</v>
      </c>
      <c r="O23" s="93">
        <f t="shared" si="0"/>
        <v>255.68882848992794</v>
      </c>
      <c r="P23" s="93">
        <f t="shared" si="0"/>
        <v>274.42065458548291</v>
      </c>
      <c r="Q23" s="93">
        <f>AVERAGE(K23:P23)</f>
        <v>271.22324111023505</v>
      </c>
      <c r="R23" s="106">
        <f>'1. Data &amp; Confidence Interval'!AN14</f>
        <v>339.2</v>
      </c>
      <c r="S23" s="10"/>
    </row>
    <row r="24" spans="1:22" x14ac:dyDescent="0.2">
      <c r="A24" s="169" t="s">
        <v>75</v>
      </c>
      <c r="B24" s="170"/>
      <c r="C24" s="170"/>
      <c r="D24" s="170"/>
      <c r="E24" s="101">
        <f t="shared" ref="E24:Q24" si="1">CORREL(E$8:E$22,$S$8:$S$22)</f>
        <v>0.80674543880527994</v>
      </c>
      <c r="F24" s="101">
        <f t="shared" si="1"/>
        <v>0.79912249689654891</v>
      </c>
      <c r="G24" s="101">
        <f t="shared" si="1"/>
        <v>0.86131481269198606</v>
      </c>
      <c r="H24" s="102">
        <f t="shared" si="1"/>
        <v>0.8975812610063415</v>
      </c>
      <c r="I24" s="101">
        <f t="shared" si="1"/>
        <v>0.68070501714186238</v>
      </c>
      <c r="J24" s="101">
        <f>CORREL(J$8:J$22,$S$8:$S$22)</f>
        <v>0.85621830345676408</v>
      </c>
      <c r="K24" s="101">
        <f t="shared" si="1"/>
        <v>0.79400735993844829</v>
      </c>
      <c r="L24" s="101">
        <f t="shared" si="1"/>
        <v>0.79812855967006302</v>
      </c>
      <c r="M24" s="101">
        <f t="shared" si="1"/>
        <v>0.84521673825017951</v>
      </c>
      <c r="N24" s="101">
        <f t="shared" si="1"/>
        <v>0.8396306606787618</v>
      </c>
      <c r="O24" s="101">
        <f t="shared" si="1"/>
        <v>0.79447720251500498</v>
      </c>
      <c r="P24" s="101">
        <f t="shared" si="1"/>
        <v>0.8312812879704401</v>
      </c>
      <c r="Q24" s="101">
        <f t="shared" si="1"/>
        <v>0.83980644453648157</v>
      </c>
      <c r="R24" s="102">
        <f>CORREL(R$8:R$22,$S$8:$S$22)</f>
        <v>0.90221853325874468</v>
      </c>
      <c r="S24" s="5"/>
    </row>
    <row r="26" spans="1:22" x14ac:dyDescent="0.2">
      <c r="A26" s="172" t="s">
        <v>77</v>
      </c>
      <c r="B26" s="173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SYK_KNEE</v>
      </c>
      <c r="B28" s="9" t="str">
        <f t="shared" si="2"/>
        <v>KNEE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-3.6421352550198738E-2</v>
      </c>
      <c r="F28" s="18">
        <f t="shared" si="3"/>
        <v>-3.8672137049463706E-2</v>
      </c>
      <c r="G28" s="18">
        <f t="shared" si="3"/>
        <v>1.8085501910809265E-2</v>
      </c>
      <c r="H28" s="18">
        <f t="shared" si="3"/>
        <v>-4.5639363298910496E-2</v>
      </c>
      <c r="I28" s="18">
        <f t="shared" si="3"/>
        <v>0.125698675661015</v>
      </c>
      <c r="J28" s="18">
        <f t="shared" si="3"/>
        <v>-2.6309966187594958E-2</v>
      </c>
      <c r="K28" s="18"/>
      <c r="L28" s="18"/>
      <c r="M28" s="18"/>
      <c r="N28" s="18"/>
      <c r="O28" s="18"/>
      <c r="P28" s="18"/>
      <c r="Q28" s="18"/>
      <c r="R28" s="40">
        <f t="shared" si="3"/>
        <v>7.8627591136526398E-3</v>
      </c>
    </row>
    <row r="29" spans="1:22" x14ac:dyDescent="0.2">
      <c r="A29" s="9" t="str">
        <f t="shared" ref="A29:D29" si="4">A7</f>
        <v>SYK_KNEE</v>
      </c>
      <c r="B29" s="9" t="str">
        <f t="shared" si="4"/>
        <v>KNEE</v>
      </c>
      <c r="C29" s="9" t="str">
        <f t="shared" si="4"/>
        <v>2017Q3</v>
      </c>
      <c r="D29" s="9">
        <f t="shared" si="4"/>
        <v>20171019</v>
      </c>
      <c r="E29" s="18">
        <f t="shared" ref="E29:R29" si="5">$S7/E7-1</f>
        <v>-0.15603473347181473</v>
      </c>
      <c r="F29" s="18">
        <f t="shared" si="5"/>
        <v>-0.13755565916315915</v>
      </c>
      <c r="G29" s="18">
        <f t="shared" si="5"/>
        <v>-4.0261325324249975E-2</v>
      </c>
      <c r="H29" s="18">
        <f t="shared" si="5"/>
        <v>-4.2928519627710493E-2</v>
      </c>
      <c r="I29" s="18">
        <f t="shared" si="5"/>
        <v>0.15346709695375416</v>
      </c>
      <c r="J29" s="18">
        <f t="shared" si="5"/>
        <v>-9.7306385574138288E-2</v>
      </c>
      <c r="K29" s="18">
        <f t="shared" si="5"/>
        <v>-0.12413452834201311</v>
      </c>
      <c r="L29" s="18">
        <f t="shared" si="5"/>
        <v>-0.1028613919606981</v>
      </c>
      <c r="M29" s="18">
        <f t="shared" si="5"/>
        <v>-5.7310340954222494E-2</v>
      </c>
      <c r="N29" s="18">
        <f t="shared" si="5"/>
        <v>2.8404814353728547E-3</v>
      </c>
      <c r="O29" s="18">
        <f t="shared" si="5"/>
        <v>2.4667721383285102E-2</v>
      </c>
      <c r="P29" s="18">
        <f t="shared" si="5"/>
        <v>-7.2914805452575782E-2</v>
      </c>
      <c r="Q29" s="18">
        <f t="shared" si="5"/>
        <v>-5.7925124402963823E-2</v>
      </c>
      <c r="R29" s="40">
        <f t="shared" si="5"/>
        <v>-1.1351153423654448E-2</v>
      </c>
    </row>
    <row r="30" spans="1:22" x14ac:dyDescent="0.2">
      <c r="A30" s="9" t="str">
        <f>A8</f>
        <v>SYK_KNEE</v>
      </c>
      <c r="B30" s="9" t="str">
        <f t="shared" ref="B30:D31" si="6">B8</f>
        <v>KNEE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-3.1519592778508021E-2</v>
      </c>
      <c r="F30" s="18">
        <f t="shared" si="7"/>
        <v>-2.7775250939872542E-2</v>
      </c>
      <c r="G30" s="18">
        <f t="shared" si="7"/>
        <v>5.6601945988174807E-2</v>
      </c>
      <c r="H30" s="18">
        <f t="shared" si="7"/>
        <v>4.0448661328733371E-2</v>
      </c>
      <c r="I30" s="18">
        <f t="shared" si="7"/>
        <v>0.22631456772196623</v>
      </c>
      <c r="J30" s="18">
        <f t="shared" si="7"/>
        <v>7.8947888775384722E-3</v>
      </c>
      <c r="K30" s="18">
        <f t="shared" si="7"/>
        <v>0.14753585915392464</v>
      </c>
      <c r="L30" s="18">
        <f t="shared" si="7"/>
        <v>0.12728984703727675</v>
      </c>
      <c r="M30" s="18">
        <f t="shared" si="7"/>
        <v>0.10092671460296243</v>
      </c>
      <c r="N30" s="18">
        <f t="shared" si="7"/>
        <v>8.7116984119108176E-2</v>
      </c>
      <c r="O30" s="18">
        <f t="shared" si="7"/>
        <v>6.3155222165069524E-2</v>
      </c>
      <c r="P30" s="18">
        <f t="shared" si="7"/>
        <v>0.11654139651645545</v>
      </c>
      <c r="Q30" s="18">
        <f t="shared" si="7"/>
        <v>0.1064139885787958</v>
      </c>
      <c r="R30" s="40">
        <f t="shared" si="7"/>
        <v>2.0345252774352618E-2</v>
      </c>
      <c r="V30" s="106"/>
    </row>
    <row r="31" spans="1:22" x14ac:dyDescent="0.2">
      <c r="A31" s="9" t="str">
        <f>A9</f>
        <v>SYK_KNEE</v>
      </c>
      <c r="B31" s="9" t="str">
        <f t="shared" si="6"/>
        <v>KNEE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1.4206957144344612E-2</v>
      </c>
      <c r="F31" s="18">
        <f t="shared" si="7"/>
        <v>2.3952654279864927E-2</v>
      </c>
      <c r="G31" s="18">
        <f t="shared" si="7"/>
        <v>0.13548226155458165</v>
      </c>
      <c r="H31" s="18">
        <f t="shared" si="7"/>
        <v>0.10571106967466037</v>
      </c>
      <c r="I31" s="18">
        <f t="shared" si="7"/>
        <v>6.3812029461316255E-2</v>
      </c>
      <c r="J31" s="18">
        <f t="shared" si="7"/>
        <v>6.732750763462958E-2</v>
      </c>
      <c r="K31" s="18">
        <f t="shared" ref="K31:Q31" si="9">$S9/K9-1</f>
        <v>4.7214739278039763E-2</v>
      </c>
      <c r="L31" s="18">
        <f t="shared" si="9"/>
        <v>5.3205707085469678E-2</v>
      </c>
      <c r="M31" s="18">
        <f t="shared" si="9"/>
        <v>7.4654713504842984E-2</v>
      </c>
      <c r="N31" s="18">
        <f t="shared" si="9"/>
        <v>6.2725255720529116E-2</v>
      </c>
      <c r="O31" s="18">
        <f t="shared" si="9"/>
        <v>-0.13251293145976306</v>
      </c>
      <c r="P31" s="18">
        <f t="shared" si="9"/>
        <v>5.8967185278613776E-2</v>
      </c>
      <c r="Q31" s="18">
        <f t="shared" si="9"/>
        <v>2.1628592909028077E-2</v>
      </c>
      <c r="R31" s="40">
        <f>$S9/R9-1</f>
        <v>-6.2726972598216024E-3</v>
      </c>
    </row>
    <row r="32" spans="1:22" x14ac:dyDescent="0.2">
      <c r="A32" s="9" t="str">
        <f t="shared" ref="A32:D32" si="10">A10</f>
        <v>SYK_KNEE</v>
      </c>
      <c r="B32" s="9" t="str">
        <f t="shared" si="10"/>
        <v>KNEE</v>
      </c>
      <c r="C32" s="9" t="str">
        <f t="shared" si="10"/>
        <v>2018Q2</v>
      </c>
      <c r="D32" s="9">
        <f t="shared" si="10"/>
        <v>20180719</v>
      </c>
      <c r="E32" s="18">
        <f t="shared" si="8"/>
        <v>-9.565362355752105E-2</v>
      </c>
      <c r="F32" s="18">
        <f t="shared" ref="F32:J32" si="11">$S10/F10-1</f>
        <v>-0.10502277733223708</v>
      </c>
      <c r="G32" s="18">
        <f t="shared" si="11"/>
        <v>-8.4725207699321015E-3</v>
      </c>
      <c r="H32" s="18">
        <f t="shared" si="11"/>
        <v>3.6008637408485367E-2</v>
      </c>
      <c r="I32" s="18">
        <f t="shared" si="11"/>
        <v>-2.9699933874688833E-2</v>
      </c>
      <c r="J32" s="18">
        <f t="shared" si="11"/>
        <v>-4.6916877363352261E-2</v>
      </c>
      <c r="K32" s="18">
        <f t="shared" ref="K32:Q32" si="12">$S10/K10-1</f>
        <v>-0.108321659527159</v>
      </c>
      <c r="L32" s="18">
        <f t="shared" si="12"/>
        <v>-0.12595839375289186</v>
      </c>
      <c r="M32" s="18">
        <f t="shared" si="12"/>
        <v>-0.12677853912700154</v>
      </c>
      <c r="N32" s="18">
        <f t="shared" si="12"/>
        <v>-6.3038558786142729E-2</v>
      </c>
      <c r="O32" s="18">
        <f t="shared" si="12"/>
        <v>-8.790271283485751E-2</v>
      </c>
      <c r="P32" s="18">
        <f t="shared" si="12"/>
        <v>-0.1070377969093721</v>
      </c>
      <c r="Q32" s="18">
        <f t="shared" si="12"/>
        <v>-0.10371484432369471</v>
      </c>
      <c r="R32" s="40">
        <f t="shared" ref="R32:R39" si="13">$S10/R10-1</f>
        <v>-2.2973416475221553E-3</v>
      </c>
    </row>
    <row r="33" spans="1:18" x14ac:dyDescent="0.2">
      <c r="A33" s="9" t="str">
        <f t="shared" ref="A33:D33" si="14">A11</f>
        <v>SYK_KNEE</v>
      </c>
      <c r="B33" s="9" t="str">
        <f t="shared" si="14"/>
        <v>KNEE</v>
      </c>
      <c r="C33" s="9" t="str">
        <f t="shared" si="14"/>
        <v>2018Q3</v>
      </c>
      <c r="D33" s="9">
        <f t="shared" si="14"/>
        <v>20181018</v>
      </c>
      <c r="E33" s="18">
        <f t="shared" si="8"/>
        <v>7.4943502114657612E-2</v>
      </c>
      <c r="F33" s="18">
        <f t="shared" ref="F33:J33" si="15">$S11/F11-1</f>
        <v>6.9678194299398033E-2</v>
      </c>
      <c r="G33" s="18">
        <f t="shared" si="15"/>
        <v>0.13207403155725239</v>
      </c>
      <c r="H33" s="18">
        <f t="shared" si="15"/>
        <v>2.0064042775442603E-2</v>
      </c>
      <c r="I33" s="18">
        <f t="shared" si="15"/>
        <v>-3.5933812509042484E-3</v>
      </c>
      <c r="J33" s="18">
        <f t="shared" si="15"/>
        <v>7.272912713109192E-2</v>
      </c>
      <c r="K33" s="18">
        <f t="shared" ref="K33:Q33" si="16">$S11/K11-1</f>
        <v>0.1886413548128254</v>
      </c>
      <c r="L33" s="18">
        <f t="shared" si="16"/>
        <v>0.19520158413739708</v>
      </c>
      <c r="M33" s="18">
        <f t="shared" si="16"/>
        <v>0.14174751105871564</v>
      </c>
      <c r="N33" s="18">
        <f t="shared" si="16"/>
        <v>-1.5390407046149024E-2</v>
      </c>
      <c r="O33" s="18">
        <f t="shared" si="16"/>
        <v>2.6905648608306798E-2</v>
      </c>
      <c r="P33" s="18">
        <f t="shared" si="16"/>
        <v>0.12553574987609739</v>
      </c>
      <c r="Q33" s="18">
        <f t="shared" si="16"/>
        <v>0.104622061007422</v>
      </c>
      <c r="R33" s="40">
        <f t="shared" si="13"/>
        <v>1.6416346489696032E-2</v>
      </c>
    </row>
    <row r="34" spans="1:18" x14ac:dyDescent="0.2">
      <c r="A34" s="9" t="str">
        <f t="shared" ref="A34:D34" si="17">A12</f>
        <v>SYK_KNEE</v>
      </c>
      <c r="B34" s="9" t="str">
        <f t="shared" si="17"/>
        <v>KNEE</v>
      </c>
      <c r="C34" s="9" t="str">
        <f t="shared" si="17"/>
        <v>2018Q4</v>
      </c>
      <c r="D34" s="9">
        <f t="shared" si="17"/>
        <v>20190124</v>
      </c>
      <c r="E34" s="18">
        <f t="shared" si="8"/>
        <v>0.2290042068637419</v>
      </c>
      <c r="F34" s="18">
        <f t="shared" ref="F34:J34" si="18">$S12/F12-1</f>
        <v>0.22512392903045786</v>
      </c>
      <c r="G34" s="18">
        <f t="shared" si="18"/>
        <v>0.24653060176211072</v>
      </c>
      <c r="H34" s="18">
        <f t="shared" si="18"/>
        <v>0.15373288068856072</v>
      </c>
      <c r="I34" s="18">
        <f t="shared" si="18"/>
        <v>0.16036834732817584</v>
      </c>
      <c r="J34" s="18">
        <f t="shared" si="18"/>
        <v>0.21252936804708855</v>
      </c>
      <c r="K34" s="18">
        <f t="shared" ref="K34:Q34" si="19">$S12/K12-1</f>
        <v>0.14331981582847075</v>
      </c>
      <c r="L34" s="18">
        <f t="shared" si="19"/>
        <v>0.14532009305179039</v>
      </c>
      <c r="M34" s="18">
        <f t="shared" si="19"/>
        <v>0.10110343229710428</v>
      </c>
      <c r="N34" s="18">
        <f t="shared" si="19"/>
        <v>0.13103965271575024</v>
      </c>
      <c r="O34" s="18">
        <f t="shared" si="19"/>
        <v>0.16455303035313062</v>
      </c>
      <c r="P34" s="18">
        <f t="shared" si="19"/>
        <v>0.13032203319572244</v>
      </c>
      <c r="Q34" s="18">
        <f t="shared" si="19"/>
        <v>0.1356133057345148</v>
      </c>
      <c r="R34" s="40">
        <f t="shared" si="13"/>
        <v>-1.3325772611284314E-2</v>
      </c>
    </row>
    <row r="35" spans="1:18" x14ac:dyDescent="0.2">
      <c r="A35" s="9" t="str">
        <f t="shared" ref="A35:D35" si="20">A13</f>
        <v>SYK_KNEE</v>
      </c>
      <c r="B35" s="9" t="str">
        <f t="shared" si="20"/>
        <v>KNEE</v>
      </c>
      <c r="C35" s="9" t="str">
        <f t="shared" si="20"/>
        <v>2019Q1</v>
      </c>
      <c r="D35" s="9">
        <f t="shared" si="20"/>
        <v>20190418</v>
      </c>
      <c r="E35" s="18">
        <f t="shared" si="8"/>
        <v>0.29356984258261565</v>
      </c>
      <c r="F35" s="18">
        <f t="shared" ref="F35:J35" si="21">$S13/F13-1</f>
        <v>0.30442341352467861</v>
      </c>
      <c r="G35" s="18">
        <f t="shared" si="21"/>
        <v>0.35399467143859531</v>
      </c>
      <c r="H35" s="18">
        <f t="shared" si="21"/>
        <v>0.17310306649654827</v>
      </c>
      <c r="I35" s="18">
        <f t="shared" si="21"/>
        <v>0.22974713117095469</v>
      </c>
      <c r="J35" s="18">
        <f t="shared" si="21"/>
        <v>0.27768091204089651</v>
      </c>
      <c r="K35" s="18">
        <f t="shared" ref="K35:Q35" si="22">$S13/K13-1</f>
        <v>5.2534918398397412E-2</v>
      </c>
      <c r="L35" s="18">
        <f t="shared" si="22"/>
        <v>6.4727724775547335E-2</v>
      </c>
      <c r="M35" s="18">
        <f t="shared" si="22"/>
        <v>8.6210534682880535E-2</v>
      </c>
      <c r="N35" s="18">
        <f t="shared" si="22"/>
        <v>1.6789142558221171E-2</v>
      </c>
      <c r="O35" s="18">
        <f t="shared" si="22"/>
        <v>5.9790310553134329E-2</v>
      </c>
      <c r="P35" s="18">
        <f t="shared" si="22"/>
        <v>5.3731930714999265E-2</v>
      </c>
      <c r="Q35" s="18">
        <f t="shared" si="22"/>
        <v>5.5222378159245356E-2</v>
      </c>
      <c r="R35" s="40">
        <f t="shared" si="13"/>
        <v>0</v>
      </c>
    </row>
    <row r="36" spans="1:18" x14ac:dyDescent="0.2">
      <c r="A36" s="9" t="str">
        <f t="shared" ref="A36:D36" si="23">A14</f>
        <v>SYK_KNEE</v>
      </c>
      <c r="B36" s="9" t="str">
        <f t="shared" si="23"/>
        <v>KNEE</v>
      </c>
      <c r="C36" s="9" t="str">
        <f t="shared" si="23"/>
        <v>2019Q2</v>
      </c>
      <c r="D36" s="9">
        <f t="shared" si="23"/>
        <v>20190718</v>
      </c>
      <c r="E36" s="18">
        <f t="shared" si="8"/>
        <v>0.10639668880057629</v>
      </c>
      <c r="F36" s="18">
        <f t="shared" ref="F36:J36" si="24">$S14/F14-1</f>
        <v>0.12948835927334668</v>
      </c>
      <c r="G36" s="18">
        <f>$S14/G14-1</f>
        <v>0.14100772830594432</v>
      </c>
      <c r="H36" s="18">
        <f t="shared" si="24"/>
        <v>3.2927724188506202E-2</v>
      </c>
      <c r="I36" s="18">
        <f t="shared" si="24"/>
        <v>0.17592786379401759</v>
      </c>
      <c r="J36" s="18">
        <f t="shared" si="24"/>
        <v>0.10079671385272548</v>
      </c>
      <c r="K36" s="18">
        <f t="shared" ref="K36:Q36" si="25">$S14/K14-1</f>
        <v>-0.14469505056514598</v>
      </c>
      <c r="L36" s="18">
        <f t="shared" si="25"/>
        <v>-0.13410910325401204</v>
      </c>
      <c r="M36" s="18">
        <f t="shared" si="25"/>
        <v>-0.15730264499959667</v>
      </c>
      <c r="N36" s="18">
        <f t="shared" si="25"/>
        <v>-0.11949107142535498</v>
      </c>
      <c r="O36" s="18">
        <f t="shared" si="25"/>
        <v>-4.3764499231391363E-2</v>
      </c>
      <c r="P36" s="18">
        <f t="shared" si="25"/>
        <v>-0.13844160660240734</v>
      </c>
      <c r="Q36" s="18">
        <f t="shared" si="25"/>
        <v>-0.12445582355657914</v>
      </c>
      <c r="R36" s="40">
        <f t="shared" si="13"/>
        <v>7.4626865671640896E-3</v>
      </c>
    </row>
    <row r="37" spans="1:18" x14ac:dyDescent="0.2">
      <c r="A37" s="9" t="str">
        <f t="shared" ref="A37:D37" si="26">A15</f>
        <v>SYK_KNEE</v>
      </c>
      <c r="B37" s="9" t="str">
        <f t="shared" si="26"/>
        <v>KNEE</v>
      </c>
      <c r="C37" s="9" t="str">
        <f t="shared" si="26"/>
        <v>2019Q3</v>
      </c>
      <c r="D37" s="9">
        <f t="shared" si="26"/>
        <v>20191024</v>
      </c>
      <c r="E37" s="18">
        <f t="shared" si="8"/>
        <v>2.1918644542535004E-2</v>
      </c>
      <c r="F37" s="18">
        <f t="shared" ref="F37:J37" si="27">$S15/F15-1</f>
        <v>1.7269945545443921E-2</v>
      </c>
      <c r="G37" s="18">
        <f>$S15/G15-1</f>
        <v>0.11712014800731851</v>
      </c>
      <c r="H37" s="18">
        <f t="shared" si="27"/>
        <v>8.1105350111165819E-4</v>
      </c>
      <c r="I37" s="18">
        <f t="shared" si="27"/>
        <v>0.19932686987420012</v>
      </c>
      <c r="J37" s="18">
        <f t="shared" si="27"/>
        <v>3.7365063444704916E-2</v>
      </c>
      <c r="K37" s="18">
        <f t="shared" ref="K37:Q37" si="28">$S15/K15-1</f>
        <v>-7.6354209220946156E-2</v>
      </c>
      <c r="L37" s="18">
        <f t="shared" si="28"/>
        <v>-9.935331586781293E-2</v>
      </c>
      <c r="M37" s="18">
        <f t="shared" si="28"/>
        <v>-2.0935511395783202E-2</v>
      </c>
      <c r="N37" s="18">
        <f t="shared" si="28"/>
        <v>-3.109285377408777E-2</v>
      </c>
      <c r="O37" s="18">
        <f t="shared" si="28"/>
        <v>1.9898334583796418E-2</v>
      </c>
      <c r="P37" s="18">
        <f t="shared" si="28"/>
        <v>-5.7623400951128834E-2</v>
      </c>
      <c r="Q37" s="18">
        <f t="shared" si="28"/>
        <v>-4.581518754031344E-2</v>
      </c>
      <c r="R37" s="40">
        <f t="shared" si="13"/>
        <v>3.2467532467532534E-2</v>
      </c>
    </row>
    <row r="38" spans="1:18" x14ac:dyDescent="0.2">
      <c r="A38" s="9" t="str">
        <f t="shared" ref="A38:D38" si="29">A16</f>
        <v>SYK_KNEE</v>
      </c>
      <c r="B38" s="9" t="str">
        <f t="shared" si="29"/>
        <v>KNEE</v>
      </c>
      <c r="C38" s="9" t="str">
        <f t="shared" si="29"/>
        <v>2019Q4</v>
      </c>
      <c r="D38" s="9">
        <f t="shared" si="29"/>
        <v>20200123</v>
      </c>
      <c r="E38" s="18">
        <f t="shared" si="8"/>
        <v>-4.3903675038583834E-2</v>
      </c>
      <c r="F38" s="18">
        <f t="shared" ref="F38:J38" si="30">$S16/F16-1</f>
        <v>-4.7474982480900096E-2</v>
      </c>
      <c r="G38" s="18">
        <f t="shared" si="30"/>
        <v>3.1456931442152003E-2</v>
      </c>
      <c r="H38" s="18">
        <f t="shared" si="30"/>
        <v>-4.0919261898040515E-2</v>
      </c>
      <c r="I38" s="18">
        <f t="shared" si="30"/>
        <v>0.2008001346118784</v>
      </c>
      <c r="J38" s="18">
        <f t="shared" si="30"/>
        <v>-2.6273200207580283E-2</v>
      </c>
      <c r="K38" s="18">
        <f t="shared" ref="K38:Q38" si="31">$S16/K16-1</f>
        <v>-6.4410528110664278E-2</v>
      </c>
      <c r="L38" s="18">
        <f t="shared" si="31"/>
        <v>-6.3645769060471813E-2</v>
      </c>
      <c r="M38" s="18">
        <f t="shared" si="31"/>
        <v>-7.6682187424485737E-2</v>
      </c>
      <c r="N38" s="18">
        <f t="shared" si="31"/>
        <v>-4.1696497309025693E-2</v>
      </c>
      <c r="O38" s="18">
        <f t="shared" si="31"/>
        <v>1.228409681034659E-3</v>
      </c>
      <c r="P38" s="18">
        <f t="shared" si="31"/>
        <v>-6.1346064076002405E-2</v>
      </c>
      <c r="Q38" s="18">
        <f t="shared" si="31"/>
        <v>-5.1759194815297227E-2</v>
      </c>
      <c r="R38" s="40">
        <f t="shared" si="13"/>
        <v>3.7456211263810157E-2</v>
      </c>
    </row>
    <row r="39" spans="1:18" x14ac:dyDescent="0.2">
      <c r="A39" s="9" t="str">
        <f t="shared" ref="A39:D39" si="32">A17</f>
        <v>SYK_KNEE</v>
      </c>
      <c r="B39" s="9" t="str">
        <f t="shared" si="32"/>
        <v>KNEE</v>
      </c>
      <c r="C39" s="9" t="str">
        <f t="shared" si="32"/>
        <v>2020Q1</v>
      </c>
      <c r="D39" s="9">
        <f t="shared" si="32"/>
        <v>20200423</v>
      </c>
      <c r="E39" s="18">
        <f t="shared" si="8"/>
        <v>-5.1117451227048472E-3</v>
      </c>
      <c r="F39" s="18">
        <f t="shared" ref="F39:J39" si="33">$S17/F17-1</f>
        <v>-1.9259035703564131E-2</v>
      </c>
      <c r="G39" s="18">
        <f t="shared" ref="G39:G44" si="34">$S17/G17-1</f>
        <v>4.163239375298633E-2</v>
      </c>
      <c r="H39" s="18">
        <f t="shared" si="33"/>
        <v>-9.0333473296601019E-3</v>
      </c>
      <c r="I39" s="18">
        <f t="shared" si="33"/>
        <v>0.23193119439317966</v>
      </c>
      <c r="J39" s="18">
        <f t="shared" si="33"/>
        <v>1.5216823406325464E-3</v>
      </c>
      <c r="K39" s="18">
        <f t="shared" ref="K39:Q39" si="35">$S17/K17-1</f>
        <v>4.0573244455724078E-2</v>
      </c>
      <c r="L39" s="18">
        <f t="shared" si="35"/>
        <v>2.9622263203989974E-2</v>
      </c>
      <c r="M39" s="18">
        <f t="shared" si="35"/>
        <v>9.8651354221905851E-3</v>
      </c>
      <c r="N39" s="18">
        <f t="shared" si="35"/>
        <v>3.3246329846518652E-2</v>
      </c>
      <c r="O39" s="18">
        <f t="shared" si="35"/>
        <v>2.592526340061041E-2</v>
      </c>
      <c r="P39" s="18">
        <f t="shared" si="35"/>
        <v>2.8544847029103204E-2</v>
      </c>
      <c r="Q39" s="18">
        <f t="shared" si="35"/>
        <v>2.7877651479069288E-2</v>
      </c>
      <c r="R39" s="40">
        <f t="shared" si="13"/>
        <v>1.5452538631346435E-2</v>
      </c>
    </row>
    <row r="40" spans="1:18" x14ac:dyDescent="0.2">
      <c r="A40" s="9" t="str">
        <f t="shared" ref="A40:D40" si="36">A18</f>
        <v>SYK_KNEE</v>
      </c>
      <c r="B40" s="9" t="str">
        <f t="shared" si="36"/>
        <v>KNEE</v>
      </c>
      <c r="C40" s="9" t="str">
        <f t="shared" si="36"/>
        <v>2020Q2</v>
      </c>
      <c r="D40" s="9">
        <f t="shared" si="36"/>
        <v>20200723</v>
      </c>
      <c r="E40" s="18">
        <f t="shared" si="8"/>
        <v>-2.9965845314180894E-2</v>
      </c>
      <c r="F40" s="18">
        <f t="shared" ref="F40:J40" si="37">$S18/F18-1</f>
        <v>-4.2150135142983935E-2</v>
      </c>
      <c r="G40" s="18">
        <f t="shared" si="34"/>
        <v>4.6782560583827237E-2</v>
      </c>
      <c r="H40" s="18">
        <f t="shared" si="37"/>
        <v>-4.8051377656323613E-2</v>
      </c>
      <c r="I40" s="18">
        <f t="shared" si="37"/>
        <v>0.17516017843553366</v>
      </c>
      <c r="J40" s="18">
        <f t="shared" si="37"/>
        <v>-1.9771594378041213E-2</v>
      </c>
      <c r="K40" s="18">
        <f t="shared" ref="K40:Q40" si="38">$S18/K18-1</f>
        <v>-2.4981800789819708E-2</v>
      </c>
      <c r="L40" s="18">
        <f t="shared" si="38"/>
        <v>-2.3340617219799076E-2</v>
      </c>
      <c r="M40" s="18">
        <f t="shared" si="38"/>
        <v>4.9443228357033409E-3</v>
      </c>
      <c r="N40" s="18">
        <f t="shared" si="38"/>
        <v>-3.9373706694894706E-2</v>
      </c>
      <c r="O40" s="18">
        <f t="shared" si="38"/>
        <v>-4.6082943768308238E-2</v>
      </c>
      <c r="P40" s="18">
        <f t="shared" si="38"/>
        <v>-2.1260924345551713E-2</v>
      </c>
      <c r="Q40" s="18">
        <f t="shared" si="38"/>
        <v>-2.5280929041343159E-2</v>
      </c>
      <c r="R40" s="40">
        <f t="shared" ref="R40" si="39">$S18/R18-1</f>
        <v>7.3785242951409868E-2</v>
      </c>
    </row>
    <row r="41" spans="1:18" x14ac:dyDescent="0.2">
      <c r="A41" s="9" t="str">
        <f t="shared" ref="A41:D41" si="40">A19</f>
        <v>SYK_KNEE</v>
      </c>
      <c r="B41" s="9" t="str">
        <f t="shared" si="40"/>
        <v>KNEE</v>
      </c>
      <c r="C41" s="9" t="str">
        <f t="shared" si="40"/>
        <v>2020Q3</v>
      </c>
      <c r="D41" s="9">
        <f t="shared" si="40"/>
        <v>20201022</v>
      </c>
      <c r="E41" s="18">
        <f t="shared" si="8"/>
        <v>0.14920098795943848</v>
      </c>
      <c r="F41" s="18">
        <f t="shared" ref="F41:I41" si="41">$S19/F19-1</f>
        <v>0.12990007711970275</v>
      </c>
      <c r="G41" s="18">
        <f t="shared" si="34"/>
        <v>9.0387728528667166E-2</v>
      </c>
      <c r="H41" s="18">
        <f t="shared" si="41"/>
        <v>0.16190139626745048</v>
      </c>
      <c r="I41" s="18">
        <f t="shared" si="41"/>
        <v>0.51109995762206673</v>
      </c>
      <c r="J41" s="18">
        <f>$S19/J19-1</f>
        <v>0.13219285184063589</v>
      </c>
      <c r="K41" s="18">
        <f t="shared" ref="K41:Q41" si="42">$S19/K19-1</f>
        <v>0.18470157200974957</v>
      </c>
      <c r="L41" s="18">
        <f t="shared" si="42"/>
        <v>0.17962127320273691</v>
      </c>
      <c r="M41" s="18">
        <f t="shared" si="42"/>
        <v>4.1656376010429375E-2</v>
      </c>
      <c r="N41" s="18">
        <f t="shared" si="42"/>
        <v>0.22055053077011122</v>
      </c>
      <c r="O41" s="18">
        <f t="shared" si="42"/>
        <v>0.28586722503970696</v>
      </c>
      <c r="P41" s="18">
        <f t="shared" si="42"/>
        <v>0.15502962916306751</v>
      </c>
      <c r="Q41" s="18">
        <f t="shared" si="42"/>
        <v>0.17311227403015472</v>
      </c>
      <c r="R41" s="40">
        <f>$S19/R19-1</f>
        <v>0.16083916083916083</v>
      </c>
    </row>
    <row r="42" spans="1:18" x14ac:dyDescent="0.2">
      <c r="A42" s="9" t="str">
        <f t="shared" ref="A42:D42" si="43">A20</f>
        <v>SYK_KNEE</v>
      </c>
      <c r="B42" s="9" t="str">
        <f t="shared" si="43"/>
        <v>KNEE</v>
      </c>
      <c r="C42" s="9" t="str">
        <f t="shared" si="43"/>
        <v>2020Q4</v>
      </c>
      <c r="D42" s="9">
        <f t="shared" si="43"/>
        <v>20210121</v>
      </c>
      <c r="E42" s="18">
        <f t="shared" ref="E42:I42" si="44">$S20/E20-1</f>
        <v>6.3592253444367142E-2</v>
      </c>
      <c r="F42" s="18">
        <f t="shared" si="44"/>
        <v>8.7801941804927397E-2</v>
      </c>
      <c r="G42" s="18">
        <f t="shared" si="34"/>
        <v>4.7925525509922462E-2</v>
      </c>
      <c r="H42" s="18">
        <f t="shared" si="44"/>
        <v>5.7853100602762497E-2</v>
      </c>
      <c r="I42" s="18">
        <f t="shared" si="44"/>
        <v>0.42776151612457025</v>
      </c>
      <c r="J42" s="18">
        <f>$S20/J20-1</f>
        <v>6.4092400686286632E-2</v>
      </c>
      <c r="K42" s="18">
        <f t="shared" ref="K42:Q42" si="45">$S20/K20-1</f>
        <v>-7.4494135849187959E-2</v>
      </c>
      <c r="L42" s="18">
        <f t="shared" si="45"/>
        <v>-3.7258281654507397E-2</v>
      </c>
      <c r="M42" s="18">
        <f t="shared" si="45"/>
        <v>-3.8942297228566347E-2</v>
      </c>
      <c r="N42" s="18">
        <f t="shared" si="45"/>
        <v>-8.9550022057756307E-2</v>
      </c>
      <c r="O42" s="18">
        <f t="shared" si="45"/>
        <v>-5.5150846293875566E-2</v>
      </c>
      <c r="P42" s="18">
        <f t="shared" si="45"/>
        <v>-6.014916190615105E-2</v>
      </c>
      <c r="Q42" s="18">
        <f t="shared" si="45"/>
        <v>-5.9625572706585195E-2</v>
      </c>
      <c r="R42" s="40">
        <f>$S20/R20-1</f>
        <v>-0.13637528838759305</v>
      </c>
    </row>
    <row r="43" spans="1:18" x14ac:dyDescent="0.2">
      <c r="A43" s="9" t="str">
        <f t="shared" ref="A43:D43" si="46">A21</f>
        <v>SYK_KNEE</v>
      </c>
      <c r="B43" s="9" t="str">
        <f t="shared" si="46"/>
        <v>KNEE</v>
      </c>
      <c r="C43" s="9" t="str">
        <f t="shared" si="46"/>
        <v>2021Q1</v>
      </c>
      <c r="D43" s="9">
        <f t="shared" si="46"/>
        <v>20210422</v>
      </c>
      <c r="E43" s="18">
        <f t="shared" ref="E43:J43" si="47">$S21/E21-1</f>
        <v>-1.4828539452146128E-2</v>
      </c>
      <c r="F43" s="18">
        <f t="shared" si="47"/>
        <v>2.0513604295037569E-2</v>
      </c>
      <c r="G43" s="18">
        <f t="shared" si="34"/>
        <v>-5.2367046705042997E-3</v>
      </c>
      <c r="H43" s="18">
        <f t="shared" si="47"/>
        <v>1.0416163713977911E-2</v>
      </c>
      <c r="I43" s="18">
        <f t="shared" si="47"/>
        <v>0.42403776424152917</v>
      </c>
      <c r="J43" s="18">
        <f t="shared" si="47"/>
        <v>2.5298927091657042E-3</v>
      </c>
      <c r="K43" s="18">
        <f t="shared" ref="K43:Q43" si="48">$S21/K21-1</f>
        <v>-7.3732008335481214E-2</v>
      </c>
      <c r="L43" s="18">
        <f t="shared" si="48"/>
        <v>-6.1857158848459215E-2</v>
      </c>
      <c r="M43" s="18">
        <f t="shared" si="48"/>
        <v>-5.0730923988665966E-2</v>
      </c>
      <c r="N43" s="18">
        <f t="shared" si="48"/>
        <v>-4.4842650517122884E-2</v>
      </c>
      <c r="O43" s="18">
        <f t="shared" si="48"/>
        <v>-2.6081049537941547E-3</v>
      </c>
      <c r="P43" s="18">
        <f t="shared" si="48"/>
        <v>-5.7854475736708766E-2</v>
      </c>
      <c r="Q43" s="18">
        <f t="shared" si="48"/>
        <v>-4.9120683639114593E-2</v>
      </c>
      <c r="R43" s="40">
        <f>$S21/R21-1</f>
        <v>-6.6073697585768754E-2</v>
      </c>
    </row>
    <row r="44" spans="1:18" x14ac:dyDescent="0.2">
      <c r="A44" s="9" t="str">
        <f t="shared" ref="A44:D44" si="49">A22</f>
        <v>SYK_KNEE</v>
      </c>
      <c r="B44" s="9" t="str">
        <f t="shared" si="49"/>
        <v>KNEE</v>
      </c>
      <c r="C44" s="9" t="str">
        <f t="shared" si="49"/>
        <v>2021Q2</v>
      </c>
      <c r="D44" s="9">
        <f t="shared" si="49"/>
        <v>20210722</v>
      </c>
      <c r="E44" s="18">
        <f>$S22/E22-1</f>
        <v>-1.845376391439868E-2</v>
      </c>
      <c r="F44" s="18">
        <f t="shared" ref="F44:J44" si="50">$S22/F22-1</f>
        <v>-5.0990611604463387E-3</v>
      </c>
      <c r="G44" s="18">
        <f t="shared" si="34"/>
        <v>5.8380614339180736E-2</v>
      </c>
      <c r="H44" s="18">
        <f t="shared" si="50"/>
        <v>-1.3198981062632398E-2</v>
      </c>
      <c r="I44" s="18">
        <f t="shared" si="50"/>
        <v>0.35709895390846302</v>
      </c>
      <c r="J44" s="18">
        <f t="shared" si="50"/>
        <v>4.4847466494399857E-3</v>
      </c>
      <c r="K44" s="18">
        <f t="shared" ref="K44:Q44" si="51">$S22/K22-1</f>
        <v>-3.679790379064185E-3</v>
      </c>
      <c r="L44" s="18">
        <f t="shared" si="51"/>
        <v>-2.5097818733320176E-2</v>
      </c>
      <c r="M44" s="18">
        <f t="shared" si="51"/>
        <v>6.3952217887786933E-2</v>
      </c>
      <c r="N44" s="18">
        <f t="shared" si="51"/>
        <v>-2.3371701309496395E-2</v>
      </c>
      <c r="O44" s="18">
        <f t="shared" si="51"/>
        <v>-4.7006344925634047E-2</v>
      </c>
      <c r="P44" s="18">
        <f t="shared" si="51"/>
        <v>1.9499208497331111E-3</v>
      </c>
      <c r="Q44" s="18">
        <f t="shared" si="51"/>
        <v>-6.7275933589849846E-3</v>
      </c>
      <c r="R44" s="40">
        <f>$S22/R22-1</f>
        <v>7.3515841279606198E-2</v>
      </c>
    </row>
    <row r="45" spans="1:18" x14ac:dyDescent="0.2">
      <c r="A45" s="178" t="s">
        <v>78</v>
      </c>
      <c r="B45" s="178"/>
      <c r="C45" s="174"/>
      <c r="D45" s="175"/>
      <c r="E45" s="73" cm="1">
        <f t="array" ref="E45">SUM(ABS(E28:E44))/COUNT(E28:E44)</f>
        <v>8.1454467920725498E-2</v>
      </c>
      <c r="F45" s="73" cm="1">
        <f t="array" ref="F45">SUM(ABS(F28:F44))/COUNT(F28:F44)</f>
        <v>8.4185950479146149E-2</v>
      </c>
      <c r="G45" s="73" cm="1">
        <f t="array" ref="G45">SUM(ABS(G28:G44))/COUNT(G28:G44)</f>
        <v>9.243724679095347E-2</v>
      </c>
      <c r="H45" s="110" cm="1">
        <f t="array" ref="H45">SUM(ABS(H28:H44))/COUNT(H28:H44)</f>
        <v>5.8396979265853945E-2</v>
      </c>
      <c r="I45" s="73" cm="1">
        <f t="array" ref="I45">SUM(ABS(I28:I44))/COUNT(I28:I44)</f>
        <v>0.21740268214283609</v>
      </c>
      <c r="J45" s="73" cm="1">
        <f t="array" ref="J45">SUM(ABS(J28:J44))/COUNT(J28:J44)</f>
        <v>7.0454298762679016E-2</v>
      </c>
      <c r="K45" s="73" cm="1">
        <f t="array" ref="K45">SUM(ABS(K28:K44))/COUNT(K28:K44)</f>
        <v>9.3707825941038339E-2</v>
      </c>
      <c r="L45" s="73" cm="1">
        <f t="array" ref="L45">SUM(ABS(L28:L44))/COUNT(L28:L44)</f>
        <v>9.1779396427886281E-2</v>
      </c>
      <c r="M45" s="73" cm="1">
        <f t="array" ref="M45">SUM(ABS(M28:M44))/COUNT(M28:M44)</f>
        <v>7.2108962713808636E-2</v>
      </c>
      <c r="N45" s="73" cm="1">
        <f t="array" ref="N45">SUM(ABS(N28:N44))/COUNT(N28:N44)</f>
        <v>6.388474038035262E-2</v>
      </c>
      <c r="O45" s="73" cm="1">
        <f t="array" ref="O45">SUM(ABS(O28:O44))/COUNT(O28:O44)</f>
        <v>6.7938721827231152E-2</v>
      </c>
      <c r="P45" s="73" cm="1">
        <f t="array" ref="P45">SUM(ABS(P28:P44))/COUNT(P28:P44)</f>
        <v>7.7953183037730647E-2</v>
      </c>
      <c r="Q45" s="73" cm="1">
        <f t="array" ref="Q45">SUM(ABS(Q28:Q44))/COUNT(Q28:Q44)</f>
        <v>7.1807200330194151E-2</v>
      </c>
      <c r="R45" s="110" cm="1">
        <f t="array" ref="R45">SUM(ABS(R28:R44))/COUNT(R28:R44)</f>
        <v>4.0076442546669158E-2</v>
      </c>
    </row>
    <row r="46" spans="1:18" x14ac:dyDescent="0.2">
      <c r="A46" s="179" t="s">
        <v>79</v>
      </c>
      <c r="B46" s="179"/>
      <c r="C46" s="176"/>
      <c r="D46" s="177"/>
      <c r="E46" s="74" cm="1">
        <f t="array" ref="E46">SQRT(SUM(POWER(E28:E44,2))/COUNT(E28:E44))</f>
        <v>0.11421822048385886</v>
      </c>
      <c r="F46" s="74" cm="1">
        <f t="array" ref="F46">SQRT(SUM(POWER(F28:F44,2))/COUNT(F28:F44))</f>
        <v>0.11568172470702417</v>
      </c>
      <c r="G46" s="74" cm="1">
        <f t="array" ref="G46">SQRT(SUM(POWER(G28:G44,2))/COUNT(G28:G44))</f>
        <v>0.12822920872996341</v>
      </c>
      <c r="H46" s="111" cm="1">
        <f t="array" ref="H46">SQRT(SUM(POWER(H28:H44,2))/COUNT(H28:H44))</f>
        <v>7.9345098726231883E-2</v>
      </c>
      <c r="I46" s="74" cm="1">
        <f t="array" ref="I46">SQRT(SUM(POWER(I28:I44,2))/COUNT(I28:I44))</f>
        <v>0.25679538207133923</v>
      </c>
      <c r="J46" s="74" cm="1">
        <f t="array" ref="J46">SQRT(SUM(POWER(J28:J44,2))/COUNT(J28:J44))</f>
        <v>0.10254730492129106</v>
      </c>
      <c r="K46" s="74" cm="1">
        <f t="array" ref="K46">SQRT(SUM(POWER(K28:K44,2))/COUNT(K28:K44))</f>
        <v>0.10849098086866409</v>
      </c>
      <c r="L46" s="74" cm="1">
        <f t="array" ref="L46">SQRT(SUM(POWER(L28:L44,2))/COUNT(L28:L44))</f>
        <v>0.1061627204137099</v>
      </c>
      <c r="M46" s="74" cm="1">
        <f t="array" ref="M46">SQRT(SUM(POWER(M28:M44,2))/COUNT(M28:M44))</f>
        <v>8.4395990051496547E-2</v>
      </c>
      <c r="N46" s="74" cm="1">
        <f t="array" ref="N46">SQRT(SUM(POWER(N28:N44,2))/COUNT(N28:N44))</f>
        <v>8.3686100622655898E-2</v>
      </c>
      <c r="O46" s="74" cm="1">
        <f t="array" ref="O46">SQRT(SUM(POWER(O28:O44,2))/COUNT(O28:O44))</f>
        <v>9.7898788111448531E-2</v>
      </c>
      <c r="P46" s="74" cm="1">
        <f t="array" ref="P46">SQRT(SUM(POWER(P28:P44,2))/COUNT(P28:P44))</f>
        <v>8.9436647191810881E-2</v>
      </c>
      <c r="Q46" s="74" cm="1">
        <f t="array" ref="Q46">SQRT(SUM(POWER(Q28:Q44,2))/COUNT(Q28:Q44))</f>
        <v>8.51303538226722E-2</v>
      </c>
      <c r="R46" s="111" cm="1">
        <f t="array" ref="R46">SQRT(SUM(POWER(R28:R44,2))/COUNT(R28:R44))</f>
        <v>6.1131444037449391E-2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6"/>
  <sheetViews>
    <sheetView zoomScale="85" zoomScaleNormal="85" workbookViewId="0">
      <selection activeCell="N13" sqref="N13"/>
    </sheetView>
  </sheetViews>
  <sheetFormatPr defaultRowHeight="12.75" x14ac:dyDescent="0.2"/>
  <cols>
    <col min="1" max="1" width="9.140625" style="67"/>
    <col min="3" max="3" width="13.140625" bestFit="1" customWidth="1"/>
    <col min="4" max="4" width="8.85546875" customWidth="1"/>
    <col min="5" max="5" width="8.42578125" customWidth="1"/>
    <col min="6" max="6" width="8.7109375" bestFit="1" customWidth="1"/>
    <col min="7" max="7" width="14.7109375" bestFit="1" customWidth="1"/>
    <col min="8" max="8" width="8.42578125" bestFit="1" customWidth="1"/>
    <col min="9" max="9" width="7.7109375" bestFit="1" customWidth="1"/>
    <col min="10" max="10" width="12.140625" bestFit="1" customWidth="1"/>
    <col min="11" max="11" width="12.7109375" bestFit="1" customWidth="1"/>
    <col min="12" max="12" width="7.5703125" bestFit="1" customWidth="1"/>
    <col min="13" max="13" width="8.42578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80" t="s">
        <v>83</v>
      </c>
      <c r="C7" s="180"/>
      <c r="D7" s="180" t="s">
        <v>112</v>
      </c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6"/>
      <c r="P7" s="6"/>
      <c r="Q7" s="6"/>
    </row>
    <row r="8" spans="1:17" ht="15" x14ac:dyDescent="0.2">
      <c r="A8" s="67" t="s">
        <v>173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112">
        <v>5.9458457019742103E-2</v>
      </c>
      <c r="D9" s="112">
        <v>5.0022131084467791E-2</v>
      </c>
      <c r="E9" s="112">
        <v>6.9185469888434381E-2</v>
      </c>
      <c r="F9" s="112">
        <v>6.307316916079761E-2</v>
      </c>
      <c r="G9" s="112">
        <v>4.9640863934075623E-2</v>
      </c>
      <c r="H9" s="112">
        <v>6.9205757536297458E-2</v>
      </c>
      <c r="I9" s="112">
        <v>6.9585298567307399E-2</v>
      </c>
      <c r="J9" s="112">
        <v>4.9531131449918712E-2</v>
      </c>
      <c r="K9" s="112">
        <v>4.8594192523366421E-2</v>
      </c>
      <c r="L9" s="112">
        <v>0.16332145828678421</v>
      </c>
      <c r="M9" s="112">
        <v>2.0813629817285189</v>
      </c>
      <c r="O9" s="6"/>
      <c r="P9" s="6"/>
      <c r="Q9" s="6"/>
    </row>
    <row r="10" spans="1:17" ht="15" x14ac:dyDescent="0.2">
      <c r="B10" s="71" t="s">
        <v>97</v>
      </c>
      <c r="C10" s="112">
        <v>7.8184749689286154E-2</v>
      </c>
      <c r="D10" s="112">
        <v>7.0664236202979264E-2</v>
      </c>
      <c r="E10" s="112">
        <v>0.11150747984763849</v>
      </c>
      <c r="F10" s="112">
        <v>8.3095325477894305E-2</v>
      </c>
      <c r="G10" s="112">
        <v>7.0576520035280171E-2</v>
      </c>
      <c r="H10" s="112">
        <v>0.111447549614168</v>
      </c>
      <c r="I10" s="112">
        <v>0.11224581490697259</v>
      </c>
      <c r="J10" s="112">
        <v>7.0441853135305085E-2</v>
      </c>
      <c r="K10" s="112">
        <v>6.9196722616469558E-2</v>
      </c>
      <c r="L10" s="112">
        <v>0.29461312904860598</v>
      </c>
      <c r="M10" s="112">
        <v>5.5782531867831153</v>
      </c>
      <c r="O10" s="6"/>
      <c r="P10" s="6"/>
      <c r="Q10" s="6"/>
    </row>
    <row r="11" spans="1:17" ht="15" x14ac:dyDescent="0.2">
      <c r="B11" s="71" t="s">
        <v>98</v>
      </c>
      <c r="C11" s="112">
        <v>-2.3331966092425441E-2</v>
      </c>
      <c r="D11" s="112">
        <v>-5.5595909703503588E-3</v>
      </c>
      <c r="E11" s="112">
        <v>1.1912149284474319E-2</v>
      </c>
      <c r="F11" s="112">
        <v>-1.8594759302825781E-2</v>
      </c>
      <c r="G11" s="112">
        <v>-8.1034058802838538E-3</v>
      </c>
      <c r="H11" s="112">
        <v>1.1748796503516011E-2</v>
      </c>
      <c r="I11" s="112">
        <v>9.9667463657735489E-3</v>
      </c>
      <c r="J11" s="112">
        <v>-8.2048716808768019E-3</v>
      </c>
      <c r="K11" s="112">
        <v>-8.1719403141396474E-3</v>
      </c>
      <c r="L11" s="112">
        <v>1.963434447025458E-2</v>
      </c>
      <c r="M11" s="112">
        <v>7.7492878166953161E-3</v>
      </c>
      <c r="O11" s="6"/>
      <c r="P11" s="6"/>
      <c r="Q11" s="6"/>
    </row>
    <row r="12" spans="1:17" x14ac:dyDescent="0.2">
      <c r="O12" s="6"/>
      <c r="P12" s="6"/>
      <c r="Q12" s="6"/>
    </row>
    <row r="13" spans="1:17" ht="15" x14ac:dyDescent="0.2">
      <c r="A13" s="67" t="s">
        <v>174</v>
      </c>
      <c r="C13" s="71" t="s">
        <v>85</v>
      </c>
      <c r="D13" s="71" t="s">
        <v>86</v>
      </c>
      <c r="E13" s="71" t="s">
        <v>87</v>
      </c>
      <c r="F13" s="71" t="s">
        <v>88</v>
      </c>
      <c r="G13" s="71" t="s">
        <v>89</v>
      </c>
      <c r="H13" s="71" t="s">
        <v>90</v>
      </c>
      <c r="I13" s="71" t="s">
        <v>91</v>
      </c>
      <c r="J13" s="71" t="s">
        <v>92</v>
      </c>
      <c r="K13" s="71" t="s">
        <v>93</v>
      </c>
      <c r="L13" s="71" t="s">
        <v>94</v>
      </c>
      <c r="M13" s="71" t="s">
        <v>95</v>
      </c>
      <c r="O13" s="6"/>
      <c r="P13" s="6"/>
      <c r="Q13" s="6"/>
    </row>
    <row r="14" spans="1:17" ht="15" x14ac:dyDescent="0.2">
      <c r="B14" s="71" t="s">
        <v>96</v>
      </c>
      <c r="C14" s="112">
        <v>5.0670039258883463E-2</v>
      </c>
      <c r="D14" s="112">
        <v>4.0097726840841043E-2</v>
      </c>
      <c r="E14" s="112">
        <v>6.3825761988461141E-2</v>
      </c>
      <c r="F14" s="112">
        <v>5.5383431358135331E-2</v>
      </c>
      <c r="G14" s="112">
        <v>4.0996631600354563E-2</v>
      </c>
      <c r="H14" s="112">
        <v>6.3848305203694292E-2</v>
      </c>
      <c r="I14" s="112">
        <v>6.4301244459754742E-2</v>
      </c>
      <c r="J14" s="112">
        <v>4.0854555320567948E-2</v>
      </c>
      <c r="K14" s="112">
        <v>3.9855436974318863E-2</v>
      </c>
      <c r="L14" s="112">
        <v>0.1700570033989097</v>
      </c>
      <c r="M14" s="112">
        <v>2.3011169035796062</v>
      </c>
      <c r="O14" s="6"/>
      <c r="P14" s="6"/>
      <c r="Q14" s="6"/>
    </row>
    <row r="15" spans="1:17" ht="15" x14ac:dyDescent="0.2">
      <c r="B15" s="71" t="s">
        <v>97</v>
      </c>
      <c r="C15" s="112">
        <v>6.8257095543251808E-2</v>
      </c>
      <c r="D15" s="112">
        <v>5.8231543681934589E-2</v>
      </c>
      <c r="E15" s="112">
        <v>0.1113558963735915</v>
      </c>
      <c r="F15" s="112">
        <v>7.5805032889948748E-2</v>
      </c>
      <c r="G15" s="112">
        <v>6.0625704320355002E-2</v>
      </c>
      <c r="H15" s="112">
        <v>0.1112892162085279</v>
      </c>
      <c r="I15" s="112">
        <v>0.1122005820590081</v>
      </c>
      <c r="J15" s="112">
        <v>6.0407472017942797E-2</v>
      </c>
      <c r="K15" s="112">
        <v>5.890537953431111E-2</v>
      </c>
      <c r="L15" s="112">
        <v>0.3087151188206036</v>
      </c>
      <c r="M15" s="112">
        <v>5.8799122052316228</v>
      </c>
      <c r="O15" s="6"/>
      <c r="P15" s="6"/>
      <c r="Q15" s="6"/>
    </row>
    <row r="16" spans="1:17" ht="15" x14ac:dyDescent="0.2">
      <c r="B16" s="71" t="s">
        <v>98</v>
      </c>
      <c r="C16" s="112">
        <v>-1.521739130434774E-2</v>
      </c>
      <c r="D16" s="112">
        <v>-8.103962264150999E-4</v>
      </c>
      <c r="E16" s="112">
        <v>2.2225312654447601E-2</v>
      </c>
      <c r="F16" s="112">
        <v>-7.6162535072765714E-3</v>
      </c>
      <c r="G16" s="112">
        <v>1.319593894212767E-3</v>
      </c>
      <c r="H16" s="112">
        <v>2.2225322146931289E-2</v>
      </c>
      <c r="I16" s="112">
        <v>2.2367489107185449E-2</v>
      </c>
      <c r="J16" s="112">
        <v>1.2509373744962189E-3</v>
      </c>
      <c r="K16" s="112">
        <v>-2.1838172839413468E-3</v>
      </c>
      <c r="L16" s="112">
        <v>1.9976928469311869E-2</v>
      </c>
      <c r="M16" s="112">
        <v>2.449942907115665E-2</v>
      </c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7" t="s">
        <v>103</v>
      </c>
      <c r="B21" t="s">
        <v>139</v>
      </c>
      <c r="O21" s="6"/>
      <c r="P21" s="6"/>
      <c r="Q21" s="6"/>
    </row>
    <row r="22" spans="1:17" x14ac:dyDescent="0.2">
      <c r="B22" t="s">
        <v>140</v>
      </c>
      <c r="H22" s="68" t="s">
        <v>106</v>
      </c>
      <c r="O22" s="6"/>
      <c r="P22" s="6"/>
      <c r="Q22" s="6"/>
    </row>
    <row r="23" spans="1:17" x14ac:dyDescent="0.2">
      <c r="H23" s="68"/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7" t="s">
        <v>105</v>
      </c>
      <c r="B26" s="181" t="s">
        <v>108</v>
      </c>
      <c r="C26" s="181"/>
      <c r="D26" s="181"/>
      <c r="E26" s="181"/>
      <c r="F26" s="66" t="e">
        <f>#REF!+#REF!*'2. Past Proj &amp; Candidate Model'!R22</f>
        <v>#REF!</v>
      </c>
      <c r="G26" s="69" t="s">
        <v>109</v>
      </c>
      <c r="H26" s="2" t="e">
        <f>'2. Past Proj &amp; Candidate Model'!S22/'3. Improved Alpha Model'!F26-1</f>
        <v>#REF!</v>
      </c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B30" s="182" t="s">
        <v>159</v>
      </c>
      <c r="C30" s="182"/>
      <c r="D30" s="182"/>
      <c r="E30" s="3">
        <f>C9</f>
        <v>5.9458457019742103E-2</v>
      </c>
      <c r="F30" t="s">
        <v>110</v>
      </c>
      <c r="G30" s="182" t="s">
        <v>111</v>
      </c>
      <c r="H30" s="182"/>
      <c r="I30" s="3" t="e">
        <f>#REF!</f>
        <v>#REF!</v>
      </c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A33" s="67" t="s">
        <v>107</v>
      </c>
      <c r="B33" t="s">
        <v>113</v>
      </c>
      <c r="O33" s="6"/>
      <c r="P33" s="6"/>
      <c r="Q33" s="6"/>
    </row>
    <row r="34" spans="1:17" x14ac:dyDescent="0.2">
      <c r="B34" t="s">
        <v>114</v>
      </c>
      <c r="O34" s="6"/>
      <c r="P34" s="6"/>
      <c r="Q34" s="6"/>
    </row>
    <row r="35" spans="1:17" x14ac:dyDescent="0.2">
      <c r="B35" t="s">
        <v>115</v>
      </c>
      <c r="O35" s="6"/>
      <c r="P35" s="6"/>
      <c r="Q35" s="6"/>
    </row>
    <row r="36" spans="1:17" x14ac:dyDescent="0.2">
      <c r="B36" t="s">
        <v>116</v>
      </c>
      <c r="O36" s="6"/>
      <c r="P36" s="6"/>
      <c r="Q36" s="6"/>
    </row>
    <row r="37" spans="1:17" x14ac:dyDescent="0.2">
      <c r="B37" t="s">
        <v>117</v>
      </c>
      <c r="O37" s="6"/>
      <c r="P37" s="6"/>
      <c r="Q37" s="6"/>
    </row>
    <row r="38" spans="1:17" x14ac:dyDescent="0.2">
      <c r="B38" t="s">
        <v>118</v>
      </c>
      <c r="O38" s="6"/>
      <c r="P38" s="6"/>
      <c r="Q38" s="6"/>
    </row>
    <row r="39" spans="1:17" x14ac:dyDescent="0.2">
      <c r="B39" t="s">
        <v>119</v>
      </c>
      <c r="O39" s="6"/>
      <c r="P39" s="6"/>
      <c r="Q39" s="6"/>
    </row>
    <row r="40" spans="1:17" x14ac:dyDescent="0.2">
      <c r="B40" t="s">
        <v>120</v>
      </c>
      <c r="O40" s="6"/>
      <c r="P40" s="6"/>
      <c r="Q40" s="6"/>
    </row>
    <row r="41" spans="1:17" x14ac:dyDescent="0.2">
      <c r="B41" t="s">
        <v>121</v>
      </c>
      <c r="O41" s="6"/>
      <c r="P41" s="6"/>
      <c r="Q41" s="6"/>
    </row>
    <row r="42" spans="1:17" x14ac:dyDescent="0.2">
      <c r="B42" t="s">
        <v>122</v>
      </c>
      <c r="O42" s="6"/>
      <c r="P42" s="6"/>
      <c r="Q42" s="6"/>
    </row>
    <row r="43" spans="1:17" x14ac:dyDescent="0.2">
      <c r="O43" s="6"/>
      <c r="P43" s="6"/>
      <c r="Q43" s="6"/>
    </row>
    <row r="44" spans="1:17" x14ac:dyDescent="0.2">
      <c r="O44" s="6"/>
      <c r="P44" s="6"/>
      <c r="Q44" s="6"/>
    </row>
    <row r="45" spans="1:17" x14ac:dyDescent="0.2">
      <c r="O45" s="6"/>
      <c r="P45" s="6"/>
    </row>
    <row r="46" spans="1:17" x14ac:dyDescent="0.2">
      <c r="O46" s="6"/>
      <c r="P46" s="6"/>
    </row>
  </sheetData>
  <mergeCells count="5">
    <mergeCell ref="D7:N7"/>
    <mergeCell ref="B7:C7"/>
    <mergeCell ref="B26:E26"/>
    <mergeCell ref="B30:D30"/>
    <mergeCell ref="G30:H30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conditionalFormatting sqref="C14:K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zoomScale="85" zoomScaleNormal="85" workbookViewId="0">
      <selection activeCell="C46" sqref="C46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10.7109375" customWidth="1"/>
    <col min="19" max="19" width="12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K5</f>
        <v>LASSO_CON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174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4.5603035332995111E-2</v>
      </c>
      <c r="D6" s="2">
        <v>4.1123273356049393E-2</v>
      </c>
      <c r="E6" s="2">
        <v>6.0661427857807239E-2</v>
      </c>
      <c r="F6" s="2">
        <v>5.1109244611808567E-2</v>
      </c>
      <c r="G6" s="2">
        <v>3.8290338610978789E-2</v>
      </c>
      <c r="H6" s="2">
        <v>6.0681718604980367E-2</v>
      </c>
      <c r="I6" s="2">
        <v>6.1089394303471448E-2</v>
      </c>
      <c r="J6" s="2">
        <v>3.8163754910663067E-2</v>
      </c>
      <c r="K6" s="2">
        <v>3.7300087901397119E-2</v>
      </c>
      <c r="L6" s="2">
        <v>0.15549016171822011</v>
      </c>
      <c r="M6" s="2">
        <v>2.0744804897400382</v>
      </c>
    </row>
    <row r="7" spans="1:25" ht="15" x14ac:dyDescent="0.2">
      <c r="B7" s="71" t="s">
        <v>97</v>
      </c>
      <c r="C7" s="2">
        <v>6.4754366515321141E-2</v>
      </c>
      <c r="D7" s="2">
        <v>5.7492310842499471E-2</v>
      </c>
      <c r="E7" s="2">
        <v>0.1061305465525561</v>
      </c>
      <c r="F7" s="2">
        <v>7.2025992697583779E-2</v>
      </c>
      <c r="G7" s="2">
        <v>5.7683127743128157E-2</v>
      </c>
      <c r="H7" s="2">
        <v>0.1060675804346944</v>
      </c>
      <c r="I7" s="2">
        <v>0.10692823035559471</v>
      </c>
      <c r="J7" s="2">
        <v>5.747701311947355E-2</v>
      </c>
      <c r="K7" s="2">
        <v>5.6065264923238267E-2</v>
      </c>
      <c r="L7" s="2">
        <v>0.29297440578516942</v>
      </c>
      <c r="M7" s="2">
        <v>5.5781853288123564</v>
      </c>
    </row>
    <row r="8" spans="1:25" ht="15" x14ac:dyDescent="0.2">
      <c r="B8" s="71" t="s">
        <v>98</v>
      </c>
      <c r="C8" s="2">
        <v>-1.1312399355877519E-2</v>
      </c>
      <c r="D8" s="2">
        <v>-5.5595909703503588E-3</v>
      </c>
      <c r="E8" s="2">
        <v>1.0535738925908259E-2</v>
      </c>
      <c r="F8" s="2">
        <v>-1.012890870107214E-2</v>
      </c>
      <c r="G8" s="2">
        <v>-6.3070539061920727E-3</v>
      </c>
      <c r="H8" s="2">
        <v>1.037240790585137E-2</v>
      </c>
      <c r="I8" s="2">
        <v>8.863805676225911E-3</v>
      </c>
      <c r="J8" s="2">
        <v>-6.3478069235115009E-3</v>
      </c>
      <c r="K8" s="2">
        <v>-8.1719403141396474E-3</v>
      </c>
      <c r="L8" s="2">
        <v>1.963434447025458E-2</v>
      </c>
      <c r="M8" s="2">
        <v>1.084855020133535E-2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282</v>
      </c>
      <c r="D14">
        <v>279.8</v>
      </c>
      <c r="E14">
        <v>295.48578300000003</v>
      </c>
    </row>
    <row r="15" spans="1:25" x14ac:dyDescent="0.2">
      <c r="B15" t="s">
        <v>169</v>
      </c>
      <c r="C15">
        <v>270</v>
      </c>
      <c r="D15">
        <v>273.10000000000002</v>
      </c>
      <c r="E15">
        <v>282.11059</v>
      </c>
    </row>
    <row r="16" spans="1:25" x14ac:dyDescent="0.2">
      <c r="B16" t="s">
        <v>167</v>
      </c>
      <c r="C16">
        <v>331</v>
      </c>
      <c r="D16">
        <v>324.39999999999998</v>
      </c>
      <c r="E16">
        <v>318.13198699999998</v>
      </c>
    </row>
    <row r="17" spans="2:25" x14ac:dyDescent="0.2">
      <c r="B17" t="s">
        <v>42</v>
      </c>
      <c r="C17">
        <v>301</v>
      </c>
      <c r="D17">
        <v>302.89999999999998</v>
      </c>
      <c r="E17">
        <v>272.22301399999998</v>
      </c>
    </row>
    <row r="18" spans="2:25" x14ac:dyDescent="0.2">
      <c r="B18" t="s">
        <v>43</v>
      </c>
      <c r="C18">
        <v>304</v>
      </c>
      <c r="D18">
        <v>304.7</v>
      </c>
      <c r="E18">
        <v>293.43384700000001</v>
      </c>
    </row>
    <row r="19" spans="2:25" x14ac:dyDescent="0.2">
      <c r="B19" t="s">
        <v>44</v>
      </c>
      <c r="C19">
        <v>291</v>
      </c>
      <c r="D19">
        <v>286.3</v>
      </c>
      <c r="E19">
        <v>285.276206</v>
      </c>
    </row>
    <row r="20" spans="2:25" x14ac:dyDescent="0.2">
      <c r="B20" t="s">
        <v>45</v>
      </c>
      <c r="C20">
        <v>348</v>
      </c>
      <c r="D20">
        <v>352.7</v>
      </c>
      <c r="E20">
        <v>301.62961100000001</v>
      </c>
    </row>
    <row r="21" spans="2:25" x14ac:dyDescent="0.2">
      <c r="B21" t="s">
        <v>46</v>
      </c>
      <c r="C21">
        <v>320</v>
      </c>
      <c r="D21">
        <v>320</v>
      </c>
      <c r="E21">
        <v>272.78080599999998</v>
      </c>
      <c r="F21">
        <v>280.80023232587331</v>
      </c>
      <c r="G21">
        <v>319.97299131754937</v>
      </c>
      <c r="H21">
        <v>314.39155019047018</v>
      </c>
      <c r="I21">
        <v>280.97324808723522</v>
      </c>
      <c r="J21">
        <v>281.84983432005993</v>
      </c>
      <c r="K21">
        <v>314.34858216440011</v>
      </c>
      <c r="L21">
        <v>315.46877972981179</v>
      </c>
      <c r="M21">
        <v>287.44311324202158</v>
      </c>
      <c r="N21">
        <v>298.83005491297808</v>
      </c>
      <c r="O21" s="2">
        <v>0</v>
      </c>
      <c r="P21" s="2">
        <v>-0.14755998125</v>
      </c>
      <c r="Q21" s="2">
        <v>-0.12249927398164601</v>
      </c>
      <c r="R21" s="2">
        <v>-8.440213265825669E-5</v>
      </c>
      <c r="S21" s="2">
        <v>-1.7526405654780471E-2</v>
      </c>
      <c r="T21" s="2">
        <v>-0.12195859972739</v>
      </c>
      <c r="U21" s="2">
        <v>-0.11921926774981299</v>
      </c>
      <c r="V21" s="2">
        <v>-1.766068073624982E-2</v>
      </c>
      <c r="W21" s="2">
        <v>-1.4160063344337949E-2</v>
      </c>
      <c r="X21" s="2">
        <v>-0.1017402711186826</v>
      </c>
      <c r="Y21" s="2">
        <v>-6.6156078396943485E-2</v>
      </c>
    </row>
    <row r="22" spans="2:25" x14ac:dyDescent="0.2">
      <c r="B22" t="s">
        <v>47</v>
      </c>
      <c r="C22">
        <v>324</v>
      </c>
      <c r="D22">
        <v>321.60000000000002</v>
      </c>
      <c r="E22">
        <v>313.67151100000001</v>
      </c>
      <c r="F22">
        <v>323.62615752394748</v>
      </c>
      <c r="G22">
        <v>321.53233386364241</v>
      </c>
      <c r="H22">
        <v>324.42754842172502</v>
      </c>
      <c r="I22">
        <v>323.52031594738588</v>
      </c>
      <c r="J22">
        <v>322.49667960746632</v>
      </c>
      <c r="K22">
        <v>324.40530370933669</v>
      </c>
      <c r="L22">
        <v>323.29244320000299</v>
      </c>
      <c r="M22">
        <v>330.47252482405702</v>
      </c>
      <c r="N22">
        <v>348.14747333512059</v>
      </c>
      <c r="O22" s="2">
        <v>-7.4074074074073071E-3</v>
      </c>
      <c r="P22" s="2">
        <v>-3.1878052469135783E-2</v>
      </c>
      <c r="Q22" s="2">
        <v>-1.1538348026310929E-3</v>
      </c>
      <c r="R22" s="2">
        <v>-7.6162535072765714E-3</v>
      </c>
      <c r="S22" s="2">
        <v>1.319593894212767E-3</v>
      </c>
      <c r="T22" s="2">
        <v>-1.4805063352285599E-3</v>
      </c>
      <c r="U22" s="2">
        <v>-4.6398777547336234E-3</v>
      </c>
      <c r="V22" s="2">
        <v>1.2509373744962189E-3</v>
      </c>
      <c r="W22" s="2">
        <v>-2.1838172839413468E-3</v>
      </c>
      <c r="X22" s="2">
        <v>1.9976928469311869E-2</v>
      </c>
      <c r="Y22" s="2">
        <v>7.4529238688643806E-2</v>
      </c>
    </row>
    <row r="23" spans="2:25" x14ac:dyDescent="0.2">
      <c r="B23" t="s">
        <v>48</v>
      </c>
      <c r="C23">
        <v>318</v>
      </c>
      <c r="D23">
        <v>308</v>
      </c>
      <c r="E23">
        <v>317.74229400000002</v>
      </c>
      <c r="F23">
        <v>326.82832290449358</v>
      </c>
      <c r="G23">
        <v>308.59570169871682</v>
      </c>
      <c r="H23">
        <v>312.0876731018468</v>
      </c>
      <c r="I23">
        <v>326.74104823268721</v>
      </c>
      <c r="J23">
        <v>326.8272805316343</v>
      </c>
      <c r="K23">
        <v>312.10295367460822</v>
      </c>
      <c r="L23">
        <v>311.9071196913402</v>
      </c>
      <c r="M23">
        <v>337.68398639684068</v>
      </c>
      <c r="N23">
        <v>325.7908184446278</v>
      </c>
      <c r="O23" s="2">
        <v>-3.1446540880503138E-2</v>
      </c>
      <c r="P23" s="2">
        <v>-8.103962264150999E-4</v>
      </c>
      <c r="Q23" s="2">
        <v>2.7762021712243849E-2</v>
      </c>
      <c r="R23" s="2">
        <v>-2.957326509837499E-2</v>
      </c>
      <c r="S23" s="2">
        <v>-1.859222295016727E-2</v>
      </c>
      <c r="T23" s="2">
        <v>2.7487573058764699E-2</v>
      </c>
      <c r="U23" s="2">
        <v>2.7758743810170738E-2</v>
      </c>
      <c r="V23" s="2">
        <v>-1.8544170834565391E-2</v>
      </c>
      <c r="W23" s="2">
        <v>-1.916000097062831E-2</v>
      </c>
      <c r="X23" s="2">
        <v>6.1899328291951987E-2</v>
      </c>
      <c r="Y23" s="2">
        <v>2.449942907115665E-2</v>
      </c>
    </row>
    <row r="24" spans="2:25" x14ac:dyDescent="0.2">
      <c r="B24" t="s">
        <v>49</v>
      </c>
      <c r="C24">
        <v>385</v>
      </c>
      <c r="D24">
        <v>371.1</v>
      </c>
      <c r="E24">
        <v>401.42605800000001</v>
      </c>
      <c r="F24">
        <v>381.60862405681712</v>
      </c>
      <c r="G24">
        <v>371.36604127854929</v>
      </c>
      <c r="H24">
        <v>388.82849015443048</v>
      </c>
      <c r="I24">
        <v>381.34256930201661</v>
      </c>
      <c r="J24">
        <v>381.60472064691982</v>
      </c>
      <c r="K24">
        <v>388.7366283490615</v>
      </c>
      <c r="L24">
        <v>388.82494801641252</v>
      </c>
      <c r="M24">
        <v>692.64488224028264</v>
      </c>
      <c r="N24">
        <v>-6306.7921807580278</v>
      </c>
      <c r="O24" s="2">
        <v>-3.6103896103896083E-2</v>
      </c>
      <c r="P24" s="2">
        <v>4.2665085714285837E-2</v>
      </c>
      <c r="Q24" s="2">
        <v>-8.8087686835920387E-3</v>
      </c>
      <c r="R24" s="2">
        <v>-3.5412879795975738E-2</v>
      </c>
      <c r="S24" s="2">
        <v>9.944130271247964E-3</v>
      </c>
      <c r="T24" s="2">
        <v>-9.4998199947620154E-3</v>
      </c>
      <c r="U24" s="2">
        <v>-8.818907410597987E-3</v>
      </c>
      <c r="V24" s="2">
        <v>9.7055281793805293E-3</v>
      </c>
      <c r="W24" s="2">
        <v>9.9349299127597934E-3</v>
      </c>
      <c r="X24" s="2">
        <v>0.79907761620852624</v>
      </c>
      <c r="Y24" s="2">
        <v>-17.38127839157929</v>
      </c>
    </row>
    <row r="25" spans="2:25" x14ac:dyDescent="0.2">
      <c r="B25" t="s">
        <v>50</v>
      </c>
      <c r="C25">
        <v>322</v>
      </c>
      <c r="D25">
        <v>317.10000000000002</v>
      </c>
      <c r="E25">
        <v>324.93525299999999</v>
      </c>
      <c r="F25">
        <v>330.04295894564859</v>
      </c>
      <c r="G25">
        <v>320.04785888356622</v>
      </c>
      <c r="H25">
        <v>322.87478618672031</v>
      </c>
      <c r="I25">
        <v>330.04294798820791</v>
      </c>
      <c r="J25">
        <v>329.91262529658241</v>
      </c>
      <c r="K25">
        <v>322.88672743916379</v>
      </c>
      <c r="L25">
        <v>322.81978182614762</v>
      </c>
      <c r="M25">
        <v>328.21194687172562</v>
      </c>
      <c r="N25">
        <v>344.63679889004379</v>
      </c>
      <c r="O25" s="2">
        <v>-1.521739130434774E-2</v>
      </c>
      <c r="P25" s="2">
        <v>9.1156925465838423E-3</v>
      </c>
      <c r="Q25" s="2">
        <v>2.4978133371579721E-2</v>
      </c>
      <c r="R25" s="2">
        <v>-6.0625500510367303E-3</v>
      </c>
      <c r="S25" s="2">
        <v>2.7167272879513589E-3</v>
      </c>
      <c r="T25" s="2">
        <v>2.4978099342260581E-2</v>
      </c>
      <c r="U25" s="2">
        <v>2.4573370486280721E-2</v>
      </c>
      <c r="V25" s="2">
        <v>2.7538119228691649E-3</v>
      </c>
      <c r="W25" s="2">
        <v>2.545906292383826E-3</v>
      </c>
      <c r="X25" s="2">
        <v>1.9291760471197291E-2</v>
      </c>
      <c r="Y25" s="2">
        <v>7.0300617670943533E-2</v>
      </c>
    </row>
    <row r="26" spans="2:25" x14ac:dyDescent="0.2">
      <c r="B26" t="s">
        <v>51</v>
      </c>
      <c r="C26">
        <v>179</v>
      </c>
      <c r="D26">
        <v>166.7</v>
      </c>
      <c r="E26">
        <v>188.035358</v>
      </c>
      <c r="F26">
        <v>233.48313513390119</v>
      </c>
      <c r="G26">
        <v>159.22894347926481</v>
      </c>
      <c r="H26">
        <v>160.72386393920661</v>
      </c>
      <c r="I26">
        <v>233.48319725432009</v>
      </c>
      <c r="J26">
        <v>234.20304809585971</v>
      </c>
      <c r="K26">
        <v>160.88561798719621</v>
      </c>
      <c r="L26">
        <v>162.2238183496757</v>
      </c>
      <c r="M26">
        <v>259.44354413895968</v>
      </c>
      <c r="N26">
        <v>716.9647110676849</v>
      </c>
      <c r="O26" s="2">
        <v>-6.8715083798882692E-2</v>
      </c>
      <c r="P26" s="2">
        <v>5.0476860335195488E-2</v>
      </c>
      <c r="Q26" s="2">
        <v>0.30437505661397329</v>
      </c>
      <c r="R26" s="2">
        <v>-0.1104528297247775</v>
      </c>
      <c r="S26" s="2">
        <v>-0.10210131877538189</v>
      </c>
      <c r="T26" s="2">
        <v>0.30437540365541937</v>
      </c>
      <c r="U26" s="2">
        <v>0.30839691673664632</v>
      </c>
      <c r="V26" s="2">
        <v>-0.1011976648759991</v>
      </c>
      <c r="W26" s="2">
        <v>-9.3721685197342586E-2</v>
      </c>
      <c r="X26" s="2">
        <v>0.44940527451932782</v>
      </c>
      <c r="Y26" s="2">
        <v>3.0053894473055021</v>
      </c>
    </row>
    <row r="27" spans="2:25" x14ac:dyDescent="0.2">
      <c r="B27" t="s">
        <v>53</v>
      </c>
      <c r="C27">
        <v>336.9</v>
      </c>
      <c r="D27">
        <v>390.1</v>
      </c>
      <c r="E27">
        <v>318.47522099999998</v>
      </c>
      <c r="F27">
        <v>325.22707231961459</v>
      </c>
      <c r="G27">
        <v>391.66841024645078</v>
      </c>
      <c r="H27">
        <v>382.64111523928938</v>
      </c>
      <c r="I27">
        <v>325.22706492615089</v>
      </c>
      <c r="J27">
        <v>325.12328765203767</v>
      </c>
      <c r="K27">
        <v>382.57636443399582</v>
      </c>
      <c r="L27">
        <v>382.4068484919585</v>
      </c>
      <c r="M27">
        <v>328.45343381094881</v>
      </c>
      <c r="N27">
        <v>322.84872903827198</v>
      </c>
      <c r="O27" s="2">
        <v>0.15791035915702009</v>
      </c>
      <c r="P27" s="2">
        <v>-5.4689162956366832E-2</v>
      </c>
      <c r="Q27" s="2">
        <v>-3.4648048917736207E-2</v>
      </c>
      <c r="R27" s="2">
        <v>0.16256577692624161</v>
      </c>
      <c r="S27" s="2">
        <v>0.13577060029471499</v>
      </c>
      <c r="T27" s="2">
        <v>-3.4648070863309899E-2</v>
      </c>
      <c r="U27" s="2">
        <v>-3.4956106702173639E-2</v>
      </c>
      <c r="V27" s="2">
        <v>0.1355784043751731</v>
      </c>
      <c r="W27" s="2">
        <v>0.13507524040355759</v>
      </c>
      <c r="X27" s="2">
        <v>-2.5071434220988901E-2</v>
      </c>
      <c r="Y27" s="2">
        <v>-4.1707542183816997E-2</v>
      </c>
    </row>
    <row r="28" spans="2:25" x14ac:dyDescent="0.2">
      <c r="B28" t="s">
        <v>54</v>
      </c>
      <c r="C28">
        <v>294</v>
      </c>
      <c r="D28">
        <v>314.8</v>
      </c>
      <c r="E28">
        <v>290.96921700000001</v>
      </c>
      <c r="F28">
        <v>300.53424192040762</v>
      </c>
      <c r="G28">
        <v>313.39386919636121</v>
      </c>
      <c r="H28">
        <v>308.69362744263577</v>
      </c>
      <c r="I28">
        <v>300.5342447111978</v>
      </c>
      <c r="J28">
        <v>300.57604179751252</v>
      </c>
      <c r="K28">
        <v>308.69204983314148</v>
      </c>
      <c r="L28">
        <v>308.72620070627079</v>
      </c>
      <c r="M28">
        <v>304.97178315534131</v>
      </c>
      <c r="N28">
        <v>306.75638324359039</v>
      </c>
      <c r="O28" s="2">
        <v>7.0748299319727925E-2</v>
      </c>
      <c r="P28" s="2">
        <v>-1.0308785714285619E-2</v>
      </c>
      <c r="Q28" s="2">
        <v>2.2225312654447601E-2</v>
      </c>
      <c r="R28" s="2">
        <v>6.5965541484221735E-2</v>
      </c>
      <c r="S28" s="2">
        <v>4.9978324634815767E-2</v>
      </c>
      <c r="T28" s="2">
        <v>2.2225322146931289E-2</v>
      </c>
      <c r="U28" s="2">
        <v>2.2367489107185449E-2</v>
      </c>
      <c r="V28" s="2">
        <v>4.9972958616127487E-2</v>
      </c>
      <c r="W28" s="2">
        <v>5.0089118048540097E-2</v>
      </c>
      <c r="X28" s="2">
        <v>3.7318990324290091E-2</v>
      </c>
      <c r="Y28" s="2">
        <v>4.3389058651668089E-2</v>
      </c>
    </row>
    <row r="29" spans="2:25" x14ac:dyDescent="0.2">
      <c r="B29" t="s">
        <v>55</v>
      </c>
      <c r="C29">
        <v>349</v>
      </c>
      <c r="D29">
        <v>325.10000000000002</v>
      </c>
      <c r="E29">
        <v>353.66805799999997</v>
      </c>
      <c r="F29">
        <v>358.76551109824692</v>
      </c>
      <c r="G29">
        <v>320.82963315757348</v>
      </c>
      <c r="H29">
        <v>338.17389413666842</v>
      </c>
      <c r="I29">
        <v>358.76549174650461</v>
      </c>
      <c r="J29">
        <v>358.76520161268672</v>
      </c>
      <c r="K29">
        <v>338.17163250138248</v>
      </c>
      <c r="L29">
        <v>337.89196821093299</v>
      </c>
      <c r="M29">
        <v>354.83926801110277</v>
      </c>
      <c r="N29">
        <v>348.02198729469842</v>
      </c>
      <c r="O29" s="2">
        <v>-6.8481375358166119E-2</v>
      </c>
      <c r="P29" s="2">
        <v>1.337552435530087E-2</v>
      </c>
      <c r="Q29" s="2">
        <v>2.7981407158300439E-2</v>
      </c>
      <c r="R29" s="2">
        <v>-8.0717383502654783E-2</v>
      </c>
      <c r="S29" s="2">
        <v>-3.1020360639918532E-2</v>
      </c>
      <c r="T29" s="2">
        <v>2.798135170918226E-2</v>
      </c>
      <c r="U29" s="2">
        <v>2.798052038019128E-2</v>
      </c>
      <c r="V29" s="2">
        <v>-3.1026840970250661E-2</v>
      </c>
      <c r="W29" s="2">
        <v>-3.1828171315378302E-2</v>
      </c>
      <c r="X29" s="2">
        <v>1.673142696591046E-2</v>
      </c>
      <c r="Y29" s="2">
        <v>-2.8023286684859539E-3</v>
      </c>
    </row>
    <row r="30" spans="2:25" x14ac:dyDescent="0.2">
      <c r="B30" t="s">
        <v>71</v>
      </c>
      <c r="C30">
        <v>339.2</v>
      </c>
      <c r="D30">
        <v>339.2</v>
      </c>
      <c r="E30">
        <v>322.120197276</v>
      </c>
      <c r="F30">
        <v>328.28372290469201</v>
      </c>
      <c r="G30">
        <v>334.91198152686093</v>
      </c>
      <c r="H30">
        <v>334.47368838112232</v>
      </c>
      <c r="I30">
        <v>328.28371661774452</v>
      </c>
      <c r="J30">
        <v>328.28361360936412</v>
      </c>
      <c r="K30">
        <v>334.46932982566068</v>
      </c>
      <c r="L30">
        <v>334.34877983366158</v>
      </c>
      <c r="M30">
        <v>330.92739142798882</v>
      </c>
      <c r="N30">
        <v>327.41186204961321</v>
      </c>
      <c r="O30" s="2">
        <v>0</v>
      </c>
      <c r="P30" s="2">
        <v>-5.035319199292454E-2</v>
      </c>
      <c r="Q30" s="2">
        <v>-3.2182420681922119E-2</v>
      </c>
      <c r="R30" s="2">
        <v>-1.2641563894867701E-2</v>
      </c>
      <c r="S30" s="2">
        <v>-1.3933701706596909E-2</v>
      </c>
      <c r="T30" s="2">
        <v>-3.2182439216555059E-2</v>
      </c>
      <c r="U30" s="2">
        <v>-3.2182742896921801E-2</v>
      </c>
      <c r="V30" s="2">
        <v>-1.3946551221519219E-2</v>
      </c>
      <c r="W30" s="2">
        <v>-1.430194624510139E-2</v>
      </c>
      <c r="X30" s="2">
        <v>-2.4388586592014039E-2</v>
      </c>
      <c r="Y30" s="2">
        <v>-3.475276518392334E-2</v>
      </c>
    </row>
    <row r="31" spans="2:25" x14ac:dyDescent="0.2">
      <c r="I31" s="104" t="s">
        <v>148</v>
      </c>
      <c r="J31" s="104"/>
      <c r="K31" s="104"/>
      <c r="L31">
        <f>L$30/(1+W31)</f>
        <v>332.99491660910473</v>
      </c>
      <c r="S31" s="103" t="s">
        <v>141</v>
      </c>
      <c r="T31" s="103"/>
      <c r="U31" s="103"/>
      <c r="V31" s="103"/>
      <c r="W31" s="3">
        <f>AVERAGE(W21:W29)</f>
        <v>4.0657173939569798E-3</v>
      </c>
    </row>
    <row r="32" spans="2:25" x14ac:dyDescent="0.2">
      <c r="I32" s="94" t="s">
        <v>149</v>
      </c>
      <c r="J32" s="94"/>
      <c r="K32" s="94"/>
      <c r="L32">
        <f t="shared" ref="L32:L36" si="0">L$30/(1+W32)</f>
        <v>335.08053449640715</v>
      </c>
      <c r="S32" s="94" t="s">
        <v>143</v>
      </c>
      <c r="T32" s="94"/>
      <c r="U32" s="94"/>
      <c r="V32" s="94"/>
      <c r="W32" s="1">
        <f>MEDIAN(W21:W29)</f>
        <v>-2.1838172839413468E-3</v>
      </c>
    </row>
    <row r="33" spans="1:23" x14ac:dyDescent="0.2">
      <c r="I33" s="95" t="s">
        <v>150</v>
      </c>
      <c r="J33" s="95"/>
      <c r="K33" s="95"/>
      <c r="L33">
        <f t="shared" si="0"/>
        <v>345.476847373775</v>
      </c>
      <c r="S33" s="95" t="s">
        <v>142</v>
      </c>
      <c r="T33" s="95"/>
      <c r="U33" s="95"/>
      <c r="V33" s="95"/>
      <c r="W33" s="1">
        <f>AVERAGE(W29,W26,W23,W21:W22)</f>
        <v>-3.2210747622325696E-2</v>
      </c>
    </row>
    <row r="34" spans="1:23" x14ac:dyDescent="0.2">
      <c r="I34" s="96" t="s">
        <v>151</v>
      </c>
      <c r="J34" s="96"/>
      <c r="K34" s="96"/>
      <c r="L34">
        <f t="shared" si="0"/>
        <v>340.88004176474186</v>
      </c>
      <c r="S34" s="96" t="s">
        <v>144</v>
      </c>
      <c r="T34" s="96"/>
      <c r="U34" s="96"/>
      <c r="V34" s="96"/>
      <c r="W34" s="1">
        <f>MEDIAN(W29,W26,W23,W21:W22)</f>
        <v>-1.916000097062831E-2</v>
      </c>
    </row>
    <row r="35" spans="1:23" x14ac:dyDescent="0.2">
      <c r="I35" s="97" t="s">
        <v>152</v>
      </c>
      <c r="J35" s="97"/>
      <c r="K35" s="97"/>
      <c r="L35">
        <f t="shared" si="0"/>
        <v>318.60604155798626</v>
      </c>
      <c r="S35" s="97" t="s">
        <v>145</v>
      </c>
      <c r="T35" s="97"/>
      <c r="U35" s="97"/>
      <c r="V35" s="97"/>
      <c r="W35" s="1">
        <f>AVERAGE(W27:W28,W24:W25)</f>
        <v>4.9411298664310328E-2</v>
      </c>
    </row>
    <row r="36" spans="1:23" x14ac:dyDescent="0.2">
      <c r="I36" s="98" t="s">
        <v>153</v>
      </c>
      <c r="J36" s="98"/>
      <c r="K36" s="98"/>
      <c r="L36">
        <f t="shared" si="0"/>
        <v>324.60667647501441</v>
      </c>
      <c r="M36">
        <f>AVERAGE(L36,L31)</f>
        <v>328.80079654205957</v>
      </c>
      <c r="S36" s="98" t="s">
        <v>146</v>
      </c>
      <c r="T36" s="98"/>
      <c r="U36" s="98"/>
      <c r="V36" s="98"/>
      <c r="W36" s="1">
        <f>MEDIAN(W27:W28,W24:W25)</f>
        <v>3.0012023980649945E-2</v>
      </c>
    </row>
    <row r="38" spans="1:23" x14ac:dyDescent="0.2">
      <c r="A38" s="67" t="s">
        <v>103</v>
      </c>
      <c r="B38" t="s">
        <v>154</v>
      </c>
    </row>
    <row r="39" spans="1:23" x14ac:dyDescent="0.2">
      <c r="B39" t="s">
        <v>155</v>
      </c>
    </row>
    <row r="45" spans="1:23" x14ac:dyDescent="0.2">
      <c r="A45" s="67" t="s">
        <v>105</v>
      </c>
      <c r="B45" s="77" t="s">
        <v>156</v>
      </c>
      <c r="C45" s="78">
        <f>M36</f>
        <v>328.80079654205957</v>
      </c>
      <c r="D45" t="s">
        <v>170</v>
      </c>
    </row>
    <row r="47" spans="1:23" x14ac:dyDescent="0.2">
      <c r="B47" s="183" t="s">
        <v>164</v>
      </c>
      <c r="C47" s="183"/>
      <c r="D47" s="2">
        <f>C45/D30-1</f>
        <v>-3.0658029062324288E-2</v>
      </c>
    </row>
    <row r="48" spans="1:23" x14ac:dyDescent="0.2">
      <c r="B48" s="171" t="s">
        <v>163</v>
      </c>
      <c r="C48" s="171"/>
      <c r="D48" s="2">
        <f>'1. Data &amp; Confidence Interval'!L25</f>
        <v>-4.4747474279622106E-2</v>
      </c>
    </row>
  </sheetData>
  <mergeCells count="2">
    <mergeCell ref="B48:C48"/>
    <mergeCell ref="B47:C47"/>
  </mergeCells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W32:W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1:W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2021-10-21T21:08:31Z</dcterms:modified>
</cp:coreProperties>
</file>