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YK\"/>
    </mc:Choice>
  </mc:AlternateContent>
  <xr:revisionPtr revIDLastSave="0" documentId="13_ncr:1_{AD2A6E64-D74B-4447-9975-9A5CD498291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D48" i="4" s="1"/>
  <c r="F36" i="4"/>
  <c r="F35" i="4"/>
  <c r="F34" i="4"/>
  <c r="E35" i="4"/>
  <c r="E34" i="4"/>
  <c r="E33" i="4"/>
  <c r="E32" i="4"/>
  <c r="P37" i="4"/>
  <c r="E37" i="4" s="1"/>
  <c r="P36" i="4"/>
  <c r="E36" i="4" s="1"/>
  <c r="P35" i="4"/>
  <c r="P34" i="4"/>
  <c r="P33" i="4"/>
  <c r="P32" i="4"/>
  <c r="P15" i="4"/>
  <c r="P16" i="4"/>
  <c r="P17" i="4"/>
  <c r="P18" i="4"/>
  <c r="P19" i="4"/>
  <c r="P20" i="4"/>
  <c r="P14" i="4"/>
  <c r="C2" i="4"/>
  <c r="R23" i="2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R22" i="1" l="1"/>
  <c r="O24" i="1"/>
  <c r="D49" i="4"/>
  <c r="J23" i="2"/>
  <c r="AO22" i="1"/>
  <c r="AO23" i="1"/>
  <c r="AO21" i="1"/>
  <c r="AO20" i="1"/>
  <c r="R25" i="1"/>
  <c r="O25" i="1"/>
  <c r="R24" i="1"/>
  <c r="E18" i="1"/>
  <c r="D18" i="1"/>
  <c r="C18" i="1"/>
  <c r="B18" i="1"/>
  <c r="B17" i="1"/>
  <c r="C17" i="1"/>
  <c r="D17" i="1"/>
  <c r="E17" i="1"/>
  <c r="F13" i="1"/>
  <c r="G13" i="1"/>
  <c r="H13" i="1"/>
  <c r="I13" i="1"/>
  <c r="M23" i="2"/>
  <c r="L23" i="2"/>
  <c r="K23" i="2"/>
  <c r="Q23" i="2" s="1"/>
  <c r="N23" i="2"/>
  <c r="O23" i="2"/>
  <c r="P23" i="2" l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J13" i="1"/>
  <c r="K13" i="1"/>
  <c r="L13" i="1"/>
  <c r="M13" i="1"/>
  <c r="J17" i="1"/>
  <c r="I17" i="1"/>
  <c r="H17" i="1"/>
  <c r="G17" i="1"/>
  <c r="F17" i="1"/>
  <c r="I18" i="1"/>
  <c r="H18" i="1"/>
  <c r="G18" i="1"/>
  <c r="F18" i="1"/>
  <c r="J18" i="1"/>
  <c r="J39" i="2" l="1"/>
  <c r="J42" i="2"/>
  <c r="L18" i="1"/>
  <c r="K18" i="1"/>
  <c r="Q22" i="1"/>
  <c r="S22" i="1"/>
  <c r="T22" i="1"/>
  <c r="Q20" i="1"/>
  <c r="R20" i="1"/>
  <c r="S20" i="1"/>
  <c r="T20" i="1"/>
  <c r="J41" i="2"/>
  <c r="J40" i="2"/>
  <c r="G40" i="2"/>
  <c r="R24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N18" i="1"/>
  <c r="AO18" i="1"/>
  <c r="N17" i="1"/>
  <c r="M17" i="1"/>
  <c r="L17" i="1"/>
  <c r="K17" i="1"/>
  <c r="V17" i="1"/>
  <c r="U17" i="1"/>
  <c r="T17" i="1"/>
  <c r="S17" i="1"/>
  <c r="Q18" i="1"/>
  <c r="P18" i="1"/>
  <c r="N18" i="1"/>
  <c r="M18" i="1"/>
  <c r="W20" i="1"/>
  <c r="W22" i="1"/>
  <c r="AO25" i="1" l="1"/>
  <c r="AO26" i="1"/>
  <c r="V21" i="1"/>
  <c r="T21" i="1"/>
  <c r="W21" i="1"/>
  <c r="W23" i="1"/>
  <c r="U23" i="1"/>
  <c r="T23" i="1"/>
  <c r="U21" i="1"/>
  <c r="V23" i="1"/>
  <c r="J24" i="2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N17" i="1"/>
  <c r="AO24" i="1" s="1"/>
  <c r="AM17" i="1"/>
  <c r="AL17" i="1"/>
  <c r="AK17" i="1"/>
  <c r="AJ17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P17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31" i="3"/>
  <c r="E31" i="3"/>
  <c r="AI17" i="1"/>
  <c r="AH17" i="1"/>
  <c r="AG17" i="1"/>
  <c r="AF17" i="1"/>
  <c r="N10" i="1" l="1"/>
  <c r="AN10" i="1"/>
  <c r="C7" i="1"/>
  <c r="X21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Q17" i="1"/>
  <c r="R17" i="1"/>
  <c r="W17" i="1"/>
  <c r="X17" i="1"/>
  <c r="Y17" i="1"/>
  <c r="Z17" i="1"/>
  <c r="AA17" i="1"/>
  <c r="AB17" i="1"/>
  <c r="AC17" i="1"/>
  <c r="AD17" i="1"/>
  <c r="AE17" i="1"/>
  <c r="F27" i="3"/>
  <c r="Y23" i="1" l="1"/>
  <c r="X23" i="1"/>
  <c r="B7" i="1"/>
  <c r="R44" i="2"/>
  <c r="R43" i="2"/>
  <c r="R42" i="2"/>
  <c r="R41" i="2"/>
  <c r="R39" i="2"/>
  <c r="R38" i="2"/>
  <c r="R37" i="2"/>
  <c r="R36" i="2"/>
  <c r="R35" i="2"/>
  <c r="R34" i="2"/>
  <c r="R33" i="2"/>
  <c r="R32" i="2"/>
  <c r="Q2" i="1" l="1"/>
  <c r="R2" i="1"/>
  <c r="R3" i="1"/>
  <c r="Q3" i="1"/>
  <c r="H27" i="3"/>
  <c r="S2" i="1" l="1"/>
  <c r="T2" i="1" s="1"/>
  <c r="S3" i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M23" i="1"/>
  <c r="AC23" i="1"/>
  <c r="AB23" i="1"/>
  <c r="AH23" i="1"/>
  <c r="AA23" i="1"/>
  <c r="Z23" i="1"/>
  <c r="AI23" i="1"/>
  <c r="AE23" i="1"/>
  <c r="AG23" i="1"/>
  <c r="AD23" i="1"/>
  <c r="AF23" i="1"/>
  <c r="AL23" i="1"/>
  <c r="AK23" i="1"/>
  <c r="AJ23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<sst xmlns="http://schemas.openxmlformats.org/spreadsheetml/2006/main" count="332" uniqueCount="173">
  <si>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</si>
  <si>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</si>
  <si>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</si>
  <si>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</si>
  <si>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</si>
  <si>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</si>
  <si>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</si>
  <si>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</si>
  <si>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</si>
  <si>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</si>
  <si>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</si>
  <si>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</si>
  <si>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</si>
  <si>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</si>
  <si>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</si>
  <si>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</si>
  <si>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</si>
  <si>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</si>
  <si>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</si>
  <si>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</si>
  <si>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</si>
  <si>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</si>
  <si>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</si>
  <si>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</si>
  <si>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</si>
  <si>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</si>
  <si>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</si>
  <si>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</si>
  <si>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</si>
  <si>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</si>
  <si>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</si>
  <si>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</si>
  <si>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</si>
  <si>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</si>
  <si>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</si>
  <si>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</si>
  <si>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</si>
  <si>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</si>
  <si>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</si>
  <si>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</si>
  <si>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</si>
  <si>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</si>
  <si>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</si>
  <si>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</si>
  <si>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</si>
  <si>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</si>
  <si>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</si>
  <si>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</si>
  <si>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</si>
  <si>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</si>
  <si>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</si>
  <si>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</si>
  <si>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</si>
  <si>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</si>
  <si>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</si>
  <si>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</si>
  <si>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</si>
  <si>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</si>
  <si>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</si>
  <si>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</si>
  <si>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</si>
  <si>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</si>
  <si>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</si>
  <si>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</si>
  <si>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</si>
  <si>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</si>
  <si>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</si>
  <si>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</si>
  <si>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</si>
  <si>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</si>
  <si>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</si>
  <si>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</si>
  <si>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</si>
  <si>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</si>
  <si>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</si>
  <si>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</si>
  <si>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</si>
  <si>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</si>
  <si>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</si>
  <si>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</si>
  <si>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</si>
  <si>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</si>
  <si>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</si>
  <si>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</si>
  <si>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</si>
  <si>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</si>
  <si>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</si>
  <si>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</si>
  <si>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</si>
  <si>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</si>
  <si>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</si>
  <si>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</si>
  <si>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</si>
  <si>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</si>
  <si>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</si>
  <si>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</si>
  <si>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</si>
  <si>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</si>
  <si>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</si>
  <si>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</si>
  <si>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</si>
  <si>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</si>
  <si>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</si>
  <si>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</si>
  <si>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</si>
  <si>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</si>
  <si>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</si>
  <si>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</si>
  <si>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</si>
  <si>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</si>
  <si>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</si>
  <si>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</si>
  <si>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</si>
  <si>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</si>
  <si>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</si>
  <si>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</si>
  <si>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</si>
  <si>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</si>
  <si>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</si>
  <si>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</si>
  <si>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</si>
  <si>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</si>
  <si>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</si>
  <si>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</si>
  <si>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</si>
  <si>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</si>
  <si>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</si>
  <si>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</si>
  <si>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</si>
  <si>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</si>
  <si>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</si>
  <si>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</si>
  <si>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</si>
  <si>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</si>
  <si>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</si>
  <si>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</si>
  <si>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</si>
  <si>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</si>
  <si>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</si>
  <si>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</si>
  <si>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</si>
  <si>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</si>
  <si>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</si>
  <si>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</si>
  <si>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</si>
  <si>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</si>
  <si>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</si>
  <si>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</si>
  <si>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</si>
  <si>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</si>
  <si>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</si>
  <si>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</si>
  <si>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</si>
  <si>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</si>
  <si>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</si>
  <si>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</si>
  <si>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</si>
  <si>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</si>
  <si>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</si>
  <si>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</si>
  <si>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</si>
  <si>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</si>
  <si>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</si>
  <si>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</si>
  <si>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</si>
  <si>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</si>
  <si>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</si>
  <si>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</si>
  <si>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</si>
  <si>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</si>
  <si>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SYK_MEDSG</t>
  </si>
  <si>
    <t>MedSurg</t>
  </si>
  <si>
    <t>If this value is unsatisfactory, use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</si>
</sst>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10" fontId="4" fillId="0" borderId="6" xfId="1" applyNumberFormat="1" applyFont="1" applyBorder="1"/>
    <xf numFmtId="10" fontId="4" fillId="0" borderId="11" xfId="1" applyNumberFormat="1" applyFont="1" applyBorder="1"/>
    <xf numFmtId="10" fontId="2" fillId="0" borderId="6" xfId="1" applyNumberFormat="1" applyFont="1" applyBorder="1"/>
    <xf numFmtId="10" fontId="2" fillId="0" borderId="11" xfId="1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7" xfId="1" applyNumberFormat="1" applyFont="1" applyBorder="1"/>
    <xf numFmtId="10" fontId="2" fillId="0" borderId="12" xfId="1" applyNumberFormat="1" applyFont="1" applyBorder="1"/>
    <xf numFmtId="0" fontId="0" fillId="5" borderId="5" xfId="0" applyFill="1" applyBorder="1" applyAlignment="1">
      <alignment horizontal="center"/>
    </xf>
    <xf numFmtId="4" fontId="0" fillId="0" borderId="0" xfId="0" applyNumberFormat="1"/>
    <xf numFmtId="10" fontId="0" fillId="0" borderId="0" xfId="1" applyNumberFormat="1" applyFont="1"/>
    <xf numFmtId="4" fontId="0" fillId="0" borderId="0" xfId="0" applyNumberFormat="1" applyBorder="1"/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I1" zoomScale="70" zoomScaleNormal="70" workbookViewId="0">
      <selection activeCell="AN14" sqref="AN14:AO14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18" t="s">
        <v>170</v>
      </c>
      <c r="B1" s="119"/>
      <c r="C1" s="120"/>
      <c r="O1" s="127" t="s">
        <v>35</v>
      </c>
      <c r="P1" s="128"/>
      <c r="Q1" s="61" t="s">
        <v>31</v>
      </c>
      <c r="R1" s="61" t="s">
        <v>32</v>
      </c>
      <c r="S1" s="4" t="s">
        <v>39</v>
      </c>
      <c r="T1" s="129" t="s">
        <v>41</v>
      </c>
      <c r="U1" s="130"/>
    </row>
    <row r="2" spans="1:41" x14ac:dyDescent="0.2">
      <c r="A2" s="121"/>
      <c r="B2" s="122"/>
      <c r="C2" s="123"/>
      <c r="O2" s="59" t="s">
        <v>37</v>
      </c>
      <c r="P2" s="60"/>
      <c r="Q2" s="62">
        <f>$B$7*($AO$25-2*$AO$26)</f>
        <v>1235.9175484294863</v>
      </c>
      <c r="R2" s="62">
        <f>$B$7*($AO$25+2*$AO$26)</f>
        <v>1352.6205326150448</v>
      </c>
      <c r="S2" s="64">
        <f>AVERAGE(Q2:R2)</f>
        <v>1294.2690405222656</v>
      </c>
      <c r="T2" s="131">
        <f>$S$2/AJ14-1</f>
        <v>1.7267185822734898E-2</v>
      </c>
      <c r="U2" s="132"/>
    </row>
    <row r="3" spans="1:41" x14ac:dyDescent="0.2">
      <c r="A3" s="124"/>
      <c r="B3" s="125"/>
      <c r="C3" s="126"/>
      <c r="O3" s="45" t="s">
        <v>38</v>
      </c>
      <c r="P3" s="19"/>
      <c r="Q3" s="63">
        <f>$C$7*($AO$25-2*$AO$26)</f>
        <v>1247.2562415343439</v>
      </c>
      <c r="R3" s="63">
        <f>$C$7*($AO$25+2*$AO$26)</f>
        <v>1365.0298952995865</v>
      </c>
      <c r="S3" s="65">
        <f>AVERAGE(Q3:R3)</f>
        <v>1306.1430684169652</v>
      </c>
      <c r="T3" s="133">
        <f>$S$3/AJ15-1</f>
        <v>2.9269557460177564E-2</v>
      </c>
      <c r="U3" s="134"/>
    </row>
    <row r="4" spans="1:41" x14ac:dyDescent="0.2">
      <c r="A4" s="50"/>
      <c r="B4" s="50"/>
      <c r="C4" s="50"/>
      <c r="R4" s="4" t="s">
        <v>40</v>
      </c>
      <c r="S4" s="65">
        <f>AVERAGE(S2:S3)</f>
        <v>1300.2060544696155</v>
      </c>
      <c r="T4" s="133">
        <f>$S$4/AJ15-1</f>
        <v>2.4591059471722243E-2</v>
      </c>
      <c r="U4" s="134"/>
    </row>
    <row r="5" spans="1:41" x14ac:dyDescent="0.2">
      <c r="A5" s="58" t="s">
        <v>34</v>
      </c>
      <c r="B5" s="48" t="s">
        <v>31</v>
      </c>
      <c r="C5" s="49" t="s">
        <v>32</v>
      </c>
      <c r="H5" s="86"/>
      <c r="I5" s="86"/>
    </row>
    <row r="6" spans="1:41" ht="15.75" x14ac:dyDescent="0.25">
      <c r="A6" s="52" t="s">
        <v>33</v>
      </c>
      <c r="B6" s="56">
        <v>16223.560000000001</v>
      </c>
      <c r="C6" s="57">
        <v>16372.400000000001</v>
      </c>
    </row>
    <row r="7" spans="1:41" ht="14.25" x14ac:dyDescent="0.2">
      <c r="A7" s="53" t="s">
        <v>36</v>
      </c>
      <c r="B7" s="54">
        <f>B6*$AO$24</f>
        <v>5268.2716610705547</v>
      </c>
      <c r="C7" s="55">
        <f>C6*$AO$24</f>
        <v>5316.604428603312</v>
      </c>
    </row>
    <row r="8" spans="1:41" x14ac:dyDescent="0.2">
      <c r="J8" s="50"/>
      <c r="K8" s="50"/>
      <c r="L8" s="50"/>
    </row>
    <row r="9" spans="1:41" x14ac:dyDescent="0.2">
      <c r="J9" s="50"/>
      <c r="K9" s="50"/>
      <c r="L9" s="50"/>
    </row>
    <row r="10" spans="1:41" x14ac:dyDescent="0.2">
      <c r="L10" s="117" t="s">
        <v>15</v>
      </c>
      <c r="M10" s="117"/>
      <c r="N10" s="35">
        <f>AVERAGE(F13:AN13)</f>
        <v>1.1051475751314734</v>
      </c>
      <c r="AK10" s="117" t="s">
        <v>16</v>
      </c>
      <c r="AL10" s="117"/>
      <c r="AM10" s="117"/>
      <c r="AN10" s="79">
        <f>AVERAGE(AK13:AN13)</f>
        <v>1.1039647652997799</v>
      </c>
    </row>
    <row r="11" spans="1:41" x14ac:dyDescent="0.2">
      <c r="A11" s="51" t="s">
        <v>6</v>
      </c>
      <c r="B11" s="162">
        <v>2012</v>
      </c>
      <c r="C11" s="163"/>
      <c r="D11" s="163"/>
      <c r="E11" s="164"/>
      <c r="F11" s="165">
        <v>2013</v>
      </c>
      <c r="G11" s="166"/>
      <c r="H11" s="166"/>
      <c r="I11" s="167"/>
      <c r="J11" s="143">
        <v>2014</v>
      </c>
      <c r="K11" s="143"/>
      <c r="L11" s="143"/>
      <c r="M11" s="144"/>
      <c r="N11" s="145">
        <v>2015</v>
      </c>
      <c r="O11" s="146"/>
      <c r="P11" s="146"/>
      <c r="Q11" s="147"/>
      <c r="R11" s="145">
        <v>2016</v>
      </c>
      <c r="S11" s="146"/>
      <c r="T11" s="146"/>
      <c r="U11" s="147"/>
      <c r="V11" s="148">
        <v>2017</v>
      </c>
      <c r="W11" s="149"/>
      <c r="X11" s="149"/>
      <c r="Y11" s="150"/>
      <c r="Z11" s="158">
        <v>2018</v>
      </c>
      <c r="AA11" s="159"/>
      <c r="AB11" s="159"/>
      <c r="AC11" s="160"/>
      <c r="AD11" s="151">
        <v>2019</v>
      </c>
      <c r="AE11" s="152"/>
      <c r="AF11" s="152"/>
      <c r="AG11" s="153"/>
      <c r="AH11" s="154">
        <v>2020</v>
      </c>
      <c r="AI11" s="143"/>
      <c r="AJ11" s="143"/>
      <c r="AK11" s="144"/>
      <c r="AL11" s="145">
        <v>2021</v>
      </c>
      <c r="AM11" s="146"/>
      <c r="AN11" s="146"/>
      <c r="AO11" s="147"/>
    </row>
    <row r="12" spans="1:41" x14ac:dyDescent="0.2">
      <c r="A12" s="14" t="s">
        <v>19</v>
      </c>
      <c r="B12" s="113" t="s">
        <v>20</v>
      </c>
      <c r="C12" s="113" t="s">
        <v>3</v>
      </c>
      <c r="D12" s="113" t="s">
        <v>4</v>
      </c>
      <c r="E12" s="113" t="s">
        <v>5</v>
      </c>
      <c r="F12" s="80" t="s">
        <v>20</v>
      </c>
      <c r="G12" s="81" t="s">
        <v>3</v>
      </c>
      <c r="H12" s="81" t="s">
        <v>4</v>
      </c>
      <c r="I12" s="82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F13" s="85">
        <f t="shared" ref="F13" si="0">F15/B15</f>
        <v>0.98750000000000004</v>
      </c>
      <c r="G13" s="85">
        <f t="shared" ref="G13" si="1">G15/C15</f>
        <v>1.0364565587734242</v>
      </c>
      <c r="H13" s="85">
        <f t="shared" ref="H13" si="2">H15/D15</f>
        <v>1.0222611744084138</v>
      </c>
      <c r="I13" s="85">
        <f t="shared" ref="I13" si="3">I15/E15</f>
        <v>1.0311551366032912</v>
      </c>
      <c r="J13" s="85">
        <f t="shared" ref="J13:M13" si="4">J15/F15</f>
        <v>1.1298323640095791</v>
      </c>
      <c r="K13" s="85">
        <f t="shared" si="4"/>
        <v>1.1283694937541091</v>
      </c>
      <c r="L13" s="85">
        <f t="shared" si="4"/>
        <v>1.2177640603566529</v>
      </c>
      <c r="M13" s="85">
        <f t="shared" si="4"/>
        <v>1.2330337775023241</v>
      </c>
      <c r="N13" s="85">
        <f>N15/J15</f>
        <v>1.0884178652535956</v>
      </c>
      <c r="O13" s="85">
        <f t="shared" ref="O13:AM13" si="5">O15/K15</f>
        <v>1.0772032046613256</v>
      </c>
      <c r="P13" s="85">
        <f t="shared" si="5"/>
        <v>1.0540692762602084</v>
      </c>
      <c r="Q13" s="85">
        <f t="shared" si="5"/>
        <v>1.0539080170897213</v>
      </c>
      <c r="R13" s="85">
        <f t="shared" si="5"/>
        <v>1.076227569898456</v>
      </c>
      <c r="S13" s="85">
        <f t="shared" si="5"/>
        <v>1.3272481406355645</v>
      </c>
      <c r="T13" s="85">
        <f t="shared" si="5"/>
        <v>1.306839433609404</v>
      </c>
      <c r="U13" s="85">
        <f t="shared" si="5"/>
        <v>1.3108382019792537</v>
      </c>
      <c r="V13" s="85">
        <f t="shared" si="5"/>
        <v>1.3351428202145534</v>
      </c>
      <c r="W13" s="85">
        <f t="shared" si="5"/>
        <v>1.0880285277636272</v>
      </c>
      <c r="X13" s="85">
        <f t="shared" si="5"/>
        <v>1.0753347643872024</v>
      </c>
      <c r="Y13" s="85">
        <f t="shared" si="5"/>
        <v>1.1208841186101508</v>
      </c>
      <c r="Z13" s="85">
        <f t="shared" si="5"/>
        <v>1.0706679574056148</v>
      </c>
      <c r="AA13" s="85">
        <f t="shared" si="5"/>
        <v>1.0675156849892311</v>
      </c>
      <c r="AB13" s="85">
        <f t="shared" si="5"/>
        <v>1.099809885931559</v>
      </c>
      <c r="AC13" s="85">
        <f t="shared" si="5"/>
        <v>1.0873975492980605</v>
      </c>
      <c r="AD13" s="85">
        <f t="shared" si="5"/>
        <v>1.1039783001808319</v>
      </c>
      <c r="AE13" s="85">
        <f t="shared" si="5"/>
        <v>1.1289473684210527</v>
      </c>
      <c r="AF13" s="85">
        <f t="shared" si="5"/>
        <v>1.0777873811581677</v>
      </c>
      <c r="AG13" s="85">
        <f t="shared" si="5"/>
        <v>1.0701492537313433</v>
      </c>
      <c r="AH13" s="85">
        <f t="shared" si="5"/>
        <v>1.0597870597870598</v>
      </c>
      <c r="AI13" s="85">
        <f t="shared" si="5"/>
        <v>0.78010878010878015</v>
      </c>
      <c r="AJ13" s="85">
        <f t="shared" si="5"/>
        <v>1.0176423416198876</v>
      </c>
      <c r="AK13" s="85">
        <f t="shared" si="5"/>
        <v>1.0244072524407253</v>
      </c>
      <c r="AL13" s="85">
        <f t="shared" si="5"/>
        <v>0.95981452859350846</v>
      </c>
      <c r="AM13" s="85">
        <f t="shared" si="5"/>
        <v>1.3625498007968126</v>
      </c>
      <c r="AN13" s="85">
        <f>AN14/AJ14</f>
        <v>1.0690874793680736</v>
      </c>
      <c r="AO13" s="31"/>
    </row>
    <row r="14" spans="1:41" x14ac:dyDescent="0.2">
      <c r="A14" s="15" t="s">
        <v>0</v>
      </c>
      <c r="B14" s="6">
        <v>592</v>
      </c>
      <c r="C14" s="6">
        <v>587</v>
      </c>
      <c r="D14" s="6">
        <v>570.5</v>
      </c>
      <c r="E14" s="6">
        <v>625.9</v>
      </c>
      <c r="F14" s="7">
        <v>584.6</v>
      </c>
      <c r="G14" s="7">
        <v>608.4</v>
      </c>
      <c r="H14" s="7">
        <v>583.20000000000005</v>
      </c>
      <c r="I14" s="7">
        <v>645.4</v>
      </c>
      <c r="J14" s="7">
        <v>660.5</v>
      </c>
      <c r="K14" s="7">
        <v>686.5</v>
      </c>
      <c r="L14" s="7">
        <v>710.2</v>
      </c>
      <c r="M14" s="7">
        <v>795.8</v>
      </c>
      <c r="N14" s="9">
        <v>718.9</v>
      </c>
      <c r="O14" s="6">
        <v>739.5</v>
      </c>
      <c r="P14" s="6">
        <v>748.6</v>
      </c>
      <c r="Q14" s="6">
        <v>838.7</v>
      </c>
      <c r="R14" s="9">
        <v>773.7</v>
      </c>
      <c r="S14" s="6">
        <v>981.5</v>
      </c>
      <c r="T14" s="6">
        <v>978.3</v>
      </c>
      <c r="U14" s="6">
        <v>1099.4000000000001</v>
      </c>
      <c r="V14" s="9">
        <v>1036.8</v>
      </c>
      <c r="W14" s="6">
        <v>1067.9000000000001</v>
      </c>
      <c r="X14" s="6">
        <v>1055.7</v>
      </c>
      <c r="Y14" s="6">
        <v>1232.3</v>
      </c>
      <c r="Z14" s="9">
        <v>1108.8</v>
      </c>
      <c r="AA14" s="6">
        <v>1139.7</v>
      </c>
      <c r="AB14" s="6">
        <v>1160.5</v>
      </c>
      <c r="AC14" s="6">
        <v>1345.2</v>
      </c>
      <c r="AD14" s="9">
        <v>1230.8</v>
      </c>
      <c r="AE14" s="6">
        <v>1294.4000000000001</v>
      </c>
      <c r="AF14" s="6">
        <v>1258.3</v>
      </c>
      <c r="AG14" s="6">
        <v>1452.1</v>
      </c>
      <c r="AH14" s="9">
        <v>1301.0999999999999</v>
      </c>
      <c r="AI14" s="6">
        <v>1005.8</v>
      </c>
      <c r="AJ14" s="6">
        <v>1272.3</v>
      </c>
      <c r="AK14" s="6">
        <v>1487.1</v>
      </c>
      <c r="AL14" s="6">
        <v>1246.4000000000001</v>
      </c>
      <c r="AM14" s="6">
        <v>1369.4</v>
      </c>
      <c r="AN14" s="116">
        <v>1360.2</v>
      </c>
      <c r="AO14" s="116">
        <v>1589.3</v>
      </c>
    </row>
    <row r="15" spans="1:41" x14ac:dyDescent="0.2">
      <c r="A15" s="15" t="s">
        <v>1</v>
      </c>
      <c r="B15" s="6">
        <v>592</v>
      </c>
      <c r="C15" s="6">
        <v>587</v>
      </c>
      <c r="D15" s="6">
        <v>570.5</v>
      </c>
      <c r="E15" s="6">
        <v>625.9</v>
      </c>
      <c r="F15" s="6">
        <v>584.6</v>
      </c>
      <c r="G15" s="6">
        <v>608.4</v>
      </c>
      <c r="H15" s="6">
        <v>583.20000000000005</v>
      </c>
      <c r="I15" s="6">
        <v>645.4</v>
      </c>
      <c r="J15" s="6">
        <v>660.5</v>
      </c>
      <c r="K15" s="6">
        <v>686.5</v>
      </c>
      <c r="L15" s="6">
        <v>710.2</v>
      </c>
      <c r="M15" s="6">
        <v>795.8</v>
      </c>
      <c r="N15" s="9">
        <v>718.9</v>
      </c>
      <c r="O15" s="6">
        <v>739.5</v>
      </c>
      <c r="P15" s="6">
        <v>748.6</v>
      </c>
      <c r="Q15" s="6">
        <v>838.7</v>
      </c>
      <c r="R15" s="9">
        <v>773.7</v>
      </c>
      <c r="S15" s="6">
        <v>981.5</v>
      </c>
      <c r="T15" s="6">
        <v>978.3</v>
      </c>
      <c r="U15" s="6">
        <v>1099.4000000000001</v>
      </c>
      <c r="V15" s="9">
        <v>1033</v>
      </c>
      <c r="W15" s="6">
        <v>1067.9000000000001</v>
      </c>
      <c r="X15" s="6">
        <v>1052</v>
      </c>
      <c r="Y15" s="6">
        <v>1232.3</v>
      </c>
      <c r="Z15" s="9">
        <v>1106</v>
      </c>
      <c r="AA15" s="6">
        <v>1140</v>
      </c>
      <c r="AB15" s="6">
        <v>1157</v>
      </c>
      <c r="AC15" s="6">
        <v>1340</v>
      </c>
      <c r="AD15" s="9">
        <v>1221</v>
      </c>
      <c r="AE15" s="6">
        <v>1287</v>
      </c>
      <c r="AF15" s="6">
        <v>1247</v>
      </c>
      <c r="AG15" s="6">
        <v>1434</v>
      </c>
      <c r="AH15" s="9">
        <v>1294</v>
      </c>
      <c r="AI15" s="6">
        <v>1004</v>
      </c>
      <c r="AJ15" s="6">
        <v>1269</v>
      </c>
      <c r="AK15" s="6">
        <v>1469</v>
      </c>
      <c r="AL15" s="9">
        <v>1242</v>
      </c>
      <c r="AM15" s="6">
        <v>1368</v>
      </c>
      <c r="AN15" s="9"/>
      <c r="AO15" s="10"/>
    </row>
    <row r="16" spans="1:41" x14ac:dyDescent="0.2">
      <c r="A16" s="15" t="s">
        <v>157</v>
      </c>
      <c r="B16" s="9">
        <v>2161</v>
      </c>
      <c r="C16" s="9">
        <v>2106</v>
      </c>
      <c r="D16" s="9">
        <v>2052</v>
      </c>
      <c r="E16" s="9">
        <v>2337</v>
      </c>
      <c r="F16" s="9">
        <v>2190</v>
      </c>
      <c r="G16" s="6">
        <v>2212</v>
      </c>
      <c r="H16" s="6">
        <v>2151</v>
      </c>
      <c r="I16" s="10">
        <v>2468</v>
      </c>
      <c r="J16" s="9">
        <v>2305</v>
      </c>
      <c r="K16" s="6">
        <v>2363</v>
      </c>
      <c r="L16" s="6">
        <v>2389</v>
      </c>
      <c r="M16" s="10">
        <v>2618</v>
      </c>
      <c r="N16" s="9">
        <v>2379</v>
      </c>
      <c r="O16" s="6">
        <v>2432</v>
      </c>
      <c r="P16" s="6">
        <v>2420</v>
      </c>
      <c r="Q16" s="10">
        <v>2715</v>
      </c>
      <c r="R16" s="9">
        <v>2495</v>
      </c>
      <c r="S16" s="6">
        <v>2840</v>
      </c>
      <c r="T16" s="6">
        <v>2833</v>
      </c>
      <c r="U16" s="10">
        <v>3157</v>
      </c>
      <c r="V16" s="9">
        <v>2955</v>
      </c>
      <c r="W16" s="6">
        <v>3012</v>
      </c>
      <c r="X16" s="6">
        <v>3006</v>
      </c>
      <c r="Y16" s="10">
        <v>3471</v>
      </c>
      <c r="Z16" s="9">
        <v>3241</v>
      </c>
      <c r="AA16" s="6">
        <v>3322</v>
      </c>
      <c r="AB16" s="6">
        <v>3242</v>
      </c>
      <c r="AC16" s="10">
        <v>3796</v>
      </c>
      <c r="AD16" s="9">
        <v>3516</v>
      </c>
      <c r="AE16" s="6">
        <v>3650</v>
      </c>
      <c r="AF16" s="6">
        <v>3587</v>
      </c>
      <c r="AG16" s="10">
        <v>4131</v>
      </c>
      <c r="AH16" s="9">
        <v>3588</v>
      </c>
      <c r="AI16" s="6">
        <v>2764</v>
      </c>
      <c r="AJ16" s="6">
        <v>3737</v>
      </c>
      <c r="AK16" s="10">
        <v>4262</v>
      </c>
      <c r="AL16" s="9">
        <v>3953</v>
      </c>
      <c r="AM16">
        <v>4294</v>
      </c>
      <c r="AN16" s="114">
        <v>4231.2</v>
      </c>
      <c r="AO16" s="10"/>
    </row>
    <row r="17" spans="1:42" x14ac:dyDescent="0.2">
      <c r="A17" s="87" t="s">
        <v>18</v>
      </c>
      <c r="B17" s="88">
        <f t="shared" ref="B17:E17" si="6">B15/B16</f>
        <v>0.27394724664507175</v>
      </c>
      <c r="C17" s="88">
        <f t="shared" si="6"/>
        <v>0.27872744539411204</v>
      </c>
      <c r="D17" s="88">
        <f t="shared" si="6"/>
        <v>0.27802144249512672</v>
      </c>
      <c r="E17" s="88">
        <f t="shared" si="6"/>
        <v>0.26782199400941376</v>
      </c>
      <c r="F17" s="88">
        <f>F15/F16</f>
        <v>0.26694063926940642</v>
      </c>
      <c r="G17" s="88">
        <f>G15/G16</f>
        <v>0.27504520795660037</v>
      </c>
      <c r="H17" s="88">
        <f>H15/H16</f>
        <v>0.27112970711297074</v>
      </c>
      <c r="I17" s="88">
        <f>I15/I16</f>
        <v>0.26150729335494327</v>
      </c>
      <c r="J17" s="88">
        <f>J15/J16</f>
        <v>0.28655097613882863</v>
      </c>
      <c r="K17" s="88">
        <f t="shared" ref="K17:P17" si="7">K15/K16</f>
        <v>0.29052052475666523</v>
      </c>
      <c r="L17" s="88">
        <f t="shared" si="7"/>
        <v>0.29727919631645039</v>
      </c>
      <c r="M17" s="88">
        <f t="shared" si="7"/>
        <v>0.30397249809014515</v>
      </c>
      <c r="N17" s="88">
        <f t="shared" si="7"/>
        <v>0.30218579234972676</v>
      </c>
      <c r="O17" s="88">
        <f t="shared" si="7"/>
        <v>0.30407072368421051</v>
      </c>
      <c r="P17" s="88">
        <f t="shared" si="7"/>
        <v>0.30933884297520664</v>
      </c>
      <c r="Q17" s="88">
        <f t="shared" ref="Q17:AE17" si="8">Q15/Q16</f>
        <v>0.3089134438305709</v>
      </c>
      <c r="R17" s="88">
        <f t="shared" si="8"/>
        <v>0.31010020040080161</v>
      </c>
      <c r="S17" s="88">
        <f>S15/S16</f>
        <v>0.34559859154929579</v>
      </c>
      <c r="T17" s="88">
        <f>T15/T16</f>
        <v>0.34532297917402044</v>
      </c>
      <c r="U17" s="88">
        <f>U15/U16</f>
        <v>0.3482420019005385</v>
      </c>
      <c r="V17" s="88">
        <f>V15/V16</f>
        <v>0.34957698815566834</v>
      </c>
      <c r="W17" s="88">
        <f t="shared" si="8"/>
        <v>0.35454847277556445</v>
      </c>
      <c r="X17" s="88">
        <f t="shared" si="8"/>
        <v>0.34996673320026611</v>
      </c>
      <c r="Y17" s="88">
        <f t="shared" si="8"/>
        <v>0.35502736963411119</v>
      </c>
      <c r="Z17" s="88">
        <f t="shared" si="8"/>
        <v>0.34125269978401729</v>
      </c>
      <c r="AA17" s="88">
        <f t="shared" si="8"/>
        <v>0.34316676700782661</v>
      </c>
      <c r="AB17" s="88">
        <f t="shared" si="8"/>
        <v>0.35687847008019741</v>
      </c>
      <c r="AC17" s="88">
        <f t="shared" si="8"/>
        <v>0.35300316122233932</v>
      </c>
      <c r="AD17" s="88">
        <f t="shared" si="8"/>
        <v>0.34726962457337884</v>
      </c>
      <c r="AE17" s="88">
        <f t="shared" si="8"/>
        <v>0.3526027397260274</v>
      </c>
      <c r="AF17" s="88">
        <f t="shared" ref="AF17:AI17" si="9">AF15/AF16</f>
        <v>0.34764427097853362</v>
      </c>
      <c r="AG17" s="88">
        <f t="shared" si="9"/>
        <v>0.34713144517066086</v>
      </c>
      <c r="AH17" s="88">
        <f t="shared" si="9"/>
        <v>0.36064659977703456</v>
      </c>
      <c r="AI17" s="88">
        <f t="shared" si="9"/>
        <v>0.36324167872648333</v>
      </c>
      <c r="AJ17" s="88">
        <f>AJ15/AJ16</f>
        <v>0.3395772009633396</v>
      </c>
      <c r="AK17" s="88">
        <f>AK15/AK16</f>
        <v>0.34467386203660255</v>
      </c>
      <c r="AL17" s="88">
        <f>AL15/AL16</f>
        <v>0.31419175309891223</v>
      </c>
      <c r="AM17" s="88">
        <f>AM15/AM16</f>
        <v>0.31858407079646017</v>
      </c>
      <c r="AN17" s="89">
        <f>AN14/AN16</f>
        <v>0.32146908678389113</v>
      </c>
      <c r="AO17" s="90"/>
    </row>
    <row r="18" spans="1:42" x14ac:dyDescent="0.2">
      <c r="A18" s="87" t="s">
        <v>24</v>
      </c>
      <c r="B18" s="88">
        <f>B15/SUM(B15:E15)</f>
        <v>0.24922118380062305</v>
      </c>
      <c r="C18" s="88">
        <f>C15/SUM(B15:E15)</f>
        <v>0.24711627515365833</v>
      </c>
      <c r="D18" s="88">
        <f>D15/SUM(B15:E15)</f>
        <v>0.24017007661867473</v>
      </c>
      <c r="E18" s="91">
        <f>E15/SUM(B15:E15)</f>
        <v>0.26349246442704383</v>
      </c>
      <c r="F18" s="88">
        <f>F15/SUM(F15:I15)</f>
        <v>0.24141063759497855</v>
      </c>
      <c r="G18" s="88">
        <f>G15/SUM(F15:I15)</f>
        <v>0.2512388503468781</v>
      </c>
      <c r="H18" s="88">
        <f>H15/SUM(F15:I15)</f>
        <v>0.24083250743310211</v>
      </c>
      <c r="I18" s="91">
        <f>I15/SUM(F15:I15)</f>
        <v>0.26651800462504127</v>
      </c>
      <c r="J18" s="88">
        <f>J15/SUM(J15:M15)</f>
        <v>0.23151069050122677</v>
      </c>
      <c r="K18" s="88">
        <f>K15/SUM(J15:M15)</f>
        <v>0.24062390466175956</v>
      </c>
      <c r="L18" s="88">
        <f>L15/SUM(J15:M15)</f>
        <v>0.24893094987732214</v>
      </c>
      <c r="M18" s="91">
        <f>M15/SUM(J15:M15)</f>
        <v>0.27893445495969155</v>
      </c>
      <c r="N18" s="88">
        <f>N15/SUM(N15:Q15)</f>
        <v>0.23603769248448633</v>
      </c>
      <c r="O18" s="88">
        <f>O15/SUM(N15:Q15)</f>
        <v>0.24280132646025546</v>
      </c>
      <c r="P18" s="88">
        <f>P15/SUM(N15:Q15)</f>
        <v>0.24578914535246416</v>
      </c>
      <c r="Q18" s="91">
        <f>Q15/SUM(N15:Q15)</f>
        <v>0.27537183570279411</v>
      </c>
      <c r="R18" s="88">
        <f>R15/SUM(R15:U15)</f>
        <v>0.20185760129405933</v>
      </c>
      <c r="S18" s="88">
        <f>S15/SUM(R15:U15)</f>
        <v>0.25607242557854365</v>
      </c>
      <c r="T18" s="88">
        <f>T15/SUM(R15:U15)</f>
        <v>0.25523754859244957</v>
      </c>
      <c r="U18" s="91">
        <f>U15/SUM(R15:U15)</f>
        <v>0.28683242453494745</v>
      </c>
      <c r="V18" s="88">
        <f>V15/SUM(V15:Y15)</f>
        <v>0.23556508255039679</v>
      </c>
      <c r="W18" s="88">
        <f>W15/SUM(V15:Y15)</f>
        <v>0.24352367052814014</v>
      </c>
      <c r="X18" s="88">
        <f>X15/SUM(V15:Y15)</f>
        <v>0.23989783818297913</v>
      </c>
      <c r="Y18" s="91">
        <f>Y15/SUM(V15:Y15)</f>
        <v>0.28101340873848402</v>
      </c>
      <c r="Z18" s="88">
        <f>Z15/SUM(Z15:AC15)</f>
        <v>0.23318574741724646</v>
      </c>
      <c r="AA18" s="88">
        <f>AA15/SUM(Z15:AC15)</f>
        <v>0.24035420619860848</v>
      </c>
      <c r="AB18" s="88">
        <f>AB15/SUM(Z15:AC15)</f>
        <v>0.24393843558928949</v>
      </c>
      <c r="AC18" s="91">
        <f>AC15/SUM(Z15:AC15)</f>
        <v>0.2825216107948556</v>
      </c>
      <c r="AD18" s="88">
        <f>AD15/SUM(AD15:AG15)</f>
        <v>0.23530545384467141</v>
      </c>
      <c r="AE18" s="88">
        <f>AE15/SUM(AD15:AG15)</f>
        <v>0.248024667566005</v>
      </c>
      <c r="AF18" s="88">
        <f>AF15/SUM(AD15:AG15)</f>
        <v>0.24031605318943919</v>
      </c>
      <c r="AG18" s="91">
        <f>AG15/SUM(AD15:AG15)</f>
        <v>0.27635382539988435</v>
      </c>
      <c r="AH18" s="88"/>
      <c r="AI18" s="88"/>
      <c r="AJ18" s="88"/>
      <c r="AK18" s="91"/>
      <c r="AL18" s="88">
        <f>AL15/SUM(AL15:AM15,AN14:AO14)</f>
        <v>0.2234013850166382</v>
      </c>
      <c r="AM18" s="88">
        <f>AM15/SUM(AL15:AM15,AN14:AO14)</f>
        <v>0.24606529364151453</v>
      </c>
      <c r="AN18" s="88">
        <f>AN14/SUM(AL15:AM15,AN14:AO14)</f>
        <v>0.24466228977426027</v>
      </c>
      <c r="AO18" s="91">
        <f>AO14/SUM(AL15:AM15,AN14:AO14)</f>
        <v>0.28587103156758703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6">
        <v>842.4</v>
      </c>
      <c r="R19" s="9">
        <v>697.2</v>
      </c>
      <c r="S19" s="12">
        <v>910.1</v>
      </c>
      <c r="T19" s="12">
        <v>935.7</v>
      </c>
      <c r="U19" s="6">
        <v>1127.8</v>
      </c>
      <c r="V19" s="83">
        <v>1001.4</v>
      </c>
      <c r="W19" s="83">
        <v>1039.7</v>
      </c>
      <c r="X19" s="83">
        <v>1014.9</v>
      </c>
      <c r="Y19" s="83">
        <v>1210.8</v>
      </c>
      <c r="Z19" s="83">
        <v>1103.5</v>
      </c>
      <c r="AA19" s="63">
        <v>1134.3</v>
      </c>
      <c r="AB19" s="63">
        <v>1134.5999999999999</v>
      </c>
      <c r="AC19" s="63">
        <v>1337.5</v>
      </c>
      <c r="AD19" s="83">
        <v>1200</v>
      </c>
      <c r="AE19" s="63">
        <v>1242.7</v>
      </c>
      <c r="AF19" s="63">
        <v>1282.0999999999999</v>
      </c>
      <c r="AG19" s="63">
        <v>1458.8</v>
      </c>
      <c r="AH19" s="83">
        <v>1269.8</v>
      </c>
      <c r="AI19" s="63">
        <v>1083</v>
      </c>
      <c r="AJ19" s="63">
        <v>1206.5</v>
      </c>
      <c r="AK19" s="63">
        <v>1476.1</v>
      </c>
      <c r="AL19" s="83">
        <v>1328.4</v>
      </c>
      <c r="AM19" s="63">
        <v>1345.5</v>
      </c>
      <c r="AN19" s="84"/>
      <c r="AO19" s="13"/>
    </row>
    <row r="20" spans="1:42" x14ac:dyDescent="0.2">
      <c r="M20" s="137" t="s">
        <v>7</v>
      </c>
      <c r="N20" s="155"/>
      <c r="O20" s="7"/>
      <c r="P20" s="7"/>
      <c r="Q20" s="7">
        <f t="shared" ref="Q20:T20" si="10">IF(Q15&gt;Q19,1,0)</f>
        <v>0</v>
      </c>
      <c r="R20" s="7">
        <f t="shared" si="10"/>
        <v>1</v>
      </c>
      <c r="S20" s="7">
        <f t="shared" si="10"/>
        <v>1</v>
      </c>
      <c r="T20" s="7">
        <f t="shared" si="10"/>
        <v>1</v>
      </c>
      <c r="U20" s="7">
        <f t="shared" ref="U20:AM20" si="11">IF(U15&gt;U19,1,0)</f>
        <v>0</v>
      </c>
      <c r="V20" s="7">
        <f t="shared" si="11"/>
        <v>1</v>
      </c>
      <c r="W20" s="7">
        <f t="shared" si="11"/>
        <v>1</v>
      </c>
      <c r="X20" s="7">
        <f t="shared" si="11"/>
        <v>1</v>
      </c>
      <c r="Y20" s="7">
        <f t="shared" si="11"/>
        <v>1</v>
      </c>
      <c r="Z20" s="7">
        <f t="shared" si="11"/>
        <v>1</v>
      </c>
      <c r="AA20" s="7">
        <f t="shared" si="11"/>
        <v>1</v>
      </c>
      <c r="AB20" s="7">
        <f t="shared" si="11"/>
        <v>1</v>
      </c>
      <c r="AC20" s="7">
        <f t="shared" si="11"/>
        <v>1</v>
      </c>
      <c r="AD20" s="7">
        <f t="shared" si="11"/>
        <v>1</v>
      </c>
      <c r="AE20" s="7">
        <f t="shared" si="11"/>
        <v>1</v>
      </c>
      <c r="AF20" s="7">
        <f t="shared" si="11"/>
        <v>0</v>
      </c>
      <c r="AG20" s="7">
        <f t="shared" si="11"/>
        <v>0</v>
      </c>
      <c r="AH20" s="7">
        <f t="shared" si="11"/>
        <v>1</v>
      </c>
      <c r="AI20" s="7">
        <f t="shared" si="11"/>
        <v>0</v>
      </c>
      <c r="AJ20" s="7">
        <f t="shared" si="11"/>
        <v>1</v>
      </c>
      <c r="AK20" s="7">
        <f t="shared" si="11"/>
        <v>0</v>
      </c>
      <c r="AL20" s="7">
        <f t="shared" si="11"/>
        <v>0</v>
      </c>
      <c r="AM20" s="8">
        <f t="shared" si="11"/>
        <v>1</v>
      </c>
      <c r="AN20" s="45" t="s">
        <v>8</v>
      </c>
      <c r="AO20" s="42">
        <f>AVERAGE(O20:AM20)</f>
        <v>0.69565217391304346</v>
      </c>
    </row>
    <row r="21" spans="1:42" x14ac:dyDescent="0.2">
      <c r="M21" s="156" t="s">
        <v>9</v>
      </c>
      <c r="N21" s="157"/>
      <c r="Q21" s="6"/>
      <c r="R21" s="6"/>
      <c r="S21" s="6"/>
      <c r="T21" s="6">
        <f t="shared" ref="T21" si="12">AVERAGE(Q20:T20)</f>
        <v>0.75</v>
      </c>
      <c r="U21" s="6">
        <f t="shared" ref="U21" si="13">AVERAGE(R20:U20)</f>
        <v>0.75</v>
      </c>
      <c r="V21" s="6">
        <f t="shared" ref="V21" si="14">AVERAGE(S20:V20)</f>
        <v>0.75</v>
      </c>
      <c r="W21" s="6">
        <f t="shared" ref="W21" si="15">AVERAGE(T20:W20)</f>
        <v>0.75</v>
      </c>
      <c r="X21" s="6">
        <f t="shared" ref="X21" si="16">AVERAGE(U20:X20)</f>
        <v>0.75</v>
      </c>
      <c r="Y21" s="6">
        <f t="shared" ref="Y21:AM21" si="17">AVERAGE(V20:Y20)</f>
        <v>1</v>
      </c>
      <c r="Z21" s="6">
        <f t="shared" si="17"/>
        <v>1</v>
      </c>
      <c r="AA21" s="6">
        <f t="shared" si="17"/>
        <v>1</v>
      </c>
      <c r="AB21" s="6">
        <f t="shared" si="17"/>
        <v>1</v>
      </c>
      <c r="AC21" s="6">
        <f t="shared" si="17"/>
        <v>1</v>
      </c>
      <c r="AD21" s="6">
        <f t="shared" si="17"/>
        <v>1</v>
      </c>
      <c r="AE21" s="6">
        <f t="shared" si="17"/>
        <v>1</v>
      </c>
      <c r="AF21" s="6">
        <f t="shared" si="17"/>
        <v>0.75</v>
      </c>
      <c r="AG21" s="6">
        <f t="shared" si="17"/>
        <v>0.5</v>
      </c>
      <c r="AH21" s="6">
        <f t="shared" si="17"/>
        <v>0.5</v>
      </c>
      <c r="AI21" s="6">
        <f t="shared" si="17"/>
        <v>0.25</v>
      </c>
      <c r="AJ21" s="6">
        <f t="shared" si="17"/>
        <v>0.5</v>
      </c>
      <c r="AK21" s="6">
        <f t="shared" si="17"/>
        <v>0.5</v>
      </c>
      <c r="AL21" s="6">
        <f t="shared" si="17"/>
        <v>0.25</v>
      </c>
      <c r="AM21" s="10">
        <f t="shared" si="17"/>
        <v>0.5</v>
      </c>
      <c r="AN21" s="41" t="s">
        <v>10</v>
      </c>
      <c r="AO21" s="42">
        <f>AVERAGE(R21:AM21)</f>
        <v>0.72499999999999998</v>
      </c>
    </row>
    <row r="22" spans="1:42" x14ac:dyDescent="0.2">
      <c r="M22" s="141" t="s">
        <v>11</v>
      </c>
      <c r="N22" s="142"/>
      <c r="O22" s="18"/>
      <c r="P22" s="18"/>
      <c r="Q22" s="18">
        <f t="shared" ref="Q22:T22" si="18">Q15/Q19-1</f>
        <v>-4.3922127255460186E-3</v>
      </c>
      <c r="R22" s="18">
        <f>R15/R19-1</f>
        <v>0.1097246127366609</v>
      </c>
      <c r="S22" s="18">
        <f t="shared" si="18"/>
        <v>7.8452917261839339E-2</v>
      </c>
      <c r="T22" s="18">
        <f t="shared" si="18"/>
        <v>4.5527412632253794E-2</v>
      </c>
      <c r="U22" s="18">
        <f t="shared" ref="U22:AM22" si="19">U15/U19-1</f>
        <v>-2.5181769817343436E-2</v>
      </c>
      <c r="V22" s="18">
        <f t="shared" si="19"/>
        <v>3.1555821849410748E-2</v>
      </c>
      <c r="W22" s="18">
        <f t="shared" si="19"/>
        <v>2.7123208617870542E-2</v>
      </c>
      <c r="X22" s="18">
        <f t="shared" si="19"/>
        <v>3.6555325647847026E-2</v>
      </c>
      <c r="Y22" s="18">
        <f t="shared" si="19"/>
        <v>1.7756854971919367E-2</v>
      </c>
      <c r="Z22" s="18">
        <f t="shared" si="19"/>
        <v>2.2655188038060992E-3</v>
      </c>
      <c r="AA22" s="18">
        <f t="shared" si="19"/>
        <v>5.0251256281408363E-3</v>
      </c>
      <c r="AB22" s="18">
        <f t="shared" si="19"/>
        <v>1.9742640578177317E-2</v>
      </c>
      <c r="AC22" s="18">
        <f t="shared" si="19"/>
        <v>1.8691588785046953E-3</v>
      </c>
      <c r="AD22" s="18">
        <f t="shared" si="19"/>
        <v>1.7500000000000071E-2</v>
      </c>
      <c r="AE22" s="18">
        <f t="shared" si="19"/>
        <v>3.5648185402751942E-2</v>
      </c>
      <c r="AF22" s="18">
        <f t="shared" si="19"/>
        <v>-2.737695967553222E-2</v>
      </c>
      <c r="AG22" s="18">
        <f t="shared" si="19"/>
        <v>-1.7000274197970899E-2</v>
      </c>
      <c r="AH22" s="18">
        <f t="shared" si="19"/>
        <v>1.9058119388880135E-2</v>
      </c>
      <c r="AI22" s="18">
        <f t="shared" si="19"/>
        <v>-7.2945521698984273E-2</v>
      </c>
      <c r="AJ22" s="18">
        <f t="shared" si="19"/>
        <v>5.1802735184417692E-2</v>
      </c>
      <c r="AK22" s="18">
        <f t="shared" si="19"/>
        <v>-4.8099722241039533E-3</v>
      </c>
      <c r="AL22" s="18">
        <f t="shared" si="19"/>
        <v>-6.5040650406504086E-2</v>
      </c>
      <c r="AM22" s="40">
        <f t="shared" si="19"/>
        <v>1.6722408026755842E-2</v>
      </c>
      <c r="AN22" s="41" t="s">
        <v>13</v>
      </c>
      <c r="AO22" s="43">
        <f>MEDIAN(O22:AM22)</f>
        <v>1.7500000000000071E-2</v>
      </c>
    </row>
    <row r="23" spans="1:42" x14ac:dyDescent="0.2">
      <c r="M23" s="156" t="s">
        <v>12</v>
      </c>
      <c r="N23" s="157"/>
      <c r="Q23" s="6"/>
      <c r="R23" s="32"/>
      <c r="S23" s="32"/>
      <c r="T23" s="32">
        <f t="shared" ref="T23" si="20">AVERAGE(Q22:T22)</f>
        <v>5.7328182476302003E-2</v>
      </c>
      <c r="U23" s="32">
        <f t="shared" ref="U23" si="21">AVERAGE(R22:U22)</f>
        <v>5.2130793203352649E-2</v>
      </c>
      <c r="V23" s="32">
        <f t="shared" ref="V23" si="22">AVERAGE(S22:V22)</f>
        <v>3.2588595481540111E-2</v>
      </c>
      <c r="W23" s="32">
        <f t="shared" ref="W23" si="23">AVERAGE(T22:W22)</f>
        <v>1.9756168320547912E-2</v>
      </c>
      <c r="X23" s="32">
        <f t="shared" ref="X23" si="24">AVERAGE(U22:X22)</f>
        <v>1.751314657444622E-2</v>
      </c>
      <c r="Y23" s="32">
        <f t="shared" ref="Y23" si="25">AVERAGE(V22:Y22)</f>
        <v>2.8247802771761921E-2</v>
      </c>
      <c r="Z23" s="32">
        <f t="shared" ref="Z23:AM23" si="26">AVERAGE(W22:Z22)</f>
        <v>2.0925227010360758E-2</v>
      </c>
      <c r="AA23" s="32">
        <f t="shared" si="26"/>
        <v>1.5400706262928332E-2</v>
      </c>
      <c r="AB23" s="32">
        <f t="shared" si="26"/>
        <v>1.1197534995510905E-2</v>
      </c>
      <c r="AC23" s="32">
        <f t="shared" si="26"/>
        <v>7.225610972157237E-3</v>
      </c>
      <c r="AD23" s="32">
        <f t="shared" si="26"/>
        <v>1.103423127120573E-2</v>
      </c>
      <c r="AE23" s="32">
        <f t="shared" si="26"/>
        <v>1.8689996214858506E-2</v>
      </c>
      <c r="AF23" s="32">
        <f t="shared" si="26"/>
        <v>6.9100961514311221E-3</v>
      </c>
      <c r="AG23" s="32">
        <f t="shared" si="26"/>
        <v>2.1927378823122234E-3</v>
      </c>
      <c r="AH23" s="32">
        <f t="shared" si="26"/>
        <v>2.5822677295322394E-3</v>
      </c>
      <c r="AI23" s="32">
        <f t="shared" si="26"/>
        <v>-2.4566159045901814E-2</v>
      </c>
      <c r="AJ23" s="32">
        <f t="shared" si="26"/>
        <v>-4.7712353309143363E-3</v>
      </c>
      <c r="AK23" s="32">
        <f t="shared" si="26"/>
        <v>-1.7236598374475998E-3</v>
      </c>
      <c r="AL23" s="32">
        <f t="shared" si="26"/>
        <v>-2.2748352286293655E-2</v>
      </c>
      <c r="AM23" s="33">
        <f t="shared" si="26"/>
        <v>-3.3136985485862636E-4</v>
      </c>
      <c r="AN23" s="19" t="s">
        <v>14</v>
      </c>
      <c r="AO23" s="33">
        <f>MEDIAN(O23:AM23)</f>
        <v>1.1115883133358317E-2</v>
      </c>
    </row>
    <row r="24" spans="1:42" x14ac:dyDescent="0.2">
      <c r="M24" s="137" t="s">
        <v>25</v>
      </c>
      <c r="N24" s="155"/>
      <c r="O24" s="101">
        <f>AVERAGE(R22:T22,V22:AE22,AH22,AJ22,AM22)</f>
        <v>3.2270627850577271E-2</v>
      </c>
      <c r="P24" s="137" t="s">
        <v>29</v>
      </c>
      <c r="Q24" s="138"/>
      <c r="R24" s="46">
        <f>MEDIAN(R22:T22,V22:AE22,AH22,AJ22,AM22)</f>
        <v>2.343292459802393E-2</v>
      </c>
      <c r="AJ24" s="3"/>
      <c r="AK24" s="168" t="s">
        <v>23</v>
      </c>
      <c r="AL24" s="169"/>
      <c r="AM24" s="169"/>
      <c r="AN24" s="170"/>
      <c r="AO24" s="44">
        <f>AVERAGE(AK17:AN17)</f>
        <v>0.32472969317896655</v>
      </c>
    </row>
    <row r="25" spans="1:42" x14ac:dyDescent="0.2">
      <c r="M25" s="139" t="s">
        <v>26</v>
      </c>
      <c r="N25" s="161"/>
      <c r="O25" s="100">
        <f>AVERAGE(Q22,U22,AF22:AG22,AI22,AK22:AL22)</f>
        <v>-3.096390867799784E-2</v>
      </c>
      <c r="P25" s="139" t="s">
        <v>30</v>
      </c>
      <c r="Q25" s="140"/>
      <c r="R25" s="33">
        <f>MEDIAN(Q22,U22,AF22:AG22,AI22,AK22:AL22)</f>
        <v>-2.5181769817343436E-2</v>
      </c>
      <c r="AK25" s="171" t="s">
        <v>27</v>
      </c>
      <c r="AL25" s="172"/>
      <c r="AM25" s="172"/>
      <c r="AN25" s="172"/>
      <c r="AO25" s="46">
        <f>AVERAGE(AN18,AF18,AB18,T18,H18,P18,L18)</f>
        <v>0.2456724185440467</v>
      </c>
    </row>
    <row r="26" spans="1:42" x14ac:dyDescent="0.2">
      <c r="AK26" s="135" t="s">
        <v>28</v>
      </c>
      <c r="AL26" s="136"/>
      <c r="AM26" s="136"/>
      <c r="AN26" s="136"/>
      <c r="AO26" s="47">
        <f>_xlfn.STDEV.S(AN18,AF18,AB18,T18,L18,H18,D18)</f>
        <v>5.5380109309816575E-3</v>
      </c>
    </row>
    <row r="29" spans="1:42" ht="18" customHeight="1" x14ac:dyDescent="0.2"/>
  </sheetData>
  <mergeCells count="29">
    <mergeCell ref="B11:E11"/>
    <mergeCell ref="F11:I11"/>
    <mergeCell ref="M23:N23"/>
    <mergeCell ref="AK24:AN24"/>
    <mergeCell ref="AK25:AN25"/>
    <mergeCell ref="AK26:AN26"/>
    <mergeCell ref="P24:Q24"/>
    <mergeCell ref="P25:Q25"/>
    <mergeCell ref="M22:N22"/>
    <mergeCell ref="J11:M11"/>
    <mergeCell ref="N11:Q11"/>
    <mergeCell ref="R11:U11"/>
    <mergeCell ref="V11:Y11"/>
    <mergeCell ref="AD11:AG11"/>
    <mergeCell ref="AH11:AK11"/>
    <mergeCell ref="AL11:AO11"/>
    <mergeCell ref="M20:N20"/>
    <mergeCell ref="M21:N21"/>
    <mergeCell ref="Z11:AC11"/>
    <mergeCell ref="M24:N24"/>
    <mergeCell ref="M25:N25"/>
    <mergeCell ref="AK10:AM10"/>
    <mergeCell ref="A1:C3"/>
    <mergeCell ref="O1:P1"/>
    <mergeCell ref="T1:U1"/>
    <mergeCell ref="T2:U2"/>
    <mergeCell ref="T3:U3"/>
    <mergeCell ref="T4:U4"/>
    <mergeCell ref="L10:M10"/>
  </mergeCells>
  <conditionalFormatting sqref="O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topLeftCell="A4" zoomScale="85" zoomScaleNormal="85" workbookViewId="0">
      <selection activeCell="I25" sqref="I25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5" t="s">
        <v>76</v>
      </c>
      <c r="B4" s="175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170</v>
      </c>
      <c r="B6" t="s">
        <v>171</v>
      </c>
      <c r="C6" t="s">
        <v>168</v>
      </c>
      <c r="D6">
        <v>20170720</v>
      </c>
      <c r="E6">
        <v>1206.960926</v>
      </c>
      <c r="F6">
        <v>1216.883603</v>
      </c>
      <c r="G6">
        <v>1105.525903</v>
      </c>
      <c r="H6">
        <v>1188.375313</v>
      </c>
      <c r="I6">
        <v>472.630042</v>
      </c>
      <c r="J6">
        <v>1179.43643625</v>
      </c>
      <c r="R6">
        <v>1039.7</v>
      </c>
      <c r="S6">
        <v>1058</v>
      </c>
      <c r="T6" s="93"/>
      <c r="U6" s="92"/>
    </row>
    <row r="7" spans="1:21" x14ac:dyDescent="0.2">
      <c r="A7" t="s">
        <v>170</v>
      </c>
      <c r="B7" t="s">
        <v>171</v>
      </c>
      <c r="C7" t="s">
        <v>169</v>
      </c>
      <c r="D7">
        <v>20171019</v>
      </c>
      <c r="E7">
        <v>1203.294742</v>
      </c>
      <c r="F7">
        <v>1189.262146</v>
      </c>
      <c r="G7">
        <v>1102.62401</v>
      </c>
      <c r="H7">
        <v>1126.0553749999999</v>
      </c>
      <c r="I7">
        <v>442.14621099999999</v>
      </c>
      <c r="J7">
        <v>1155.3090682500001</v>
      </c>
      <c r="K7">
        <v>1054.7862897725656</v>
      </c>
      <c r="L7">
        <v>1033.9849656664328</v>
      </c>
      <c r="M7">
        <v>1055.2228576592656</v>
      </c>
      <c r="N7">
        <v>1002.5171119908647</v>
      </c>
      <c r="O7">
        <v>989.76080584822409</v>
      </c>
      <c r="P7">
        <v>1036.3568197832162</v>
      </c>
      <c r="Q7">
        <v>1028.7714751200949</v>
      </c>
      <c r="R7">
        <v>1014.9</v>
      </c>
      <c r="S7">
        <v>1052</v>
      </c>
      <c r="T7" s="93"/>
      <c r="U7" s="92"/>
    </row>
    <row r="8" spans="1:21" x14ac:dyDescent="0.2">
      <c r="A8" t="s">
        <v>170</v>
      </c>
      <c r="B8" t="s">
        <v>171</v>
      </c>
      <c r="C8" t="s">
        <v>167</v>
      </c>
      <c r="D8">
        <v>20180125</v>
      </c>
      <c r="E8">
        <v>1143.3169270000001</v>
      </c>
      <c r="F8">
        <v>1149.011311</v>
      </c>
      <c r="G8">
        <v>1050.678694</v>
      </c>
      <c r="H8">
        <v>1127.0460849999999</v>
      </c>
      <c r="I8">
        <v>440.64003200000002</v>
      </c>
      <c r="J8">
        <v>1117.51325425</v>
      </c>
      <c r="K8">
        <v>999.56341968624679</v>
      </c>
      <c r="L8">
        <v>1016.3948320709435</v>
      </c>
      <c r="M8">
        <v>1002.4396131987004</v>
      </c>
      <c r="N8">
        <v>1052.9255556548451</v>
      </c>
      <c r="O8">
        <v>1048.4163431268216</v>
      </c>
      <c r="P8">
        <v>1017.5839312434134</v>
      </c>
      <c r="Q8">
        <v>1022.8872824968286</v>
      </c>
      <c r="R8">
        <v>1210.8</v>
      </c>
      <c r="S8">
        <v>1220</v>
      </c>
      <c r="T8" s="93"/>
      <c r="U8" s="92"/>
    </row>
    <row r="9" spans="1:21" x14ac:dyDescent="0.2">
      <c r="A9" t="s">
        <v>170</v>
      </c>
      <c r="B9" t="s">
        <v>171</v>
      </c>
      <c r="C9" t="s">
        <v>42</v>
      </c>
      <c r="D9">
        <v>20180419</v>
      </c>
      <c r="E9">
        <v>1134.839144</v>
      </c>
      <c r="F9">
        <v>1132.21453</v>
      </c>
      <c r="G9">
        <v>1041.1932019999999</v>
      </c>
      <c r="H9">
        <v>1049.4822220000001</v>
      </c>
      <c r="I9">
        <v>425.02319299999999</v>
      </c>
      <c r="J9">
        <v>1089.4322744999999</v>
      </c>
      <c r="K9">
        <v>1210.953606112402</v>
      </c>
      <c r="L9">
        <v>1202.1654733736559</v>
      </c>
      <c r="M9">
        <v>1208.9858809300267</v>
      </c>
      <c r="N9">
        <v>1136.0390030901001</v>
      </c>
      <c r="O9">
        <v>1176.7616598666186</v>
      </c>
      <c r="P9">
        <v>1189.3437235176309</v>
      </c>
      <c r="Q9">
        <v>1187.3748911484056</v>
      </c>
      <c r="R9">
        <v>1103.5</v>
      </c>
      <c r="S9">
        <v>1106</v>
      </c>
      <c r="T9" s="9"/>
      <c r="U9" s="62"/>
    </row>
    <row r="10" spans="1:21" x14ac:dyDescent="0.2">
      <c r="A10" t="s">
        <v>170</v>
      </c>
      <c r="B10" t="s">
        <v>171</v>
      </c>
      <c r="C10" t="s">
        <v>43</v>
      </c>
      <c r="D10">
        <v>20180719</v>
      </c>
      <c r="E10">
        <v>1215.2158730000001</v>
      </c>
      <c r="F10">
        <v>1215.0097290000001</v>
      </c>
      <c r="G10">
        <v>1106.194794</v>
      </c>
      <c r="H10">
        <v>1153.991458</v>
      </c>
      <c r="I10">
        <v>448.44450499999999</v>
      </c>
      <c r="J10">
        <v>1172.6029635</v>
      </c>
      <c r="K10">
        <v>1184.3341522399937</v>
      </c>
      <c r="L10">
        <v>1186.8782149209833</v>
      </c>
      <c r="M10">
        <v>1175.0474741997018</v>
      </c>
      <c r="N10">
        <v>1216.1373730711944</v>
      </c>
      <c r="O10">
        <v>1166.9471941734719</v>
      </c>
      <c r="P10">
        <v>1190.4355213142715</v>
      </c>
      <c r="Q10">
        <v>1186.629988319936</v>
      </c>
      <c r="R10">
        <v>1134.3</v>
      </c>
      <c r="S10">
        <v>1140</v>
      </c>
      <c r="T10" s="9"/>
      <c r="U10" s="62"/>
    </row>
    <row r="11" spans="1:21" x14ac:dyDescent="0.2">
      <c r="A11" t="s">
        <v>170</v>
      </c>
      <c r="B11" t="s">
        <v>171</v>
      </c>
      <c r="C11" t="s">
        <v>44</v>
      </c>
      <c r="D11">
        <v>20181018</v>
      </c>
      <c r="E11">
        <v>1132.9308659999999</v>
      </c>
      <c r="F11">
        <v>1134.6073719999999</v>
      </c>
      <c r="G11">
        <v>1053.9801170000001</v>
      </c>
      <c r="H11">
        <v>1113.0702799999999</v>
      </c>
      <c r="I11">
        <v>437.56376399999999</v>
      </c>
      <c r="J11">
        <v>1108.64715875</v>
      </c>
      <c r="K11">
        <v>1062.8080293681285</v>
      </c>
      <c r="L11">
        <v>1064.5613555247505</v>
      </c>
      <c r="M11">
        <v>1086.1896475169997</v>
      </c>
      <c r="N11">
        <v>1099.5749668712019</v>
      </c>
      <c r="O11">
        <v>1112.3398445031678</v>
      </c>
      <c r="P11">
        <v>1077.8224175748469</v>
      </c>
      <c r="Q11">
        <v>1083.8827102265159</v>
      </c>
      <c r="R11">
        <v>1134.5999999999999</v>
      </c>
      <c r="S11">
        <v>1157</v>
      </c>
      <c r="T11" s="9"/>
      <c r="U11" s="62"/>
    </row>
    <row r="12" spans="1:21" x14ac:dyDescent="0.2">
      <c r="A12" t="s">
        <v>170</v>
      </c>
      <c r="B12" t="s">
        <v>171</v>
      </c>
      <c r="C12" t="s">
        <v>45</v>
      </c>
      <c r="D12">
        <v>20190124</v>
      </c>
      <c r="E12">
        <v>1361.7095489999999</v>
      </c>
      <c r="F12">
        <v>1367.0524800000001</v>
      </c>
      <c r="G12">
        <v>1289.261978</v>
      </c>
      <c r="H12">
        <v>1370.4552229999999</v>
      </c>
      <c r="I12">
        <v>526.61917800000003</v>
      </c>
      <c r="J12">
        <v>1347.1198075</v>
      </c>
      <c r="K12">
        <v>1390.6390897050553</v>
      </c>
      <c r="L12">
        <v>1394.0326481150346</v>
      </c>
      <c r="M12">
        <v>1415.2791731895641</v>
      </c>
      <c r="N12">
        <v>1424.5431950721029</v>
      </c>
      <c r="O12">
        <v>1392.479083222257</v>
      </c>
      <c r="P12">
        <v>1405.8734602583943</v>
      </c>
      <c r="Q12">
        <v>1403.8077749270681</v>
      </c>
      <c r="R12">
        <v>1337.5</v>
      </c>
      <c r="S12">
        <v>1340</v>
      </c>
      <c r="T12" s="9"/>
      <c r="U12" s="62"/>
    </row>
    <row r="13" spans="1:21" x14ac:dyDescent="0.2">
      <c r="A13" t="s">
        <v>170</v>
      </c>
      <c r="B13" t="s">
        <v>171</v>
      </c>
      <c r="C13" t="s">
        <v>46</v>
      </c>
      <c r="D13">
        <v>20190418</v>
      </c>
      <c r="E13">
        <v>1250.1564330000001</v>
      </c>
      <c r="F13">
        <v>1248.8337320000001</v>
      </c>
      <c r="G13">
        <v>1205.1858540000001</v>
      </c>
      <c r="H13">
        <v>1272.9651650000001</v>
      </c>
      <c r="I13">
        <v>491.07716699999997</v>
      </c>
      <c r="J13">
        <v>1244.285296</v>
      </c>
      <c r="K13">
        <v>1230.2253600631834</v>
      </c>
      <c r="L13">
        <v>1224.1206722948925</v>
      </c>
      <c r="M13">
        <v>1252.6151177321078</v>
      </c>
      <c r="N13">
        <v>1244.6764348607983</v>
      </c>
      <c r="O13">
        <v>1249.5621718128918</v>
      </c>
      <c r="P13">
        <v>1237.7089902154082</v>
      </c>
      <c r="Q13">
        <v>1239.8181244965469</v>
      </c>
      <c r="R13">
        <v>1200</v>
      </c>
      <c r="S13">
        <v>1237</v>
      </c>
      <c r="T13" s="9"/>
      <c r="U13" s="62"/>
    </row>
    <row r="14" spans="1:21" x14ac:dyDescent="0.2">
      <c r="A14" t="s">
        <v>170</v>
      </c>
      <c r="B14" t="s">
        <v>171</v>
      </c>
      <c r="C14" t="s">
        <v>47</v>
      </c>
      <c r="D14">
        <v>20190718</v>
      </c>
      <c r="E14">
        <v>1471.216052</v>
      </c>
      <c r="F14">
        <v>1456.1408960000001</v>
      </c>
      <c r="G14">
        <v>1390.544797</v>
      </c>
      <c r="H14">
        <v>1384.947897</v>
      </c>
      <c r="I14">
        <v>537.83082899999999</v>
      </c>
      <c r="J14">
        <v>1425.7124105</v>
      </c>
      <c r="K14">
        <v>1455.733225286695</v>
      </c>
      <c r="L14">
        <v>1442.3427572438443</v>
      </c>
      <c r="M14">
        <v>1427.2519945201745</v>
      </c>
      <c r="N14">
        <v>1345.8188768182042</v>
      </c>
      <c r="O14">
        <v>1354.7702483039698</v>
      </c>
      <c r="P14">
        <v>1417.3648579292542</v>
      </c>
      <c r="Q14">
        <v>1407.213660017024</v>
      </c>
      <c r="R14">
        <v>1242.7</v>
      </c>
      <c r="S14">
        <v>1302</v>
      </c>
      <c r="T14" s="9"/>
      <c r="U14" s="62"/>
    </row>
    <row r="15" spans="1:21" x14ac:dyDescent="0.2">
      <c r="A15" t="s">
        <v>170</v>
      </c>
      <c r="B15" t="s">
        <v>171</v>
      </c>
      <c r="C15" t="s">
        <v>48</v>
      </c>
      <c r="D15">
        <v>20191024</v>
      </c>
      <c r="E15">
        <v>1346.4587120000001</v>
      </c>
      <c r="F15">
        <v>1363.811989</v>
      </c>
      <c r="G15">
        <v>1285.774208</v>
      </c>
      <c r="H15">
        <v>1319.729317</v>
      </c>
      <c r="I15">
        <v>505.76670300000001</v>
      </c>
      <c r="J15">
        <v>1328.9435565000001</v>
      </c>
      <c r="K15">
        <v>1191.5919763387683</v>
      </c>
      <c r="L15">
        <v>1219.4446392899056</v>
      </c>
      <c r="M15">
        <v>1203.9008181740728</v>
      </c>
      <c r="N15">
        <v>1240.6875193327219</v>
      </c>
      <c r="O15">
        <v>1224.3780233468171</v>
      </c>
      <c r="P15">
        <v>1213.6280064758546</v>
      </c>
      <c r="Q15">
        <v>1215.6051638263566</v>
      </c>
      <c r="R15">
        <v>1282.0999999999999</v>
      </c>
      <c r="S15">
        <v>1263</v>
      </c>
      <c r="T15" s="9"/>
      <c r="U15" s="62"/>
    </row>
    <row r="16" spans="1:21" x14ac:dyDescent="0.2">
      <c r="A16" t="s">
        <v>170</v>
      </c>
      <c r="B16" t="s">
        <v>171</v>
      </c>
      <c r="C16" t="s">
        <v>49</v>
      </c>
      <c r="D16">
        <v>20200123</v>
      </c>
      <c r="E16">
        <v>1490.8458479999999</v>
      </c>
      <c r="F16">
        <v>1481.9974569999999</v>
      </c>
      <c r="G16">
        <v>1448.7374279999999</v>
      </c>
      <c r="H16">
        <v>1511.708815</v>
      </c>
      <c r="I16">
        <v>557.38085699999999</v>
      </c>
      <c r="J16">
        <v>1483.3223869999999</v>
      </c>
      <c r="K16">
        <v>1398.4374635796478</v>
      </c>
      <c r="L16">
        <v>1372.4492842766758</v>
      </c>
      <c r="M16">
        <v>1423.0767425410979</v>
      </c>
      <c r="N16">
        <v>1446.727149840985</v>
      </c>
      <c r="O16">
        <v>1391.8908030428408</v>
      </c>
      <c r="P16">
        <v>1409.7183929428984</v>
      </c>
      <c r="Q16">
        <v>1407.0499727040242</v>
      </c>
      <c r="R16">
        <v>1458.8</v>
      </c>
      <c r="S16">
        <v>1448</v>
      </c>
      <c r="T16" s="9"/>
      <c r="U16" s="62"/>
    </row>
    <row r="17" spans="1:22" x14ac:dyDescent="0.2">
      <c r="A17" t="s">
        <v>170</v>
      </c>
      <c r="B17" t="s">
        <v>171</v>
      </c>
      <c r="C17" t="s">
        <v>50</v>
      </c>
      <c r="D17">
        <v>20200423</v>
      </c>
      <c r="E17">
        <v>1270.9567790000001</v>
      </c>
      <c r="F17">
        <v>1276.0078129999999</v>
      </c>
      <c r="G17">
        <v>1254.265445</v>
      </c>
      <c r="H17">
        <v>1290.1916880000001</v>
      </c>
      <c r="I17">
        <v>495.68355600000001</v>
      </c>
      <c r="J17">
        <v>1272.85543125</v>
      </c>
      <c r="K17">
        <v>1234.430386254126</v>
      </c>
      <c r="L17">
        <v>1246.7358189427716</v>
      </c>
      <c r="M17">
        <v>1253.6270060111956</v>
      </c>
      <c r="N17">
        <v>1235.8183968279634</v>
      </c>
      <c r="O17">
        <v>1287.7187654975385</v>
      </c>
      <c r="P17">
        <v>1242.5448982655989</v>
      </c>
      <c r="Q17">
        <v>1250.1458786331991</v>
      </c>
      <c r="R17">
        <v>1269.8</v>
      </c>
      <c r="S17">
        <v>1294</v>
      </c>
      <c r="T17" s="9"/>
      <c r="U17" s="62"/>
    </row>
    <row r="18" spans="1:22" x14ac:dyDescent="0.2">
      <c r="A18" t="s">
        <v>170</v>
      </c>
      <c r="B18" t="s">
        <v>171</v>
      </c>
      <c r="C18" t="s">
        <v>51</v>
      </c>
      <c r="D18">
        <v>20200723</v>
      </c>
      <c r="E18">
        <v>1098.4012150000001</v>
      </c>
      <c r="F18">
        <v>1101.9091820000001</v>
      </c>
      <c r="G18">
        <v>1038.0696359999999</v>
      </c>
      <c r="H18">
        <v>1112.771459</v>
      </c>
      <c r="I18">
        <v>414.103701</v>
      </c>
      <c r="J18">
        <v>1087.7878730000002</v>
      </c>
      <c r="K18">
        <v>1118.3158984590459</v>
      </c>
      <c r="L18">
        <v>1117.4465132432542</v>
      </c>
      <c r="M18">
        <v>1070.9552067616755</v>
      </c>
      <c r="N18">
        <v>1116.0560723950348</v>
      </c>
      <c r="O18">
        <v>1081.0328133903236</v>
      </c>
      <c r="P18">
        <v>1105.8581148368733</v>
      </c>
      <c r="Q18">
        <v>1101.6107698477012</v>
      </c>
      <c r="R18">
        <v>1083</v>
      </c>
      <c r="S18">
        <v>1015.56</v>
      </c>
      <c r="T18" s="9"/>
      <c r="U18" s="62"/>
    </row>
    <row r="19" spans="1:22" x14ac:dyDescent="0.2">
      <c r="A19" t="s">
        <v>170</v>
      </c>
      <c r="B19" t="s">
        <v>171</v>
      </c>
      <c r="C19" t="s">
        <v>52</v>
      </c>
      <c r="D19">
        <v>20201022</v>
      </c>
      <c r="E19">
        <v>1340.173077491</v>
      </c>
      <c r="F19">
        <v>1335.5143824448689</v>
      </c>
      <c r="G19">
        <v>1288.539140897132</v>
      </c>
      <c r="H19">
        <v>1377.1045723740001</v>
      </c>
      <c r="I19">
        <v>509.21196031418629</v>
      </c>
      <c r="J19">
        <v>1335.3327933017501</v>
      </c>
      <c r="K19">
        <v>1239.0974736647206</v>
      </c>
      <c r="L19">
        <v>1230.8591382948571</v>
      </c>
      <c r="M19">
        <v>1260.5982918177674</v>
      </c>
      <c r="N19">
        <v>1256.801033319942</v>
      </c>
      <c r="O19">
        <v>1248.8062704290464</v>
      </c>
      <c r="P19">
        <v>1246.6682201792896</v>
      </c>
      <c r="Q19">
        <v>1247.1384046176038</v>
      </c>
      <c r="R19">
        <v>1206.5</v>
      </c>
      <c r="S19">
        <v>1269</v>
      </c>
      <c r="T19" s="9"/>
      <c r="U19" s="62"/>
    </row>
    <row r="20" spans="1:22" x14ac:dyDescent="0.2">
      <c r="A20" t="s">
        <v>170</v>
      </c>
      <c r="B20" t="s">
        <v>171</v>
      </c>
      <c r="C20" t="s">
        <v>53</v>
      </c>
      <c r="D20">
        <v>20210121</v>
      </c>
      <c r="E20">
        <v>1443.4225160000001</v>
      </c>
      <c r="F20">
        <v>1428.2279169999999</v>
      </c>
      <c r="G20">
        <v>1384.65113</v>
      </c>
      <c r="H20">
        <v>1481.811093</v>
      </c>
      <c r="I20">
        <v>560.43064900000002</v>
      </c>
      <c r="J20">
        <v>1434.5281640000001</v>
      </c>
      <c r="K20">
        <v>1366.766131605342</v>
      </c>
      <c r="L20">
        <v>1357.0960002355632</v>
      </c>
      <c r="M20">
        <v>1363.6545667884188</v>
      </c>
      <c r="N20">
        <v>1365.4869170721972</v>
      </c>
      <c r="O20">
        <v>1396.6413772806798</v>
      </c>
      <c r="P20">
        <v>1363.2678304970179</v>
      </c>
      <c r="Q20">
        <v>1368.8188039132031</v>
      </c>
      <c r="R20">
        <v>1476.1</v>
      </c>
      <c r="S20">
        <v>1469</v>
      </c>
    </row>
    <row r="21" spans="1:22" x14ac:dyDescent="0.2">
      <c r="A21" t="s">
        <v>170</v>
      </c>
      <c r="B21" t="s">
        <v>171</v>
      </c>
      <c r="C21" t="s">
        <v>54</v>
      </c>
      <c r="D21">
        <v>20210422</v>
      </c>
      <c r="E21">
        <v>1383.0824050000001</v>
      </c>
      <c r="F21">
        <v>1362.4191370000001</v>
      </c>
      <c r="G21">
        <v>1292.0803410000001</v>
      </c>
      <c r="H21">
        <v>1380.517437</v>
      </c>
      <c r="I21">
        <v>499.18281000000002</v>
      </c>
      <c r="J21">
        <v>1354.5248299999998</v>
      </c>
      <c r="K21">
        <v>1407.5906606856618</v>
      </c>
      <c r="L21">
        <v>1401.3125555317094</v>
      </c>
      <c r="M21">
        <v>1370.7900710910483</v>
      </c>
      <c r="N21">
        <v>1368.5820848103206</v>
      </c>
      <c r="O21">
        <v>1308.4572537181134</v>
      </c>
      <c r="P21">
        <v>1387.0741789563078</v>
      </c>
      <c r="Q21">
        <v>1373.9678007988603</v>
      </c>
      <c r="R21">
        <v>1328.4</v>
      </c>
      <c r="S21">
        <v>1242</v>
      </c>
    </row>
    <row r="22" spans="1:22" x14ac:dyDescent="0.2">
      <c r="A22" t="s">
        <v>170</v>
      </c>
      <c r="B22" t="s">
        <v>171</v>
      </c>
      <c r="C22" t="s">
        <v>55</v>
      </c>
      <c r="D22">
        <v>20210722</v>
      </c>
      <c r="E22">
        <v>1464.260847</v>
      </c>
      <c r="F22">
        <v>1479.4106839999999</v>
      </c>
      <c r="G22">
        <v>1391.5276289999999</v>
      </c>
      <c r="H22">
        <v>1376.7317499999999</v>
      </c>
      <c r="I22">
        <v>502.17540200000002</v>
      </c>
      <c r="J22">
        <v>1427.9827275</v>
      </c>
      <c r="K22">
        <v>1314.8977713833326</v>
      </c>
      <c r="L22">
        <v>1348.6511012858739</v>
      </c>
      <c r="M22">
        <v>1337.5927644564324</v>
      </c>
      <c r="N22">
        <v>1238.5941587349903</v>
      </c>
      <c r="O22">
        <v>1249.4457677418818</v>
      </c>
      <c r="P22">
        <v>1309.3555084959205</v>
      </c>
      <c r="Q22">
        <v>1299.756178683072</v>
      </c>
      <c r="R22">
        <v>1345.5</v>
      </c>
      <c r="S22">
        <v>1368</v>
      </c>
    </row>
    <row r="23" spans="1:22" x14ac:dyDescent="0.2">
      <c r="A23" t="s">
        <v>170</v>
      </c>
      <c r="B23" t="s">
        <v>171</v>
      </c>
      <c r="C23" t="s">
        <v>71</v>
      </c>
      <c r="D23" s="12">
        <v>20211021</v>
      </c>
      <c r="E23">
        <v>1411.9791135959999</v>
      </c>
      <c r="F23">
        <v>1402.847856621946</v>
      </c>
      <c r="G23">
        <v>1302.1675195940099</v>
      </c>
      <c r="H23">
        <v>1361.0283485750001</v>
      </c>
      <c r="I23">
        <v>485.8979425020421</v>
      </c>
      <c r="J23">
        <f>AVERAGE(E23:H23)</f>
        <v>1369.5057095967391</v>
      </c>
      <c r="K23" s="94">
        <f>(E23/E22)*$S21</f>
        <v>1197.6541356543094</v>
      </c>
      <c r="L23" s="94">
        <f>(F23/F22)*$S21</f>
        <v>1177.7237090201095</v>
      </c>
      <c r="M23" s="94">
        <f>(G23/G22)*$S21</f>
        <v>1162.2421471415573</v>
      </c>
      <c r="N23" s="94">
        <f t="shared" ref="N23:O23" si="0">(H23/H22)*$S21</f>
        <v>1227.8333879712952</v>
      </c>
      <c r="O23" s="94">
        <f t="shared" si="0"/>
        <v>1201.741945511573</v>
      </c>
      <c r="P23" s="94">
        <f>(J23/J22)*$S21</f>
        <v>1191.1391213372713</v>
      </c>
      <c r="Q23" s="94">
        <f>(K23/K22)*$S21</f>
        <v>1131.2563370745913</v>
      </c>
      <c r="R23" s="114">
        <f>'1. Data &amp; Confidence Interval'!AN14</f>
        <v>1360.2</v>
      </c>
      <c r="S23" s="10"/>
    </row>
    <row r="24" spans="1:22" x14ac:dyDescent="0.2">
      <c r="A24" s="173" t="s">
        <v>75</v>
      </c>
      <c r="B24" s="174"/>
      <c r="C24" s="174"/>
      <c r="D24" s="174"/>
      <c r="E24" s="103">
        <f t="shared" ref="E24:Q24" si="1">CORREL(E$8:E$22,$S$8:$S$22)</f>
        <v>0.87069769654802764</v>
      </c>
      <c r="F24" s="103">
        <f t="shared" si="1"/>
        <v>0.87331613345705816</v>
      </c>
      <c r="G24" s="104">
        <f t="shared" si="1"/>
        <v>0.8889488548336042</v>
      </c>
      <c r="H24" s="104">
        <f t="shared" si="1"/>
        <v>0.89755614467926126</v>
      </c>
      <c r="I24" s="104">
        <f t="shared" si="1"/>
        <v>0.92614730234095677</v>
      </c>
      <c r="J24" s="104">
        <f>CORREL(J$8:J$22,$S$8:$S$22)</f>
        <v>0.8924981810442284</v>
      </c>
      <c r="K24" s="103">
        <f t="shared" si="1"/>
        <v>0.65749330156684771</v>
      </c>
      <c r="L24" s="103">
        <f t="shared" si="1"/>
        <v>0.67499182332685115</v>
      </c>
      <c r="M24" s="103">
        <f t="shared" si="1"/>
        <v>0.737329266349528</v>
      </c>
      <c r="N24" s="103">
        <f t="shared" si="1"/>
        <v>0.74652764288327522</v>
      </c>
      <c r="O24" s="103">
        <f t="shared" si="1"/>
        <v>0.81345422080117213</v>
      </c>
      <c r="P24" s="103">
        <f t="shared" si="1"/>
        <v>0.71420038852666146</v>
      </c>
      <c r="Q24" s="103">
        <f t="shared" si="1"/>
        <v>0.7335093931052199</v>
      </c>
      <c r="R24" s="104">
        <f>CORREL(R$8:R$22,$S$8:$S$22)</f>
        <v>0.94481382406135539</v>
      </c>
      <c r="S24" s="5"/>
    </row>
    <row r="26" spans="1:22" x14ac:dyDescent="0.2">
      <c r="A26" s="176" t="s">
        <v>77</v>
      </c>
      <c r="B26" s="177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SYK_MEDSG</v>
      </c>
      <c r="B28" s="9" t="str">
        <f t="shared" si="2"/>
        <v>MedSurg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-0.12341818429339935</v>
      </c>
      <c r="F28" s="18">
        <f t="shared" si="3"/>
        <v>-0.13056598232427663</v>
      </c>
      <c r="G28" s="18">
        <f t="shared" si="3"/>
        <v>-4.2989407006232772E-2</v>
      </c>
      <c r="H28" s="18">
        <f t="shared" si="3"/>
        <v>-0.10970887023130205</v>
      </c>
      <c r="I28" s="18">
        <f t="shared" si="3"/>
        <v>1.2385373462992857</v>
      </c>
      <c r="J28" s="18">
        <f t="shared" si="3"/>
        <v>-0.10296140810784626</v>
      </c>
      <c r="K28" s="18"/>
      <c r="L28" s="18"/>
      <c r="M28" s="18"/>
      <c r="N28" s="18"/>
      <c r="O28" s="18"/>
      <c r="P28" s="18"/>
      <c r="Q28" s="18"/>
      <c r="R28" s="40">
        <f t="shared" si="3"/>
        <v>1.7601231124362737E-2</v>
      </c>
    </row>
    <row r="29" spans="1:22" x14ac:dyDescent="0.2">
      <c r="A29" s="9" t="str">
        <f t="shared" ref="A29:D29" si="4">A7</f>
        <v>SYK_MEDSG</v>
      </c>
      <c r="B29" s="9" t="str">
        <f t="shared" si="4"/>
        <v>MedSurg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-0.12573373481922856</v>
      </c>
      <c r="F29" s="18">
        <f t="shared" si="5"/>
        <v>-0.11541790551534126</v>
      </c>
      <c r="G29" s="18">
        <f t="shared" si="5"/>
        <v>-4.5912305138358089E-2</v>
      </c>
      <c r="H29" s="18">
        <f t="shared" si="5"/>
        <v>-6.576530483680687E-2</v>
      </c>
      <c r="I29" s="18">
        <f t="shared" si="5"/>
        <v>1.3793034381561173</v>
      </c>
      <c r="J29" s="18">
        <f t="shared" si="5"/>
        <v>-8.9421152390405045E-2</v>
      </c>
      <c r="K29" s="18">
        <f t="shared" si="5"/>
        <v>-2.6415680594088498E-3</v>
      </c>
      <c r="L29" s="18">
        <f t="shared" si="5"/>
        <v>1.7422917094308099E-2</v>
      </c>
      <c r="M29" s="18">
        <f t="shared" si="5"/>
        <v>-3.0541962163468384E-3</v>
      </c>
      <c r="N29" s="18">
        <f t="shared" si="5"/>
        <v>4.9358646767504011E-2</v>
      </c>
      <c r="O29" s="18">
        <f t="shared" si="5"/>
        <v>6.2883066074168159E-2</v>
      </c>
      <c r="P29" s="18">
        <f t="shared" si="5"/>
        <v>1.5094395982318209E-2</v>
      </c>
      <c r="Q29" s="18">
        <f t="shared" si="5"/>
        <v>2.2578896714835039E-2</v>
      </c>
      <c r="R29" s="40">
        <f t="shared" si="5"/>
        <v>3.6555325647847026E-2</v>
      </c>
    </row>
    <row r="30" spans="1:22" x14ac:dyDescent="0.2">
      <c r="A30" s="9" t="str">
        <f>A8</f>
        <v>SYK_MEDSG</v>
      </c>
      <c r="B30" s="9" t="str">
        <f t="shared" ref="B30:D31" si="6">B8</f>
        <v>MedSurg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6.7070705583981871E-2</v>
      </c>
      <c r="F30" s="18">
        <f t="shared" si="7"/>
        <v>6.1782410947911037E-2</v>
      </c>
      <c r="G30" s="18">
        <f t="shared" si="7"/>
        <v>0.16115422056897644</v>
      </c>
      <c r="H30" s="18">
        <f t="shared" si="7"/>
        <v>8.2475700183990197E-2</v>
      </c>
      <c r="I30" s="18">
        <f t="shared" si="7"/>
        <v>1.7686998715541122</v>
      </c>
      <c r="J30" s="18">
        <f t="shared" si="7"/>
        <v>9.1709646718044713E-2</v>
      </c>
      <c r="K30" s="18">
        <f t="shared" si="7"/>
        <v>0.22053286061923516</v>
      </c>
      <c r="L30" s="18">
        <f t="shared" si="7"/>
        <v>0.20032093976137522</v>
      </c>
      <c r="M30" s="18">
        <f t="shared" si="7"/>
        <v>0.21703091531576924</v>
      </c>
      <c r="N30" s="18">
        <f t="shared" si="7"/>
        <v>0.15867640731850829</v>
      </c>
      <c r="O30" s="18">
        <f t="shared" si="7"/>
        <v>0.16365984563102409</v>
      </c>
      <c r="P30" s="18">
        <f t="shared" si="7"/>
        <v>0.19891830299368918</v>
      </c>
      <c r="Q30" s="18">
        <f t="shared" si="7"/>
        <v>0.19270228584915716</v>
      </c>
      <c r="R30" s="40">
        <f t="shared" si="7"/>
        <v>7.5982821275191181E-3</v>
      </c>
      <c r="V30" s="114"/>
    </row>
    <row r="31" spans="1:22" x14ac:dyDescent="0.2">
      <c r="A31" s="9" t="str">
        <f>A9</f>
        <v>SYK_MEDSG</v>
      </c>
      <c r="B31" s="9" t="str">
        <f t="shared" si="6"/>
        <v>MedSurg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-2.5412538995041922E-2</v>
      </c>
      <c r="F31" s="18">
        <f t="shared" si="7"/>
        <v>-2.315332413195581E-2</v>
      </c>
      <c r="G31" s="18">
        <f t="shared" si="7"/>
        <v>6.2242817063648204E-2</v>
      </c>
      <c r="H31" s="18">
        <f t="shared" si="7"/>
        <v>5.3853011337623213E-2</v>
      </c>
      <c r="I31" s="18">
        <f t="shared" si="7"/>
        <v>1.602210933933669</v>
      </c>
      <c r="J31" s="18">
        <f t="shared" si="7"/>
        <v>1.5207669065618434E-2</v>
      </c>
      <c r="K31" s="18">
        <f t="shared" ref="K31:Q31" si="9">$S9/K9-1</f>
        <v>-8.667021228776961E-2</v>
      </c>
      <c r="L31" s="18">
        <f t="shared" si="9"/>
        <v>-7.9993541241693777E-2</v>
      </c>
      <c r="M31" s="18">
        <f t="shared" si="9"/>
        <v>-8.5183692013676482E-2</v>
      </c>
      <c r="N31" s="18">
        <f t="shared" si="9"/>
        <v>-2.6441876562681377E-2</v>
      </c>
      <c r="O31" s="18">
        <f t="shared" si="9"/>
        <v>-6.0132533443211567E-2</v>
      </c>
      <c r="P31" s="18">
        <f t="shared" si="9"/>
        <v>-7.0075388526986582E-2</v>
      </c>
      <c r="Q31" s="18">
        <f t="shared" si="9"/>
        <v>-6.8533444453841685E-2</v>
      </c>
      <c r="R31" s="40">
        <f>$S9/R9-1</f>
        <v>2.2655188038060992E-3</v>
      </c>
    </row>
    <row r="32" spans="1:22" x14ac:dyDescent="0.2">
      <c r="A32" s="9" t="str">
        <f t="shared" ref="A32:D32" si="10">A10</f>
        <v>SYK_MEDSG</v>
      </c>
      <c r="B32" s="9" t="str">
        <f t="shared" si="10"/>
        <v>MedSurg</v>
      </c>
      <c r="C32" s="9" t="str">
        <f t="shared" si="10"/>
        <v>2018Q2</v>
      </c>
      <c r="D32" s="9">
        <f t="shared" si="10"/>
        <v>20180719</v>
      </c>
      <c r="E32" s="18">
        <f t="shared" si="8"/>
        <v>-6.1895071214231989E-2</v>
      </c>
      <c r="F32" s="18">
        <f t="shared" ref="F32:J32" si="11">$S10/F10-1</f>
        <v>-6.1735908124567862E-2</v>
      </c>
      <c r="G32" s="18">
        <f t="shared" si="11"/>
        <v>3.0559903358214457E-2</v>
      </c>
      <c r="H32" s="18">
        <f t="shared" si="11"/>
        <v>-1.2124403437308584E-2</v>
      </c>
      <c r="I32" s="18">
        <f t="shared" si="11"/>
        <v>1.5421205685193979</v>
      </c>
      <c r="J32" s="18">
        <f t="shared" si="11"/>
        <v>-2.7803923847067757E-2</v>
      </c>
      <c r="K32" s="18">
        <f t="shared" ref="K32:Q32" si="12">$S10/K10-1</f>
        <v>-3.7433820646092353E-2</v>
      </c>
      <c r="L32" s="18">
        <f t="shared" si="12"/>
        <v>-3.9497072514810827E-2</v>
      </c>
      <c r="M32" s="18">
        <f t="shared" si="12"/>
        <v>-2.982643252228756E-2</v>
      </c>
      <c r="N32" s="18">
        <f t="shared" si="12"/>
        <v>-6.260589860742416E-2</v>
      </c>
      <c r="O32" s="18">
        <f t="shared" si="12"/>
        <v>-2.3092042474602392E-2</v>
      </c>
      <c r="P32" s="18">
        <f t="shared" si="12"/>
        <v>-4.2367285259254817E-2</v>
      </c>
      <c r="Q32" s="18">
        <f t="shared" si="12"/>
        <v>-3.9296148571094203E-2</v>
      </c>
      <c r="R32" s="40">
        <f t="shared" ref="R32:R39" si="13">$S10/R10-1</f>
        <v>5.0251256281408363E-3</v>
      </c>
    </row>
    <row r="33" spans="1:18" x14ac:dyDescent="0.2">
      <c r="A33" s="9" t="str">
        <f t="shared" ref="A33:D33" si="14">A11</f>
        <v>SYK_MEDSG</v>
      </c>
      <c r="B33" s="9" t="str">
        <f t="shared" si="14"/>
        <v>MedSurg</v>
      </c>
      <c r="C33" s="9" t="str">
        <f t="shared" si="14"/>
        <v>2018Q3</v>
      </c>
      <c r="D33" s="9">
        <f t="shared" si="14"/>
        <v>20181018</v>
      </c>
      <c r="E33" s="18">
        <f t="shared" si="8"/>
        <v>2.1245015668943878E-2</v>
      </c>
      <c r="F33" s="18">
        <f t="shared" ref="F33:J33" si="15">$S11/F11-1</f>
        <v>1.9736014900491927E-2</v>
      </c>
      <c r="G33" s="18">
        <f t="shared" si="15"/>
        <v>9.7743668346639057E-2</v>
      </c>
      <c r="H33" s="18">
        <f t="shared" si="15"/>
        <v>3.9467157455681967E-2</v>
      </c>
      <c r="I33" s="18">
        <f t="shared" si="15"/>
        <v>1.644186048276155</v>
      </c>
      <c r="J33" s="18">
        <f t="shared" si="15"/>
        <v>4.361427426965836E-2</v>
      </c>
      <c r="K33" s="18">
        <f t="shared" ref="K33:Q33" si="16">$S11/K11-1</f>
        <v>8.8625573037749428E-2</v>
      </c>
      <c r="L33" s="18">
        <f t="shared" si="16"/>
        <v>8.6832613259462121E-2</v>
      </c>
      <c r="M33" s="18">
        <f t="shared" si="16"/>
        <v>6.5191518483785016E-2</v>
      </c>
      <c r="N33" s="18">
        <f t="shared" si="16"/>
        <v>5.2224754890699998E-2</v>
      </c>
      <c r="O33" s="18">
        <f t="shared" si="16"/>
        <v>4.0149739953601937E-2</v>
      </c>
      <c r="P33" s="18">
        <f t="shared" si="16"/>
        <v>7.3460693648687014E-2</v>
      </c>
      <c r="Q33" s="18">
        <f t="shared" si="16"/>
        <v>6.7458673418827386E-2</v>
      </c>
      <c r="R33" s="40">
        <f t="shared" si="13"/>
        <v>1.9742640578177317E-2</v>
      </c>
    </row>
    <row r="34" spans="1:18" x14ac:dyDescent="0.2">
      <c r="A34" s="9" t="str">
        <f t="shared" ref="A34:D34" si="17">A12</f>
        <v>SYK_MEDSG</v>
      </c>
      <c r="B34" s="9" t="str">
        <f t="shared" si="17"/>
        <v>MedSurg</v>
      </c>
      <c r="C34" s="9" t="str">
        <f t="shared" si="17"/>
        <v>2018Q4</v>
      </c>
      <c r="D34" s="9">
        <f t="shared" si="17"/>
        <v>20190124</v>
      </c>
      <c r="E34" s="18">
        <f t="shared" si="8"/>
        <v>-1.5942863157523468E-2</v>
      </c>
      <c r="F34" s="18">
        <f t="shared" ref="F34:J34" si="18">$S12/F12-1</f>
        <v>-1.9788911103105655E-2</v>
      </c>
      <c r="G34" s="18">
        <f t="shared" si="18"/>
        <v>3.9354315000205586E-2</v>
      </c>
      <c r="H34" s="18">
        <f t="shared" si="18"/>
        <v>-2.2222705630127626E-2</v>
      </c>
      <c r="I34" s="18">
        <f t="shared" si="18"/>
        <v>1.5445332338428432</v>
      </c>
      <c r="J34" s="18">
        <f t="shared" si="18"/>
        <v>-5.2852073441136405E-3</v>
      </c>
      <c r="K34" s="18">
        <f t="shared" ref="K34:Q34" si="19">$S12/K12-1</f>
        <v>-3.6414257358316826E-2</v>
      </c>
      <c r="L34" s="18">
        <f t="shared" si="19"/>
        <v>-3.8759958877645939E-2</v>
      </c>
      <c r="M34" s="18">
        <f t="shared" si="19"/>
        <v>-5.3190334893369551E-2</v>
      </c>
      <c r="N34" s="18">
        <f t="shared" si="19"/>
        <v>-5.93475826949732E-2</v>
      </c>
      <c r="O34" s="18">
        <f t="shared" si="19"/>
        <v>-3.7687519945231895E-2</v>
      </c>
      <c r="P34" s="18">
        <f t="shared" si="19"/>
        <v>-4.6855895726409802E-2</v>
      </c>
      <c r="Q34" s="18">
        <f t="shared" si="19"/>
        <v>-4.5453356269082534E-2</v>
      </c>
      <c r="R34" s="40">
        <f t="shared" si="13"/>
        <v>1.8691588785046953E-3</v>
      </c>
    </row>
    <row r="35" spans="1:18" x14ac:dyDescent="0.2">
      <c r="A35" s="9" t="str">
        <f t="shared" ref="A35:D35" si="20">A13</f>
        <v>SYK_MEDSG</v>
      </c>
      <c r="B35" s="9" t="str">
        <f t="shared" si="20"/>
        <v>MedSurg</v>
      </c>
      <c r="C35" s="9" t="str">
        <f t="shared" si="20"/>
        <v>2019Q1</v>
      </c>
      <c r="D35" s="9">
        <f t="shared" si="20"/>
        <v>20190418</v>
      </c>
      <c r="E35" s="18">
        <f t="shared" si="8"/>
        <v>-1.0523829380638894E-2</v>
      </c>
      <c r="F35" s="18">
        <f t="shared" ref="F35:J35" si="21">$S13/F13-1</f>
        <v>-9.4758266827469351E-3</v>
      </c>
      <c r="G35" s="18">
        <f t="shared" si="21"/>
        <v>2.6397709444073714E-2</v>
      </c>
      <c r="H35" s="18">
        <f t="shared" si="21"/>
        <v>-2.8253062997210976E-2</v>
      </c>
      <c r="I35" s="18">
        <f t="shared" si="21"/>
        <v>1.5189523828950491</v>
      </c>
      <c r="J35" s="18">
        <f t="shared" si="21"/>
        <v>-5.855004494081939E-3</v>
      </c>
      <c r="K35" s="18">
        <f t="shared" ref="K35:Q35" si="22">$S13/K13-1</f>
        <v>5.5068283883115132E-3</v>
      </c>
      <c r="L35" s="18">
        <f t="shared" si="22"/>
        <v>1.0521289278582424E-2</v>
      </c>
      <c r="M35" s="18">
        <f t="shared" si="22"/>
        <v>-1.2466014110047996E-2</v>
      </c>
      <c r="N35" s="18">
        <f t="shared" si="22"/>
        <v>-6.1674139927432314E-3</v>
      </c>
      <c r="O35" s="18">
        <f t="shared" si="22"/>
        <v>-1.0053258730349013E-2</v>
      </c>
      <c r="P35" s="18">
        <f t="shared" si="22"/>
        <v>-5.7282464699948132E-4</v>
      </c>
      <c r="Q35" s="18">
        <f t="shared" si="22"/>
        <v>-2.2730144372516969E-3</v>
      </c>
      <c r="R35" s="40">
        <f t="shared" si="13"/>
        <v>3.0833333333333268E-2</v>
      </c>
    </row>
    <row r="36" spans="1:18" x14ac:dyDescent="0.2">
      <c r="A36" s="9" t="str">
        <f t="shared" ref="A36:D36" si="23">A14</f>
        <v>SYK_MEDSG</v>
      </c>
      <c r="B36" s="9" t="str">
        <f t="shared" si="23"/>
        <v>MedSurg</v>
      </c>
      <c r="C36" s="9" t="str">
        <f t="shared" si="23"/>
        <v>2019Q2</v>
      </c>
      <c r="D36" s="9">
        <f t="shared" si="23"/>
        <v>20190718</v>
      </c>
      <c r="E36" s="18">
        <f t="shared" si="8"/>
        <v>-0.11501781248917475</v>
      </c>
      <c r="F36" s="18">
        <f t="shared" ref="F36:J36" si="24">$S14/F14-1</f>
        <v>-0.10585575641987888</v>
      </c>
      <c r="G36" s="18">
        <f>$S14/G14-1</f>
        <v>-6.3676335484501467E-2</v>
      </c>
      <c r="H36" s="18">
        <f t="shared" si="24"/>
        <v>-5.9892431462351237E-2</v>
      </c>
      <c r="I36" s="18">
        <f t="shared" si="24"/>
        <v>1.4208355672374444</v>
      </c>
      <c r="J36" s="18">
        <f t="shared" si="24"/>
        <v>-8.6772345943607165E-2</v>
      </c>
      <c r="K36" s="18">
        <f t="shared" ref="K36:Q36" si="25">$S14/K14-1</f>
        <v>-0.10560535585523811</v>
      </c>
      <c r="L36" s="18">
        <f t="shared" si="25"/>
        <v>-9.7301946114406013E-2</v>
      </c>
      <c r="M36" s="18">
        <f t="shared" si="25"/>
        <v>-8.7757449280904898E-2</v>
      </c>
      <c r="N36" s="18">
        <f t="shared" si="25"/>
        <v>-3.2559267500988809E-2</v>
      </c>
      <c r="O36" s="18">
        <f t="shared" si="25"/>
        <v>-3.8951437241873776E-2</v>
      </c>
      <c r="P36" s="18">
        <f t="shared" si="25"/>
        <v>-8.1393903118072375E-2</v>
      </c>
      <c r="Q36" s="18">
        <f t="shared" si="25"/>
        <v>-7.4767366894200826E-2</v>
      </c>
      <c r="R36" s="40">
        <f t="shared" si="13"/>
        <v>4.7718677074112703E-2</v>
      </c>
    </row>
    <row r="37" spans="1:18" x14ac:dyDescent="0.2">
      <c r="A37" s="9" t="str">
        <f t="shared" ref="A37:D37" si="26">A15</f>
        <v>SYK_MEDSG</v>
      </c>
      <c r="B37" s="9" t="str">
        <f t="shared" si="26"/>
        <v>MedSurg</v>
      </c>
      <c r="C37" s="9" t="str">
        <f t="shared" si="26"/>
        <v>2019Q3</v>
      </c>
      <c r="D37" s="9">
        <f t="shared" si="26"/>
        <v>20191024</v>
      </c>
      <c r="E37" s="18">
        <f t="shared" si="8"/>
        <v>-6.1983862747660767E-2</v>
      </c>
      <c r="F37" s="18">
        <f t="shared" ref="F37:J37" si="27">$S15/F15-1</f>
        <v>-7.3919271727416969E-2</v>
      </c>
      <c r="G37" s="18">
        <f>$S15/G15-1</f>
        <v>-1.7712447378630314E-2</v>
      </c>
      <c r="H37" s="18">
        <f t="shared" si="27"/>
        <v>-4.2985570047770705E-2</v>
      </c>
      <c r="I37" s="18">
        <f t="shared" si="27"/>
        <v>1.4971987924638053</v>
      </c>
      <c r="J37" s="18">
        <f t="shared" si="27"/>
        <v>-4.9621036331801593E-2</v>
      </c>
      <c r="K37" s="18">
        <f t="shared" ref="K37:Q37" si="28">$S15/K15-1</f>
        <v>5.9926573088077362E-2</v>
      </c>
      <c r="L37" s="18">
        <f t="shared" si="28"/>
        <v>3.5717374374171884E-2</v>
      </c>
      <c r="M37" s="18">
        <f t="shared" si="28"/>
        <v>4.9089743053386536E-2</v>
      </c>
      <c r="N37" s="18">
        <f t="shared" si="28"/>
        <v>1.798396479339015E-2</v>
      </c>
      <c r="O37" s="18">
        <f t="shared" si="28"/>
        <v>3.1544160313830449E-2</v>
      </c>
      <c r="P37" s="18">
        <f t="shared" si="28"/>
        <v>4.0681323486850163E-2</v>
      </c>
      <c r="Q37" s="18">
        <f t="shared" si="28"/>
        <v>3.8988676244561926E-2</v>
      </c>
      <c r="R37" s="40">
        <f t="shared" si="13"/>
        <v>-1.4897433897511858E-2</v>
      </c>
    </row>
    <row r="38" spans="1:18" x14ac:dyDescent="0.2">
      <c r="A38" s="9" t="str">
        <f t="shared" ref="A38:D38" si="29">A16</f>
        <v>SYK_MEDSG</v>
      </c>
      <c r="B38" s="9" t="str">
        <f t="shared" si="29"/>
        <v>MedSurg</v>
      </c>
      <c r="C38" s="9" t="str">
        <f t="shared" si="29"/>
        <v>2019Q4</v>
      </c>
      <c r="D38" s="9">
        <f t="shared" si="29"/>
        <v>20200123</v>
      </c>
      <c r="E38" s="18">
        <f t="shared" si="8"/>
        <v>-2.8739287873041031E-2</v>
      </c>
      <c r="F38" s="18">
        <f t="shared" ref="F38:J38" si="30">$S16/F16-1</f>
        <v>-2.2940293749775242E-2</v>
      </c>
      <c r="G38" s="18">
        <f t="shared" si="30"/>
        <v>-5.0901425320248883E-4</v>
      </c>
      <c r="H38" s="18">
        <f t="shared" si="30"/>
        <v>-4.2143575778513909E-2</v>
      </c>
      <c r="I38" s="18">
        <f t="shared" si="30"/>
        <v>1.5978646051706797</v>
      </c>
      <c r="J38" s="18">
        <f t="shared" si="30"/>
        <v>-2.3813020897931025E-2</v>
      </c>
      <c r="K38" s="18">
        <f t="shared" ref="K38:Q38" si="31">$S16/K16-1</f>
        <v>3.5441367748747732E-2</v>
      </c>
      <c r="L38" s="18">
        <f t="shared" si="31"/>
        <v>5.504809291597379E-2</v>
      </c>
      <c r="M38" s="18">
        <f t="shared" si="31"/>
        <v>1.7513642598359302E-2</v>
      </c>
      <c r="N38" s="18">
        <f t="shared" si="31"/>
        <v>8.7981355651955973E-4</v>
      </c>
      <c r="O38" s="18">
        <f t="shared" si="31"/>
        <v>4.0311493426422373E-2</v>
      </c>
      <c r="P38" s="18">
        <f t="shared" si="31"/>
        <v>2.7155499459140753E-2</v>
      </c>
      <c r="Q38" s="18">
        <f t="shared" si="31"/>
        <v>2.9103463338462143E-2</v>
      </c>
      <c r="R38" s="40">
        <f t="shared" si="13"/>
        <v>-7.4033452152453272E-3</v>
      </c>
    </row>
    <row r="39" spans="1:18" x14ac:dyDescent="0.2">
      <c r="A39" s="9" t="str">
        <f t="shared" ref="A39:D39" si="32">A17</f>
        <v>SYK_MEDSG</v>
      </c>
      <c r="B39" s="9" t="str">
        <f t="shared" si="32"/>
        <v>MedSurg</v>
      </c>
      <c r="C39" s="9" t="str">
        <f t="shared" si="32"/>
        <v>2020Q1</v>
      </c>
      <c r="D39" s="9">
        <f t="shared" si="32"/>
        <v>20200423</v>
      </c>
      <c r="E39" s="18">
        <f t="shared" si="8"/>
        <v>1.8130609459536817E-2</v>
      </c>
      <c r="F39" s="18">
        <f t="shared" ref="F39:J39" si="33">$S17/F17-1</f>
        <v>1.4100373694185153E-2</v>
      </c>
      <c r="G39" s="18">
        <f t="shared" ref="G39:G44" si="34">$S17/G17-1</f>
        <v>3.1679542124354754E-2</v>
      </c>
      <c r="H39" s="18">
        <f t="shared" si="33"/>
        <v>2.9517412299433499E-3</v>
      </c>
      <c r="I39" s="18">
        <f t="shared" si="33"/>
        <v>1.6105364689564161</v>
      </c>
      <c r="J39" s="18">
        <f t="shared" si="33"/>
        <v>1.6611916978847452E-2</v>
      </c>
      <c r="K39" s="18">
        <f t="shared" ref="K39:Q39" si="35">$S17/K17-1</f>
        <v>4.8256762316616131E-2</v>
      </c>
      <c r="L39" s="18">
        <f t="shared" si="35"/>
        <v>3.7910341821500104E-2</v>
      </c>
      <c r="M39" s="18">
        <f t="shared" si="35"/>
        <v>3.2204949155701046E-2</v>
      </c>
      <c r="N39" s="18">
        <f t="shared" si="35"/>
        <v>4.707941176581798E-2</v>
      </c>
      <c r="O39" s="18">
        <f t="shared" si="35"/>
        <v>4.8777999286471196E-3</v>
      </c>
      <c r="P39" s="18">
        <f t="shared" si="35"/>
        <v>4.141106032162245E-2</v>
      </c>
      <c r="Q39" s="18">
        <f t="shared" si="35"/>
        <v>3.5079203248461921E-2</v>
      </c>
      <c r="R39" s="40">
        <f t="shared" si="13"/>
        <v>1.9058119388880135E-2</v>
      </c>
    </row>
    <row r="40" spans="1:18" x14ac:dyDescent="0.2">
      <c r="A40" s="9" t="str">
        <f t="shared" ref="A40:D40" si="36">A18</f>
        <v>SYK_MEDSG</v>
      </c>
      <c r="B40" s="9" t="str">
        <f t="shared" si="36"/>
        <v>MedSurg</v>
      </c>
      <c r="C40" s="9" t="str">
        <f t="shared" si="36"/>
        <v>2020Q2</v>
      </c>
      <c r="D40" s="9">
        <f t="shared" si="36"/>
        <v>20200723</v>
      </c>
      <c r="E40" s="18">
        <f t="shared" si="8"/>
        <v>-7.5419813697129023E-2</v>
      </c>
      <c r="F40" s="18">
        <f t="shared" ref="F40:J40" si="37">$S18/F18-1</f>
        <v>-7.8363247543934311E-2</v>
      </c>
      <c r="G40" s="18">
        <f t="shared" si="34"/>
        <v>-2.1684129098252569E-2</v>
      </c>
      <c r="H40" s="18">
        <f t="shared" si="37"/>
        <v>-8.7359770250901136E-2</v>
      </c>
      <c r="I40" s="18">
        <f t="shared" si="37"/>
        <v>1.4524291802936578</v>
      </c>
      <c r="J40" s="18">
        <f t="shared" si="37"/>
        <v>-6.6398858447284992E-2</v>
      </c>
      <c r="K40" s="18">
        <f t="shared" ref="K40:Q40" si="38">$S18/K18-1</f>
        <v>-9.1884501150914288E-2</v>
      </c>
      <c r="L40" s="18">
        <f t="shared" si="38"/>
        <v>-9.1177977680149458E-2</v>
      </c>
      <c r="M40" s="18">
        <f t="shared" si="38"/>
        <v>-5.1725045465886521E-2</v>
      </c>
      <c r="N40" s="18">
        <f t="shared" si="38"/>
        <v>-9.004571981708076E-2</v>
      </c>
      <c r="O40" s="18">
        <f t="shared" si="38"/>
        <v>-6.0565056471309608E-2</v>
      </c>
      <c r="P40" s="18">
        <f t="shared" si="38"/>
        <v>-8.1654340304039175E-2</v>
      </c>
      <c r="Q40" s="18">
        <f t="shared" si="38"/>
        <v>-7.8113588032184822E-2</v>
      </c>
      <c r="R40" s="40">
        <f t="shared" ref="R40" si="39">$S18/R18-1</f>
        <v>-6.2271468144044384E-2</v>
      </c>
    </row>
    <row r="41" spans="1:18" x14ac:dyDescent="0.2">
      <c r="A41" s="9" t="str">
        <f t="shared" ref="A41:D41" si="40">A19</f>
        <v>SYK_MEDSG</v>
      </c>
      <c r="B41" s="9" t="str">
        <f t="shared" si="40"/>
        <v>MedSurg</v>
      </c>
      <c r="C41" s="9" t="str">
        <f t="shared" si="40"/>
        <v>2020Q3</v>
      </c>
      <c r="D41" s="9">
        <f t="shared" si="40"/>
        <v>20201022</v>
      </c>
      <c r="E41" s="18">
        <f t="shared" si="8"/>
        <v>-5.3107377462205396E-2</v>
      </c>
      <c r="F41" s="18">
        <f t="shared" ref="F41:I41" si="41">$S19/F19-1</f>
        <v>-4.9804317586684355E-2</v>
      </c>
      <c r="G41" s="18">
        <f t="shared" si="34"/>
        <v>-1.5163793071530707E-2</v>
      </c>
      <c r="H41" s="18">
        <f t="shared" si="41"/>
        <v>-7.8501353159867837E-2</v>
      </c>
      <c r="I41" s="18">
        <f t="shared" si="41"/>
        <v>1.4920860052403735</v>
      </c>
      <c r="J41" s="18">
        <f>$S19/J19-1</f>
        <v>-4.967510244224238E-2</v>
      </c>
      <c r="K41" s="18">
        <f t="shared" ref="K41:Q41" si="42">$S19/K19-1</f>
        <v>2.4132505287772554E-2</v>
      </c>
      <c r="L41" s="18">
        <f t="shared" si="42"/>
        <v>3.0987186525649468E-2</v>
      </c>
      <c r="M41" s="18">
        <f t="shared" si="42"/>
        <v>6.6648576606569421E-3</v>
      </c>
      <c r="N41" s="18">
        <f t="shared" si="42"/>
        <v>9.706362707097238E-3</v>
      </c>
      <c r="O41" s="18">
        <f t="shared" si="42"/>
        <v>1.6170426149458406E-2</v>
      </c>
      <c r="P41" s="18">
        <f t="shared" si="42"/>
        <v>1.7913170047359372E-2</v>
      </c>
      <c r="Q41" s="18">
        <f t="shared" si="42"/>
        <v>1.7529405959637145E-2</v>
      </c>
      <c r="R41" s="40">
        <f>$S19/R19-1</f>
        <v>5.1802735184417692E-2</v>
      </c>
    </row>
    <row r="42" spans="1:18" x14ac:dyDescent="0.2">
      <c r="A42" s="9" t="str">
        <f t="shared" ref="A42:D42" si="43">A20</f>
        <v>SYK_MEDSG</v>
      </c>
      <c r="B42" s="9" t="str">
        <f t="shared" si="43"/>
        <v>MedSurg</v>
      </c>
      <c r="C42" s="9" t="str">
        <f t="shared" si="43"/>
        <v>2020Q4</v>
      </c>
      <c r="D42" s="9">
        <f t="shared" si="43"/>
        <v>20210121</v>
      </c>
      <c r="E42" s="18">
        <f t="shared" ref="E42:I42" si="44">$S20/E20-1</f>
        <v>1.7720025644937243E-2</v>
      </c>
      <c r="F42" s="18">
        <f t="shared" si="44"/>
        <v>2.8547322534936859E-2</v>
      </c>
      <c r="G42" s="18">
        <f t="shared" si="34"/>
        <v>6.0917055691855015E-2</v>
      </c>
      <c r="H42" s="18">
        <f t="shared" si="44"/>
        <v>-8.6455642426480628E-3</v>
      </c>
      <c r="I42" s="18">
        <f t="shared" si="44"/>
        <v>1.6211985419091524</v>
      </c>
      <c r="J42" s="18">
        <f>$S20/J20-1</f>
        <v>2.4030086592290889E-2</v>
      </c>
      <c r="K42" s="18">
        <f t="shared" ref="K42:Q42" si="45">$S20/K20-1</f>
        <v>7.4799825683841581E-2</v>
      </c>
      <c r="L42" s="18">
        <f t="shared" si="45"/>
        <v>8.2458425745129738E-2</v>
      </c>
      <c r="M42" s="18">
        <f t="shared" si="45"/>
        <v>7.7252286449407181E-2</v>
      </c>
      <c r="N42" s="18">
        <f t="shared" si="45"/>
        <v>7.5806718931990869E-2</v>
      </c>
      <c r="O42" s="18">
        <f t="shared" si="45"/>
        <v>5.1809021196411509E-2</v>
      </c>
      <c r="P42" s="18">
        <f t="shared" si="45"/>
        <v>7.7557884912779373E-2</v>
      </c>
      <c r="Q42" s="18">
        <f t="shared" si="45"/>
        <v>7.3188062437772761E-2</v>
      </c>
      <c r="R42" s="40">
        <f>$S20/R20-1</f>
        <v>-4.8099722241039533E-3</v>
      </c>
    </row>
    <row r="43" spans="1:18" x14ac:dyDescent="0.2">
      <c r="A43" s="9" t="str">
        <f t="shared" ref="A43:D43" si="46">A21</f>
        <v>SYK_MEDSG</v>
      </c>
      <c r="B43" s="9" t="str">
        <f t="shared" si="46"/>
        <v>MedSurg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-0.10200578395760884</v>
      </c>
      <c r="F43" s="18">
        <f t="shared" si="47"/>
        <v>-8.8386263617199923E-2</v>
      </c>
      <c r="G43" s="18">
        <f t="shared" si="34"/>
        <v>-3.8759463642361935E-2</v>
      </c>
      <c r="H43" s="18">
        <f t="shared" si="47"/>
        <v>-0.10033733242878262</v>
      </c>
      <c r="I43" s="18">
        <f t="shared" si="47"/>
        <v>1.4880664460380757</v>
      </c>
      <c r="J43" s="18">
        <f t="shared" si="47"/>
        <v>-8.3073287036015353E-2</v>
      </c>
      <c r="K43" s="18">
        <f t="shared" ref="K43:Q43" si="48">$S21/K21-1</f>
        <v>-0.11764120444291648</v>
      </c>
      <c r="L43" s="18">
        <f t="shared" si="48"/>
        <v>-0.11368809542369396</v>
      </c>
      <c r="M43" s="18">
        <f t="shared" si="48"/>
        <v>-9.3953168911225626E-2</v>
      </c>
      <c r="N43" s="18">
        <f t="shared" si="48"/>
        <v>-9.2491408601088287E-2</v>
      </c>
      <c r="O43" s="18">
        <f t="shared" si="48"/>
        <v>-5.0790542472265221E-2</v>
      </c>
      <c r="P43" s="18">
        <f t="shared" si="48"/>
        <v>-0.10459006530239623</v>
      </c>
      <c r="Q43" s="18">
        <f t="shared" si="48"/>
        <v>-9.6048685218191321E-2</v>
      </c>
      <c r="R43" s="40">
        <f>$S21/R21-1</f>
        <v>-6.5040650406504086E-2</v>
      </c>
    </row>
    <row r="44" spans="1:18" x14ac:dyDescent="0.2">
      <c r="A44" s="9" t="str">
        <f t="shared" ref="A44:D44" si="49">A22</f>
        <v>SYK_MEDSG</v>
      </c>
      <c r="B44" s="9" t="str">
        <f t="shared" si="49"/>
        <v>MedSurg</v>
      </c>
      <c r="C44" s="9" t="str">
        <f t="shared" si="49"/>
        <v>2021Q2</v>
      </c>
      <c r="D44" s="9">
        <f t="shared" si="49"/>
        <v>20210722</v>
      </c>
      <c r="E44" s="18">
        <f>$S22/E22-1</f>
        <v>-6.5740231460276188E-2</v>
      </c>
      <c r="F44" s="18">
        <f t="shared" ref="F44:J44" si="50">$S22/F22-1</f>
        <v>-7.530747560830775E-2</v>
      </c>
      <c r="G44" s="18">
        <f t="shared" si="34"/>
        <v>-1.6907769928296457E-2</v>
      </c>
      <c r="H44" s="18">
        <f t="shared" si="50"/>
        <v>-6.3423757024561045E-3</v>
      </c>
      <c r="I44" s="18">
        <f t="shared" si="50"/>
        <v>1.7241477669987506</v>
      </c>
      <c r="J44" s="18">
        <f t="shared" si="50"/>
        <v>-4.2005219212289169E-2</v>
      </c>
      <c r="K44" s="18">
        <f t="shared" ref="K44:Q44" si="51">$S22/K22-1</f>
        <v>4.0385062453031084E-2</v>
      </c>
      <c r="L44" s="18">
        <f t="shared" si="51"/>
        <v>1.434685271504077E-2</v>
      </c>
      <c r="M44" s="18">
        <f t="shared" si="51"/>
        <v>2.2732805044683779E-2</v>
      </c>
      <c r="N44" s="18">
        <f t="shared" si="51"/>
        <v>0.10447800060447188</v>
      </c>
      <c r="O44" s="18">
        <f t="shared" si="51"/>
        <v>9.4885456671225388E-2</v>
      </c>
      <c r="P44" s="18">
        <f t="shared" si="51"/>
        <v>4.478882253410732E-2</v>
      </c>
      <c r="Q44" s="18">
        <f t="shared" si="51"/>
        <v>5.2505094752520076E-2</v>
      </c>
      <c r="R44" s="40">
        <f>$S22/R22-1</f>
        <v>1.6722408026755842E-2</v>
      </c>
    </row>
    <row r="45" spans="1:18" x14ac:dyDescent="0.2">
      <c r="A45" s="182" t="s">
        <v>78</v>
      </c>
      <c r="B45" s="182"/>
      <c r="C45" s="178"/>
      <c r="D45" s="179"/>
      <c r="E45" s="73" cm="1">
        <f t="array" ref="E45">SUM(ABS(E28:E44))/COUNT(E28:E44)</f>
        <v>5.8182749876738826E-2</v>
      </c>
      <c r="F45" s="105" cm="1">
        <f t="array" ref="F45">SUM(ABS(F28:F44))/COUNT(F28:F44)</f>
        <v>5.7581212130159799E-2</v>
      </c>
      <c r="G45" s="107" cm="1">
        <f t="array" ref="G45">SUM(ABS(G28:G44))/COUNT(G28:G44)</f>
        <v>4.5491993917607887E-2</v>
      </c>
      <c r="H45" s="105" cm="1">
        <f t="array" ref="H45">SUM(ABS(H28:H44))/COUNT(H28:H44)</f>
        <v>4.9589995906663908E-2</v>
      </c>
      <c r="I45" s="105" cm="1">
        <f t="array" ref="I45">SUM(ABS(I28:I44))/COUNT(I28:I44)</f>
        <v>1.5378180704579401</v>
      </c>
      <c r="J45" s="107" cm="1">
        <f t="array" ref="J45">SUM(ABS(J28:J44))/COUNT(J28:J44)</f>
        <v>4.8462303536420365E-2</v>
      </c>
      <c r="K45" s="105" cm="1">
        <f t="array" ref="K45">SUM(ABS(K28:K44))/COUNT(K28:K44)</f>
        <v>6.7243642401502449E-2</v>
      </c>
      <c r="L45" s="105" cm="1">
        <f t="array" ref="L45">SUM(ABS(L28:L44))/COUNT(L28:L44)</f>
        <v>6.4499039083974599E-2</v>
      </c>
      <c r="M45" s="105" cm="1">
        <f t="array" ref="M45">SUM(ABS(M28:M44))/COUNT(M28:M44)</f>
        <v>5.6552315698468407E-2</v>
      </c>
      <c r="N45" s="105" cm="1">
        <f t="array" ref="N45">SUM(ABS(N28:N44))/COUNT(N28:N44)</f>
        <v>5.5365828069561238E-2</v>
      </c>
      <c r="O45" s="105" cm="1">
        <f t="array" ref="O45">SUM(ABS(O28:O44))/COUNT(O28:O44)</f>
        <v>4.9222712507727057E-2</v>
      </c>
      <c r="P45" s="105" cm="1">
        <f t="array" ref="P45">SUM(ABS(P28:P44))/COUNT(P28:P44)</f>
        <v>6.0280678516919518E-2</v>
      </c>
      <c r="Q45" s="105" cm="1">
        <f t="array" ref="Q45">SUM(ABS(Q28:Q44))/COUNT(Q28:Q44)</f>
        <v>5.8351210365005166E-2</v>
      </c>
      <c r="R45" s="111" cm="1">
        <f t="array" ref="R45">SUM(ABS(R28:R44))/COUNT(R28:R44)</f>
        <v>2.4189142687251003E-2</v>
      </c>
    </row>
    <row r="46" spans="1:18" x14ac:dyDescent="0.2">
      <c r="A46" s="183" t="s">
        <v>79</v>
      </c>
      <c r="B46" s="183"/>
      <c r="C46" s="180"/>
      <c r="D46" s="181"/>
      <c r="E46" s="74" cm="1">
        <f t="array" ref="E46">SQRT(SUM(POWER(E28:E44,2))/COUNT(E28:E44))</f>
        <v>6.9708567543459013E-2</v>
      </c>
      <c r="F46" s="106" cm="1">
        <f t="array" ref="F46">SQRT(SUM(POWER(F28:F44,2))/COUNT(F28:F44))</f>
        <v>6.8478540880438976E-2</v>
      </c>
      <c r="G46" s="108" cm="1">
        <f t="array" ref="G46">SQRT(SUM(POWER(G28:G44,2))/COUNT(G28:G44))</f>
        <v>5.8463498396986301E-2</v>
      </c>
      <c r="H46" s="106" cm="1">
        <f t="array" ref="H46">SQRT(SUM(POWER(H28:H44,2))/COUNT(H28:H44))</f>
        <v>5.9535773427572825E-2</v>
      </c>
      <c r="I46" s="106" cm="1">
        <f t="array" ref="I46">SQRT(SUM(POWER(I28:I44,2))/COUNT(I28:I44))</f>
        <v>1.5428139838166555</v>
      </c>
      <c r="J46" s="108" cm="1">
        <f t="array" ref="J46">SQRT(SUM(POWER(J28:J44,2))/COUNT(J28:J44))</f>
        <v>5.7869419890674824E-2</v>
      </c>
      <c r="K46" s="106" cm="1">
        <f t="array" ref="K46">SQRT(SUM(POWER(K28:K44,2))/COUNT(K28:K44))</f>
        <v>8.484714313003322E-2</v>
      </c>
      <c r="L46" s="106" cm="1">
        <f t="array" ref="L46">SQRT(SUM(POWER(L28:L44,2))/COUNT(L28:L44))</f>
        <v>7.9827423089496113E-2</v>
      </c>
      <c r="M46" s="106" cm="1">
        <f t="array" ref="M46">SQRT(SUM(POWER(M28:M44,2))/COUNT(M28:M44))</f>
        <v>7.5820109919560549E-2</v>
      </c>
      <c r="N46" s="106" cm="1">
        <f t="array" ref="N46">SQRT(SUM(POWER(N28:N44,2))/COUNT(N28:N44))</f>
        <v>6.871177948332878E-2</v>
      </c>
      <c r="O46" s="106" cm="1">
        <f t="array" ref="O46">SQRT(SUM(POWER(O28:O44,2))/COUNT(O28:O44))</f>
        <v>6.1430437451787154E-2</v>
      </c>
      <c r="P46" s="106" cm="1">
        <f t="array" ref="P46">SQRT(SUM(POWER(P28:P44,2))/COUNT(P28:P44))</f>
        <v>7.532224482936424E-2</v>
      </c>
      <c r="Q46" s="106" cm="1">
        <f t="array" ref="Q46">SQRT(SUM(POWER(Q28:Q44,2))/COUNT(Q28:Q44))</f>
        <v>7.2215962079579227E-2</v>
      </c>
      <c r="R46" s="112" cm="1">
        <f t="array" ref="R46">SQRT(SUM(POWER(R28:R44,2))/COUNT(R28:R44))</f>
        <v>3.1705928913126707E-2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7"/>
  <sheetViews>
    <sheetView zoomScale="85" zoomScaleNormal="85" workbookViewId="0">
      <selection activeCell="J11" sqref="J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84" t="s">
        <v>83</v>
      </c>
      <c r="C7" s="184"/>
      <c r="D7" s="184" t="s">
        <v>112</v>
      </c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6"/>
      <c r="P7" s="6"/>
      <c r="Q7" s="6"/>
    </row>
    <row r="8" spans="1:17" ht="15" x14ac:dyDescent="0.2">
      <c r="A8" s="67" t="s">
        <v>60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115">
        <v>3.2324327374274868E-2</v>
      </c>
      <c r="D9" s="115">
        <v>2.9547558943024702E-2</v>
      </c>
      <c r="E9" s="115">
        <v>3.7784117143905928E-2</v>
      </c>
      <c r="F9" s="115">
        <v>3.4890967420280992E-2</v>
      </c>
      <c r="G9" s="115">
        <v>2.9593095306036449E-2</v>
      </c>
      <c r="H9" s="115">
        <v>3.7786118069743149E-2</v>
      </c>
      <c r="I9" s="115">
        <v>3.7774295466346898E-2</v>
      </c>
      <c r="J9" s="115">
        <v>2.9587961268825382E-2</v>
      </c>
      <c r="K9" s="115">
        <v>2.9633191988674149E-2</v>
      </c>
      <c r="L9" s="2">
        <v>7.2684375477522892E-2</v>
      </c>
      <c r="M9" s="2">
        <v>0.13458377937791169</v>
      </c>
      <c r="O9" s="6"/>
      <c r="P9" s="6"/>
      <c r="Q9" s="6"/>
    </row>
    <row r="10" spans="1:17" ht="15" x14ac:dyDescent="0.2">
      <c r="B10" s="71" t="s">
        <v>97</v>
      </c>
      <c r="C10" s="115">
        <v>3.9461213551330719E-2</v>
      </c>
      <c r="D10" s="115">
        <v>3.5357729353395713E-2</v>
      </c>
      <c r="E10" s="115">
        <v>4.7419472708993868E-2</v>
      </c>
      <c r="F10" s="115">
        <v>4.3814189380750393E-2</v>
      </c>
      <c r="G10" s="115">
        <v>3.9785660049880163E-2</v>
      </c>
      <c r="H10" s="115">
        <v>4.7422071129486452E-2</v>
      </c>
      <c r="I10" s="115">
        <v>4.742142044972205E-2</v>
      </c>
      <c r="J10" s="115">
        <v>3.978303691749345E-2</v>
      </c>
      <c r="K10" s="115">
        <v>3.9797873959223518E-2</v>
      </c>
      <c r="L10" s="2">
        <v>0.1147375606685231</v>
      </c>
      <c r="M10" s="2">
        <v>0.21224817884805131</v>
      </c>
      <c r="O10" s="6"/>
      <c r="P10" s="6"/>
      <c r="Q10" s="6"/>
    </row>
    <row r="11" spans="1:17" ht="15" x14ac:dyDescent="0.2">
      <c r="B11" s="71" t="s">
        <v>98</v>
      </c>
      <c r="C11" s="2">
        <v>-5.8070742717925006E-3</v>
      </c>
      <c r="D11" s="2">
        <v>1.6297916721102371E-2</v>
      </c>
      <c r="E11" s="2">
        <v>5.1552046162729459E-3</v>
      </c>
      <c r="F11" s="2">
        <v>-1.311275008798962E-3</v>
      </c>
      <c r="G11" s="2">
        <v>-2.0407403383780891E-3</v>
      </c>
      <c r="H11" s="2">
        <v>5.150348068473698E-3</v>
      </c>
      <c r="I11" s="2">
        <v>5.0767512865640407E-3</v>
      </c>
      <c r="J11" s="2">
        <v>-2.045999862752113E-3</v>
      </c>
      <c r="K11" s="2">
        <v>-2.070147873516726E-3</v>
      </c>
      <c r="L11" s="2">
        <v>3.4331043860888481E-3</v>
      </c>
      <c r="M11" s="2">
        <v>-1.159600966841823E-2</v>
      </c>
      <c r="O11" s="6"/>
      <c r="P11" s="6"/>
      <c r="Q11" s="6"/>
    </row>
    <row r="12" spans="1:17" x14ac:dyDescent="0.2">
      <c r="O12" s="6"/>
      <c r="P12" s="6"/>
      <c r="Q12" s="6"/>
    </row>
    <row r="13" spans="1:17" ht="15" x14ac:dyDescent="0.2">
      <c r="A13" s="67" t="s">
        <v>96</v>
      </c>
      <c r="C13" s="71" t="s">
        <v>85</v>
      </c>
      <c r="D13" s="71" t="s">
        <v>86</v>
      </c>
      <c r="E13" s="71" t="s">
        <v>87</v>
      </c>
      <c r="F13" s="71" t="s">
        <v>88</v>
      </c>
      <c r="G13" s="71" t="s">
        <v>89</v>
      </c>
      <c r="H13" s="71" t="s">
        <v>90</v>
      </c>
      <c r="I13" s="71" t="s">
        <v>91</v>
      </c>
      <c r="J13" s="71" t="s">
        <v>92</v>
      </c>
      <c r="K13" s="71" t="s">
        <v>93</v>
      </c>
      <c r="L13" s="71" t="s">
        <v>94</v>
      </c>
      <c r="M13" s="71" t="s">
        <v>95</v>
      </c>
      <c r="O13" s="6"/>
      <c r="P13" s="6"/>
      <c r="Q13" s="6"/>
    </row>
    <row r="14" spans="1:17" ht="15" x14ac:dyDescent="0.2">
      <c r="B14" s="71" t="s">
        <v>96</v>
      </c>
      <c r="C14" s="115">
        <v>3.2324327374274868E-2</v>
      </c>
      <c r="D14" s="115">
        <v>4.7515877562228297E-2</v>
      </c>
      <c r="E14" s="115">
        <v>3.9573207612824367E-2</v>
      </c>
      <c r="F14" s="115">
        <v>3.4890967420280992E-2</v>
      </c>
      <c r="G14" s="115">
        <v>3.0939458689732049E-2</v>
      </c>
      <c r="H14" s="115">
        <v>3.957614382545168E-2</v>
      </c>
      <c r="I14" s="115">
        <v>3.9580139574653929E-2</v>
      </c>
      <c r="J14" s="115">
        <v>3.093466131110079E-2</v>
      </c>
      <c r="K14" s="115">
        <v>3.097695881148653E-2</v>
      </c>
      <c r="L14" s="2">
        <v>6.3368097818207819E-2</v>
      </c>
      <c r="M14" s="2">
        <v>8.5960994446589209E-2</v>
      </c>
      <c r="O14" s="6"/>
      <c r="P14" s="6"/>
      <c r="Q14" s="6"/>
    </row>
    <row r="15" spans="1:17" ht="15" x14ac:dyDescent="0.2">
      <c r="B15" s="71" t="s">
        <v>97</v>
      </c>
      <c r="C15" s="115">
        <v>3.9461213551330719E-2</v>
      </c>
      <c r="D15" s="115">
        <v>5.5788168012391219E-2</v>
      </c>
      <c r="E15" s="115">
        <v>4.7343208749756317E-2</v>
      </c>
      <c r="F15" s="115">
        <v>4.3814189380750393E-2</v>
      </c>
      <c r="G15" s="115">
        <v>4.0609761725887178E-2</v>
      </c>
      <c r="H15" s="115">
        <v>4.7346300619261483E-2</v>
      </c>
      <c r="I15" s="115">
        <v>4.7354677054066263E-2</v>
      </c>
      <c r="J15" s="115">
        <v>4.0607131928119627E-2</v>
      </c>
      <c r="K15" s="115">
        <v>4.0622703031643191E-2</v>
      </c>
      <c r="L15" s="2">
        <v>8.5630805365080151E-2</v>
      </c>
      <c r="M15" s="2">
        <v>0.1185766663597855</v>
      </c>
      <c r="O15" s="6"/>
      <c r="P15" s="6"/>
      <c r="Q15" s="6"/>
    </row>
    <row r="16" spans="1:17" ht="15" x14ac:dyDescent="0.2">
      <c r="B16" s="71" t="s">
        <v>98</v>
      </c>
      <c r="C16" s="2">
        <v>-5.8070742717925006E-3</v>
      </c>
      <c r="D16" s="2">
        <v>4.8029432915225552E-2</v>
      </c>
      <c r="E16" s="2">
        <v>1.9319910019084401E-3</v>
      </c>
      <c r="F16" s="2">
        <v>-1.311275008798962E-3</v>
      </c>
      <c r="G16" s="2">
        <v>-1.8023378555733769E-3</v>
      </c>
      <c r="H16" s="2">
        <v>1.926795214469645E-3</v>
      </c>
      <c r="I16" s="2">
        <v>1.8520094644094991E-3</v>
      </c>
      <c r="J16" s="2">
        <v>-1.807294226680634E-3</v>
      </c>
      <c r="K16" s="2">
        <v>-1.8343009042288689E-3</v>
      </c>
      <c r="L16" s="2">
        <v>6.7071814974506427E-4</v>
      </c>
      <c r="M16" s="2">
        <v>4.4093780624759327E-3</v>
      </c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A22" s="67" t="s">
        <v>103</v>
      </c>
      <c r="B22" t="s">
        <v>139</v>
      </c>
      <c r="O22" s="6"/>
      <c r="P22" s="6"/>
      <c r="Q22" s="6"/>
    </row>
    <row r="23" spans="1:17" x14ac:dyDescent="0.2">
      <c r="B23" t="s">
        <v>140</v>
      </c>
      <c r="H23" s="68" t="s">
        <v>106</v>
      </c>
      <c r="O23" s="6"/>
      <c r="P23" s="6"/>
      <c r="Q23" s="6"/>
    </row>
    <row r="24" spans="1:17" x14ac:dyDescent="0.2">
      <c r="H24" s="68"/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105</v>
      </c>
      <c r="B27" s="185" t="s">
        <v>108</v>
      </c>
      <c r="C27" s="185"/>
      <c r="D27" s="185"/>
      <c r="E27" s="185"/>
      <c r="F27" s="66" t="e">
        <f>#REF!+#REF!*'2. Past Proj &amp; Candidate Model'!R22</f>
        <v>#REF!</v>
      </c>
      <c r="G27" s="69" t="s">
        <v>109</v>
      </c>
      <c r="H27" s="2" t="e">
        <f>'2. Past Proj &amp; Candidate Model'!S22/'3. Improved Alpha Model'!F27-1</f>
        <v>#REF!</v>
      </c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B31" s="186" t="s">
        <v>159</v>
      </c>
      <c r="C31" s="186"/>
      <c r="D31" s="186"/>
      <c r="E31" s="3">
        <f>C9</f>
        <v>3.2324327374274868E-2</v>
      </c>
      <c r="F31" t="s">
        <v>110</v>
      </c>
      <c r="G31" s="186" t="s">
        <v>111</v>
      </c>
      <c r="H31" s="186"/>
      <c r="I31" s="3" t="e">
        <f>#REF!</f>
        <v>#REF!</v>
      </c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O33" s="6"/>
      <c r="P33" s="6"/>
      <c r="Q33" s="6"/>
    </row>
    <row r="34" spans="1:17" x14ac:dyDescent="0.2">
      <c r="A34" s="67" t="s">
        <v>107</v>
      </c>
      <c r="B34" t="s">
        <v>113</v>
      </c>
      <c r="O34" s="6"/>
      <c r="P34" s="6"/>
      <c r="Q34" s="6"/>
    </row>
    <row r="35" spans="1:17" x14ac:dyDescent="0.2">
      <c r="B35" t="s">
        <v>114</v>
      </c>
      <c r="O35" s="6"/>
      <c r="P35" s="6"/>
      <c r="Q35" s="6"/>
    </row>
    <row r="36" spans="1:17" x14ac:dyDescent="0.2">
      <c r="B36" t="s">
        <v>115</v>
      </c>
      <c r="O36" s="6"/>
      <c r="P36" s="6"/>
      <c r="Q36" s="6"/>
    </row>
    <row r="37" spans="1:17" x14ac:dyDescent="0.2">
      <c r="B37" t="s">
        <v>116</v>
      </c>
      <c r="O37" s="6"/>
      <c r="P37" s="6"/>
      <c r="Q37" s="6"/>
    </row>
    <row r="38" spans="1:17" x14ac:dyDescent="0.2">
      <c r="B38" t="s">
        <v>117</v>
      </c>
      <c r="O38" s="6"/>
      <c r="P38" s="6"/>
      <c r="Q38" s="6"/>
    </row>
    <row r="39" spans="1:17" x14ac:dyDescent="0.2">
      <c r="B39" t="s">
        <v>118</v>
      </c>
      <c r="O39" s="6"/>
      <c r="P39" s="6"/>
      <c r="Q39" s="6"/>
    </row>
    <row r="40" spans="1:17" x14ac:dyDescent="0.2">
      <c r="B40" t="s">
        <v>119</v>
      </c>
      <c r="O40" s="6"/>
      <c r="P40" s="6"/>
      <c r="Q40" s="6"/>
    </row>
    <row r="41" spans="1:17" x14ac:dyDescent="0.2">
      <c r="B41" t="s">
        <v>120</v>
      </c>
      <c r="O41" s="6"/>
      <c r="P41" s="6"/>
      <c r="Q41" s="6"/>
    </row>
    <row r="42" spans="1:17" x14ac:dyDescent="0.2">
      <c r="B42" t="s">
        <v>121</v>
      </c>
      <c r="O42" s="6"/>
      <c r="P42" s="6"/>
      <c r="Q42" s="6"/>
    </row>
    <row r="43" spans="1:17" x14ac:dyDescent="0.2">
      <c r="B43" t="s">
        <v>122</v>
      </c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  <c r="Q45" s="6"/>
    </row>
    <row r="46" spans="1:17" x14ac:dyDescent="0.2">
      <c r="O46" s="6"/>
      <c r="P46" s="6"/>
    </row>
    <row r="47" spans="1:17" x14ac:dyDescent="0.2">
      <c r="O47" s="6"/>
      <c r="P47" s="6"/>
    </row>
  </sheetData>
  <mergeCells count="5">
    <mergeCell ref="D7:N7"/>
    <mergeCell ref="B7:C7"/>
    <mergeCell ref="B27:E27"/>
    <mergeCell ref="B31:D31"/>
    <mergeCell ref="G31:H31"/>
  </mergeCells>
  <conditionalFormatting sqref="C9:K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abSelected="1" zoomScale="85" zoomScaleNormal="85" workbookViewId="0">
      <selection activeCell="C47" sqref="C47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10.710937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60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2.9385752158431699E-2</v>
      </c>
      <c r="D6" s="2">
        <v>3.0877218306333429E-2</v>
      </c>
      <c r="E6" s="2">
        <v>3.8271331884904732E-2</v>
      </c>
      <c r="F6" s="2">
        <v>3.1767908305291283E-2</v>
      </c>
      <c r="G6" s="2">
        <v>2.7547508833876092E-2</v>
      </c>
      <c r="H6" s="2">
        <v>3.8273291693182367E-2</v>
      </c>
      <c r="I6" s="2">
        <v>3.8265272798055333E-2</v>
      </c>
      <c r="J6" s="2">
        <v>2.754317647325167E-2</v>
      </c>
      <c r="K6" s="2">
        <v>2.7588888916865908E-2</v>
      </c>
      <c r="L6" s="2">
        <v>7.0645648855878401E-2</v>
      </c>
      <c r="M6" s="2">
        <v>0.12636830507371899</v>
      </c>
    </row>
    <row r="7" spans="1:25" ht="15" x14ac:dyDescent="0.2">
      <c r="B7" s="71" t="s">
        <v>97</v>
      </c>
      <c r="C7" s="2">
        <v>3.7624790847425052E-2</v>
      </c>
      <c r="D7" s="2">
        <v>3.6247903903710722E-2</v>
      </c>
      <c r="E7" s="2">
        <v>4.7046808147610697E-2</v>
      </c>
      <c r="F7" s="2">
        <v>4.1775504589355708E-2</v>
      </c>
      <c r="G7" s="2">
        <v>3.7994352298324832E-2</v>
      </c>
      <c r="H7" s="2">
        <v>4.7049318164291393E-2</v>
      </c>
      <c r="I7" s="2">
        <v>4.7051225258645309E-2</v>
      </c>
      <c r="J7" s="2">
        <v>3.7991917741633997E-2</v>
      </c>
      <c r="K7" s="2">
        <v>3.8006902490492107E-2</v>
      </c>
      <c r="L7" s="2">
        <v>0.1104424915375179</v>
      </c>
      <c r="M7" s="2">
        <v>0.20280929988329671</v>
      </c>
    </row>
    <row r="8" spans="1:25" ht="15" x14ac:dyDescent="0.2">
      <c r="B8" s="71" t="s">
        <v>98</v>
      </c>
      <c r="C8" s="2">
        <v>0</v>
      </c>
      <c r="D8" s="2">
        <v>1.539727423167836E-2</v>
      </c>
      <c r="E8" s="2">
        <v>1.90341008912287E-3</v>
      </c>
      <c r="F8" s="2">
        <v>-5.373171553940681E-4</v>
      </c>
      <c r="G8" s="2">
        <v>-5.3696726489211874E-3</v>
      </c>
      <c r="H8" s="2">
        <v>1.8975948502260029E-3</v>
      </c>
      <c r="I8" s="2">
        <v>1.820731005005571E-3</v>
      </c>
      <c r="J8" s="2">
        <v>-5.3695138606659754E-3</v>
      </c>
      <c r="K8" s="2">
        <v>-5.4281972706274884E-3</v>
      </c>
      <c r="L8" s="2">
        <v>-3.292166203510694E-3</v>
      </c>
      <c r="M8" s="2">
        <v>-4.1472209861869842E-2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1058</v>
      </c>
      <c r="D14">
        <v>1039.7</v>
      </c>
      <c r="E14">
        <v>1105.525903</v>
      </c>
      <c r="P14" s="2">
        <f>E14/C14-1</f>
        <v>4.4920513232514114E-2</v>
      </c>
    </row>
    <row r="15" spans="1:25" x14ac:dyDescent="0.2">
      <c r="B15" t="s">
        <v>169</v>
      </c>
      <c r="C15">
        <v>1052</v>
      </c>
      <c r="D15">
        <v>1014.9</v>
      </c>
      <c r="E15">
        <v>1102.62401</v>
      </c>
      <c r="P15" s="2">
        <f t="shared" ref="P15:P20" si="0">E15/C15-1</f>
        <v>4.8121682509505659E-2</v>
      </c>
    </row>
    <row r="16" spans="1:25" x14ac:dyDescent="0.2">
      <c r="B16" t="s">
        <v>167</v>
      </c>
      <c r="C16">
        <v>1220</v>
      </c>
      <c r="D16">
        <v>1210.8</v>
      </c>
      <c r="E16">
        <v>1050.678694</v>
      </c>
      <c r="P16" s="2">
        <f t="shared" si="0"/>
        <v>-0.13878795573770497</v>
      </c>
    </row>
    <row r="17" spans="2:25" x14ac:dyDescent="0.2">
      <c r="B17" t="s">
        <v>42</v>
      </c>
      <c r="C17">
        <v>1106</v>
      </c>
      <c r="D17">
        <v>1103.5</v>
      </c>
      <c r="E17">
        <v>1041.1932019999999</v>
      </c>
      <c r="P17" s="2">
        <f t="shared" si="0"/>
        <v>-5.859565822784818E-2</v>
      </c>
    </row>
    <row r="18" spans="2:25" x14ac:dyDescent="0.2">
      <c r="B18" t="s">
        <v>43</v>
      </c>
      <c r="C18">
        <v>1140</v>
      </c>
      <c r="D18">
        <v>1134.3</v>
      </c>
      <c r="E18">
        <v>1106.194794</v>
      </c>
      <c r="P18" s="2">
        <f t="shared" si="0"/>
        <v>-2.9653689473684186E-2</v>
      </c>
    </row>
    <row r="19" spans="2:25" x14ac:dyDescent="0.2">
      <c r="B19" t="s">
        <v>44</v>
      </c>
      <c r="C19">
        <v>1157</v>
      </c>
      <c r="D19">
        <v>1134.5999999999999</v>
      </c>
      <c r="E19">
        <v>1053.9801170000001</v>
      </c>
      <c r="P19" s="2">
        <f t="shared" si="0"/>
        <v>-8.9040521175453691E-2</v>
      </c>
    </row>
    <row r="20" spans="2:25" x14ac:dyDescent="0.2">
      <c r="B20" t="s">
        <v>45</v>
      </c>
      <c r="C20">
        <v>1340</v>
      </c>
      <c r="D20">
        <v>1337.5</v>
      </c>
      <c r="E20">
        <v>1289.261978</v>
      </c>
      <c r="P20" s="2">
        <f t="shared" si="0"/>
        <v>-3.7864195522388067E-2</v>
      </c>
    </row>
    <row r="21" spans="2:25" x14ac:dyDescent="0.2">
      <c r="B21" t="s">
        <v>46</v>
      </c>
      <c r="C21">
        <v>1237</v>
      </c>
      <c r="D21">
        <v>1200</v>
      </c>
      <c r="E21">
        <v>1205.1858540000001</v>
      </c>
      <c r="F21">
        <v>1229.390804894663</v>
      </c>
      <c r="G21">
        <v>1209.256035284882</v>
      </c>
      <c r="H21">
        <v>1212.2094654047421</v>
      </c>
      <c r="I21">
        <v>1229.373353081043</v>
      </c>
      <c r="J21">
        <v>1229.2332675645659</v>
      </c>
      <c r="K21">
        <v>1212.2094684962519</v>
      </c>
      <c r="L21">
        <v>1212.0601842254021</v>
      </c>
      <c r="M21">
        <v>1136.457653222689</v>
      </c>
      <c r="N21">
        <v>504.37818387441803</v>
      </c>
      <c r="O21" s="2">
        <v>-2.9911075181891619E-2</v>
      </c>
      <c r="P21" s="2">
        <v>-2.571879223928852E-2</v>
      </c>
      <c r="Q21" s="2">
        <v>-6.1513299153898027E-3</v>
      </c>
      <c r="R21" s="2">
        <v>-2.2428427417233391E-2</v>
      </c>
      <c r="S21" s="2">
        <v>-2.0040852542649649E-2</v>
      </c>
      <c r="T21" s="2">
        <v>-6.1654380913150897E-3</v>
      </c>
      <c r="U21" s="2">
        <v>-6.2786842647003516E-3</v>
      </c>
      <c r="V21" s="2">
        <v>-2.0040850043450131E-2</v>
      </c>
      <c r="W21" s="2">
        <v>-2.0161532558284349E-2</v>
      </c>
      <c r="X21" s="2">
        <v>-8.1279180903242265E-2</v>
      </c>
      <c r="Y21" s="2">
        <v>-0.59225692491962967</v>
      </c>
    </row>
    <row r="22" spans="2:25" x14ac:dyDescent="0.2">
      <c r="B22" t="s">
        <v>47</v>
      </c>
      <c r="C22">
        <v>1302</v>
      </c>
      <c r="D22">
        <v>1242.7</v>
      </c>
      <c r="E22">
        <v>1390.544797</v>
      </c>
      <c r="F22">
        <v>1377.520649074464</v>
      </c>
      <c r="G22">
        <v>1254.013203345419</v>
      </c>
      <c r="H22">
        <v>1273.8850332106069</v>
      </c>
      <c r="I22">
        <v>1377.5206085268669</v>
      </c>
      <c r="J22">
        <v>1377.1036472678441</v>
      </c>
      <c r="K22">
        <v>1273.9026490210799</v>
      </c>
      <c r="L22">
        <v>1273.528693238175</v>
      </c>
      <c r="M22">
        <v>1723.1916625608139</v>
      </c>
      <c r="N22">
        <v>1122.7377498961289</v>
      </c>
      <c r="O22" s="2">
        <v>-4.5545314900153573E-2</v>
      </c>
      <c r="P22" s="2">
        <v>6.8006756528417922E-2</v>
      </c>
      <c r="Q22" s="2">
        <v>5.8003570717714233E-2</v>
      </c>
      <c r="R22" s="2">
        <v>-3.685621862871058E-2</v>
      </c>
      <c r="S22" s="2">
        <v>-2.1593676489549241E-2</v>
      </c>
      <c r="T22" s="2">
        <v>5.8003539575166567E-2</v>
      </c>
      <c r="U22" s="2">
        <v>5.7683292832445547E-2</v>
      </c>
      <c r="V22" s="2">
        <v>-2.1580146681198231E-2</v>
      </c>
      <c r="W22" s="2">
        <v>-2.1867363104320251E-2</v>
      </c>
      <c r="X22" s="2">
        <v>0.3234959005843423</v>
      </c>
      <c r="Y22" s="2">
        <v>-0.1376822197418367</v>
      </c>
    </row>
    <row r="23" spans="2:25" x14ac:dyDescent="0.2">
      <c r="B23" t="s">
        <v>48</v>
      </c>
      <c r="C23">
        <v>1263</v>
      </c>
      <c r="D23">
        <v>1282.0999999999999</v>
      </c>
      <c r="E23">
        <v>1285.774208</v>
      </c>
      <c r="F23">
        <v>1265.4040069425621</v>
      </c>
      <c r="G23">
        <v>1302.641103944708</v>
      </c>
      <c r="H23">
        <v>1309.1878437403</v>
      </c>
      <c r="I23">
        <v>1265.3966622958351</v>
      </c>
      <c r="J23">
        <v>1265.2995832593219</v>
      </c>
      <c r="K23">
        <v>1309.1777587362151</v>
      </c>
      <c r="L23">
        <v>1309.1877930345111</v>
      </c>
      <c r="M23">
        <v>1258.841994084966</v>
      </c>
      <c r="N23">
        <v>1347.260803812693</v>
      </c>
      <c r="O23" s="2">
        <v>1.512272367379253E-2</v>
      </c>
      <c r="P23" s="2">
        <v>1.803183531274755E-2</v>
      </c>
      <c r="Q23" s="2">
        <v>1.90341008912287E-3</v>
      </c>
      <c r="R23" s="2">
        <v>3.1386463930884963E-2</v>
      </c>
      <c r="S23" s="2">
        <v>3.6569947537846037E-2</v>
      </c>
      <c r="T23" s="2">
        <v>1.8975948502260029E-3</v>
      </c>
      <c r="U23" s="2">
        <v>1.820731005005571E-3</v>
      </c>
      <c r="V23" s="2">
        <v>3.6561962578159468E-2</v>
      </c>
      <c r="W23" s="2">
        <v>3.6569907390744838E-2</v>
      </c>
      <c r="X23" s="2">
        <v>-3.292166203510694E-3</v>
      </c>
      <c r="Y23" s="2">
        <v>6.6714809036177991E-2</v>
      </c>
    </row>
    <row r="24" spans="2:25" x14ac:dyDescent="0.2">
      <c r="B24" t="s">
        <v>49</v>
      </c>
      <c r="C24">
        <v>1448</v>
      </c>
      <c r="D24">
        <v>1458.8</v>
      </c>
      <c r="E24">
        <v>1448.7374279999999</v>
      </c>
      <c r="F24">
        <v>1367.7023878391269</v>
      </c>
      <c r="G24">
        <v>1460.6343129342879</v>
      </c>
      <c r="H24">
        <v>1467.644163443194</v>
      </c>
      <c r="I24">
        <v>1367.6889629097709</v>
      </c>
      <c r="J24">
        <v>1367.489571737045</v>
      </c>
      <c r="K24">
        <v>1467.62316445904</v>
      </c>
      <c r="L24">
        <v>1467.6439504210921</v>
      </c>
      <c r="M24">
        <v>1395.7061844687501</v>
      </c>
      <c r="N24">
        <v>1123.0264587234849</v>
      </c>
      <c r="O24" s="2">
        <v>7.4585635359116784E-3</v>
      </c>
      <c r="P24" s="2">
        <v>5.0927348066287514E-4</v>
      </c>
      <c r="Q24" s="2">
        <v>-5.5454152044801967E-2</v>
      </c>
      <c r="R24" s="2">
        <v>8.725354236386762E-3</v>
      </c>
      <c r="S24" s="2">
        <v>1.3566411217675659E-2</v>
      </c>
      <c r="T24" s="2">
        <v>-5.5463423404854002E-2</v>
      </c>
      <c r="U24" s="2">
        <v>-5.5601124490990639E-2</v>
      </c>
      <c r="V24" s="2">
        <v>1.3551909156795491E-2</v>
      </c>
      <c r="W24" s="2">
        <v>1.356626410296435E-2</v>
      </c>
      <c r="X24" s="2">
        <v>-3.6114513488432309E-2</v>
      </c>
      <c r="Y24" s="2">
        <v>-0.22442924121306271</v>
      </c>
    </row>
    <row r="25" spans="2:25" x14ac:dyDescent="0.2">
      <c r="B25" t="s">
        <v>50</v>
      </c>
      <c r="C25">
        <v>1294</v>
      </c>
      <c r="D25">
        <v>1269.8</v>
      </c>
      <c r="E25">
        <v>1254.265445</v>
      </c>
      <c r="F25">
        <v>1258.8437160723449</v>
      </c>
      <c r="G25">
        <v>1279.315811895344</v>
      </c>
      <c r="H25">
        <v>1279.245202045772</v>
      </c>
      <c r="I25">
        <v>1258.841429881759</v>
      </c>
      <c r="J25">
        <v>1258.8093117035</v>
      </c>
      <c r="K25">
        <v>1279.241725203638</v>
      </c>
      <c r="L25">
        <v>1279.2451539395811</v>
      </c>
      <c r="M25">
        <v>1234.27929229448</v>
      </c>
      <c r="N25">
        <v>1240.3349604387399</v>
      </c>
      <c r="O25" s="2">
        <v>-1.870170015455952E-2</v>
      </c>
      <c r="P25" s="2">
        <v>-3.070676584234933E-2</v>
      </c>
      <c r="Q25" s="2">
        <v>-2.7168689279486121E-2</v>
      </c>
      <c r="R25" s="2">
        <v>-1.134790425398469E-2</v>
      </c>
      <c r="S25" s="2">
        <v>-1.140247137111905E-2</v>
      </c>
      <c r="T25" s="2">
        <v>-2.717045604191692E-2</v>
      </c>
      <c r="U25" s="2">
        <v>-2.719527689064893E-2</v>
      </c>
      <c r="V25" s="2">
        <v>-1.1405158266122321E-2</v>
      </c>
      <c r="W25" s="2">
        <v>-1.140250854746472E-2</v>
      </c>
      <c r="X25" s="2">
        <v>-4.6152015228377308E-2</v>
      </c>
      <c r="Y25" s="2">
        <v>-4.1472209861869842E-2</v>
      </c>
    </row>
    <row r="26" spans="2:25" x14ac:dyDescent="0.2">
      <c r="B26" t="s">
        <v>51</v>
      </c>
      <c r="C26">
        <v>1015.56</v>
      </c>
      <c r="D26">
        <v>1083</v>
      </c>
      <c r="E26">
        <v>1038.0696359999999</v>
      </c>
      <c r="F26">
        <v>1102.1868368083631</v>
      </c>
      <c r="G26">
        <v>1106.7960076400111</v>
      </c>
      <c r="H26">
        <v>1100.056921866086</v>
      </c>
      <c r="I26">
        <v>1102.192293886857</v>
      </c>
      <c r="J26">
        <v>1102.2752271621209</v>
      </c>
      <c r="K26">
        <v>1100.05823582474</v>
      </c>
      <c r="L26">
        <v>1100.056852349481</v>
      </c>
      <c r="M26">
        <v>1116.2813797942979</v>
      </c>
      <c r="N26">
        <v>1147.004239553376</v>
      </c>
      <c r="O26" s="2">
        <v>6.6406711568002041E-2</v>
      </c>
      <c r="P26" s="2">
        <v>2.216475245184912E-2</v>
      </c>
      <c r="Q26" s="2">
        <v>8.5299575414907292E-2</v>
      </c>
      <c r="R26" s="2">
        <v>8.9838126393330775E-2</v>
      </c>
      <c r="S26" s="2">
        <v>8.320229416881908E-2</v>
      </c>
      <c r="T26" s="2">
        <v>8.5304948882249709E-2</v>
      </c>
      <c r="U26" s="2">
        <v>8.5386611487377584E-2</v>
      </c>
      <c r="V26" s="2">
        <v>8.320358799552996E-2</v>
      </c>
      <c r="W26" s="2">
        <v>8.3202225717319722E-2</v>
      </c>
      <c r="X26" s="2">
        <v>9.9178167507875337E-2</v>
      </c>
      <c r="Y26" s="2">
        <v>0.12943030402278199</v>
      </c>
    </row>
    <row r="27" spans="2:25" x14ac:dyDescent="0.2">
      <c r="B27" t="s">
        <v>52</v>
      </c>
      <c r="C27">
        <v>1269</v>
      </c>
      <c r="D27">
        <v>1206.5</v>
      </c>
      <c r="E27">
        <v>1288.539141</v>
      </c>
      <c r="F27">
        <v>1286.747259530769</v>
      </c>
      <c r="G27">
        <v>1215.596635591312</v>
      </c>
      <c r="H27">
        <v>1232.9617416518629</v>
      </c>
      <c r="I27">
        <v>1286.7436745567611</v>
      </c>
      <c r="J27">
        <v>1286.688574395678</v>
      </c>
      <c r="K27">
        <v>1232.968458747034</v>
      </c>
      <c r="L27">
        <v>1232.961993962107</v>
      </c>
      <c r="M27">
        <v>1281.890977844148</v>
      </c>
      <c r="N27">
        <v>1292.1975617762671</v>
      </c>
      <c r="O27" s="2">
        <v>-4.9251379038613097E-2</v>
      </c>
      <c r="P27" s="2">
        <v>1.539727423167836E-2</v>
      </c>
      <c r="Q27" s="2">
        <v>1.3985232096744399E-2</v>
      </c>
      <c r="R27" s="2">
        <v>-4.2083029478871208E-2</v>
      </c>
      <c r="S27" s="2">
        <v>-2.8398942748729009E-2</v>
      </c>
      <c r="T27" s="2">
        <v>1.3982407058125149E-2</v>
      </c>
      <c r="U27" s="2">
        <v>1.393898691542805E-2</v>
      </c>
      <c r="V27" s="2">
        <v>-2.839364952952439E-2</v>
      </c>
      <c r="W27" s="2">
        <v>-2.8398743922689259E-2</v>
      </c>
      <c r="X27" s="2">
        <v>1.0158374975688391E-2</v>
      </c>
      <c r="Y27" s="2">
        <v>1.828019052503338E-2</v>
      </c>
    </row>
    <row r="28" spans="2:25" x14ac:dyDescent="0.2">
      <c r="B28" t="s">
        <v>53</v>
      </c>
      <c r="C28">
        <v>1469</v>
      </c>
      <c r="D28">
        <v>1476.1</v>
      </c>
      <c r="E28">
        <v>1384.65113</v>
      </c>
      <c r="F28">
        <v>1360.4224864874191</v>
      </c>
      <c r="G28">
        <v>1485.924128015967</v>
      </c>
      <c r="H28">
        <v>1470.89235400711</v>
      </c>
      <c r="I28">
        <v>1360.4162461059509</v>
      </c>
      <c r="J28">
        <v>1360.311478671556</v>
      </c>
      <c r="K28">
        <v>1470.876668264553</v>
      </c>
      <c r="L28">
        <v>1470.89192733816</v>
      </c>
      <c r="M28">
        <v>1363.7004864989219</v>
      </c>
      <c r="N28">
        <v>1373.448007848363</v>
      </c>
      <c r="O28" s="2">
        <v>4.8332198774676538E-3</v>
      </c>
      <c r="P28" s="2">
        <v>-5.7419244383934642E-2</v>
      </c>
      <c r="Q28" s="2">
        <v>-7.3912534726059298E-2</v>
      </c>
      <c r="R28" s="2">
        <v>1.1520849568391171E-2</v>
      </c>
      <c r="S28" s="2">
        <v>1.288191972165009E-3</v>
      </c>
      <c r="T28" s="2">
        <v>-7.3916782773348566E-2</v>
      </c>
      <c r="U28" s="2">
        <v>-7.3988101653127303E-2</v>
      </c>
      <c r="V28" s="2">
        <v>1.2775141351617501E-3</v>
      </c>
      <c r="W28" s="2">
        <v>1.287901523594037E-3</v>
      </c>
      <c r="X28" s="2">
        <v>-7.1681084752265423E-2</v>
      </c>
      <c r="Y28" s="2">
        <v>-6.5045603915341754E-2</v>
      </c>
    </row>
    <row r="29" spans="2:25" x14ac:dyDescent="0.2">
      <c r="B29" t="s">
        <v>54</v>
      </c>
      <c r="C29">
        <v>1242</v>
      </c>
      <c r="D29">
        <v>1328.4</v>
      </c>
      <c r="E29">
        <v>1292.0803410000001</v>
      </c>
      <c r="F29">
        <v>1301.064152090172</v>
      </c>
      <c r="G29">
        <v>1336.8684375409659</v>
      </c>
      <c r="H29">
        <v>1334.5271275147099</v>
      </c>
      <c r="I29">
        <v>1301.0614330070171</v>
      </c>
      <c r="J29">
        <v>1301.016577956083</v>
      </c>
      <c r="K29">
        <v>1334.523187988525</v>
      </c>
      <c r="L29">
        <v>1334.4635164799261</v>
      </c>
      <c r="M29">
        <v>1292.382842863288</v>
      </c>
      <c r="N29">
        <v>1303.894749621835</v>
      </c>
      <c r="O29" s="2">
        <v>6.956521739130439E-2</v>
      </c>
      <c r="P29" s="2">
        <v>4.0322335748792293E-2</v>
      </c>
      <c r="Q29" s="2">
        <v>4.7555678011410363E-2</v>
      </c>
      <c r="R29" s="2">
        <v>7.6383605105447838E-2</v>
      </c>
      <c r="S29" s="2">
        <v>7.4498492362890634E-2</v>
      </c>
      <c r="T29" s="2">
        <v>4.7553488733508058E-2</v>
      </c>
      <c r="U29" s="2">
        <v>4.7517373555622473E-2</v>
      </c>
      <c r="V29" s="2">
        <v>7.4495320441646085E-2</v>
      </c>
      <c r="W29" s="2">
        <v>7.4447275748732444E-2</v>
      </c>
      <c r="X29" s="2">
        <v>4.0565896025191783E-2</v>
      </c>
      <c r="Y29" s="2">
        <v>4.9834742046566127E-2</v>
      </c>
    </row>
    <row r="30" spans="2:25" x14ac:dyDescent="0.2">
      <c r="B30" t="s">
        <v>55</v>
      </c>
      <c r="C30">
        <v>1368</v>
      </c>
      <c r="D30">
        <v>1345.5</v>
      </c>
      <c r="E30">
        <v>1391.5276289999999</v>
      </c>
      <c r="F30">
        <v>1379.500774828203</v>
      </c>
      <c r="G30">
        <v>1342.9112969806699</v>
      </c>
      <c r="H30">
        <v>1360.6542878162761</v>
      </c>
      <c r="I30">
        <v>1379.495442560235</v>
      </c>
      <c r="J30">
        <v>1379.3992315051919</v>
      </c>
      <c r="K30">
        <v>1360.6545050386089</v>
      </c>
      <c r="L30">
        <v>1360.5742261337821</v>
      </c>
      <c r="M30">
        <v>1388.4193905854229</v>
      </c>
      <c r="N30">
        <v>1396.3060383436459</v>
      </c>
      <c r="O30" s="2">
        <v>-1.6447368421052651E-2</v>
      </c>
      <c r="P30" s="2">
        <v>1.719855921052638E-2</v>
      </c>
      <c r="Q30" s="2">
        <v>8.4069991434230218E-3</v>
      </c>
      <c r="R30" s="2">
        <v>-1.8339695189568569E-2</v>
      </c>
      <c r="S30" s="2">
        <v>-5.3696726489211874E-3</v>
      </c>
      <c r="T30" s="2">
        <v>8.4031012867213928E-3</v>
      </c>
      <c r="U30" s="2">
        <v>8.3327715681225101E-3</v>
      </c>
      <c r="V30" s="2">
        <v>-5.3695138606659754E-3</v>
      </c>
      <c r="W30" s="2">
        <v>-5.4281972706274884E-3</v>
      </c>
      <c r="X30" s="2">
        <v>1.4926455106303081E-2</v>
      </c>
      <c r="Y30" s="2">
        <v>2.0691548496817092E-2</v>
      </c>
    </row>
    <row r="31" spans="2:25" x14ac:dyDescent="0.2">
      <c r="B31" t="s">
        <v>71</v>
      </c>
      <c r="C31">
        <v>1360.2</v>
      </c>
      <c r="D31">
        <v>1360.2</v>
      </c>
      <c r="E31">
        <v>1300.114781</v>
      </c>
      <c r="F31">
        <v>1301.516239463087</v>
      </c>
      <c r="G31">
        <v>1359.469141205233</v>
      </c>
      <c r="H31">
        <v>1350.553945678487</v>
      </c>
      <c r="I31">
        <v>1301.5141330129129</v>
      </c>
      <c r="J31">
        <v>1301.4733022741871</v>
      </c>
      <c r="K31">
        <v>1350.548934150477</v>
      </c>
      <c r="L31">
        <v>1350.480203678015</v>
      </c>
      <c r="M31">
        <v>1291.8385479338431</v>
      </c>
      <c r="N31">
        <v>1300.060712924356</v>
      </c>
      <c r="O31" s="2">
        <v>0</v>
      </c>
      <c r="P31" s="2">
        <v>-4.4173811939420722E-2</v>
      </c>
      <c r="Q31" s="2">
        <v>-4.3143479294892713E-2</v>
      </c>
      <c r="R31" s="2">
        <v>-5.373171553940681E-4</v>
      </c>
      <c r="S31" s="2">
        <v>-7.0916441122724772E-3</v>
      </c>
      <c r="T31" s="2">
        <v>-4.3145027927574582E-2</v>
      </c>
      <c r="U31" s="2">
        <v>-4.317504611513967E-2</v>
      </c>
      <c r="V31" s="2">
        <v>-7.0953285175145986E-3</v>
      </c>
      <c r="W31" s="2">
        <v>-7.1458581987835501E-3</v>
      </c>
      <c r="X31" s="2">
        <v>-5.0258382639433503E-2</v>
      </c>
      <c r="Y31" s="2">
        <v>-4.4213562031792157E-2</v>
      </c>
    </row>
    <row r="32" spans="2:25" x14ac:dyDescent="0.2">
      <c r="B32" s="110" t="s">
        <v>148</v>
      </c>
      <c r="C32" s="110"/>
      <c r="D32" s="110"/>
      <c r="E32">
        <f>E$31/(1+P32)</f>
        <v>1315.0533100810374</v>
      </c>
      <c r="L32" s="109" t="s">
        <v>141</v>
      </c>
      <c r="M32" s="109"/>
      <c r="N32" s="109"/>
      <c r="O32" s="109"/>
      <c r="P32" s="3">
        <f>AVERAGE(P14:P30)</f>
        <v>-1.1359637640938666E-2</v>
      </c>
    </row>
    <row r="33" spans="1:16" x14ac:dyDescent="0.2">
      <c r="B33" s="95" t="s">
        <v>149</v>
      </c>
      <c r="C33" s="95"/>
      <c r="D33" s="95"/>
      <c r="E33">
        <f>E$31/(1+P33)</f>
        <v>1299.4530040456718</v>
      </c>
      <c r="I33" s="3"/>
      <c r="L33" s="95" t="s">
        <v>143</v>
      </c>
      <c r="M33" s="95"/>
      <c r="N33" s="95"/>
      <c r="O33" s="95"/>
      <c r="P33" s="1">
        <f>MEDIAN(P14:P30)</f>
        <v>5.0927348066287514E-4</v>
      </c>
    </row>
    <row r="34" spans="1:16" x14ac:dyDescent="0.2">
      <c r="B34" s="96" t="s">
        <v>150</v>
      </c>
      <c r="C34" s="96"/>
      <c r="D34" s="96"/>
      <c r="E34">
        <f>E$31/(1+P34)</f>
        <v>1380.8581890925573</v>
      </c>
      <c r="F34">
        <f>AVERAGE(E34,E32)</f>
        <v>1347.9557495867973</v>
      </c>
      <c r="L34" s="96" t="s">
        <v>142</v>
      </c>
      <c r="M34" s="96"/>
      <c r="N34" s="96"/>
      <c r="O34" s="96"/>
      <c r="P34" s="1">
        <f>AVERAGE(P28,P25,P16:P21)</f>
        <v>-5.8473352825331448E-2</v>
      </c>
    </row>
    <row r="35" spans="1:16" x14ac:dyDescent="0.2">
      <c r="B35" s="97" t="s">
        <v>151</v>
      </c>
      <c r="C35" s="97"/>
      <c r="D35" s="97"/>
      <c r="E35">
        <f>E$31/(1+P35)</f>
        <v>1365.1530188156269</v>
      </c>
      <c r="F35">
        <f>AVERAGE(E35,E32)</f>
        <v>1340.1031644483321</v>
      </c>
      <c r="L35" s="97" t="s">
        <v>144</v>
      </c>
      <c r="M35" s="97"/>
      <c r="N35" s="97"/>
      <c r="O35" s="97"/>
      <c r="P35" s="1">
        <f>MEDIAN(P28,P25,P16:P21)</f>
        <v>-4.7641719953161354E-2</v>
      </c>
    </row>
    <row r="36" spans="1:16" x14ac:dyDescent="0.2">
      <c r="B36" s="98" t="s">
        <v>152</v>
      </c>
      <c r="C36" s="98"/>
      <c r="D36" s="98"/>
      <c r="E36">
        <f t="shared" ref="E33:E37" si="1">E$31/(1+P36)</f>
        <v>1261.6113852011204</v>
      </c>
      <c r="F36">
        <f>AVERAGE(E35,E31)</f>
        <v>1332.6338999078134</v>
      </c>
      <c r="I36" s="102"/>
      <c r="L36" s="98" t="s">
        <v>145</v>
      </c>
      <c r="M36" s="98"/>
      <c r="N36" s="98"/>
      <c r="O36" s="98"/>
      <c r="P36" s="1">
        <f>AVERAGE(P29:P30,P26:P27,P22:P24,P14:P15)</f>
        <v>3.0519220300743808E-2</v>
      </c>
    </row>
    <row r="37" spans="1:16" x14ac:dyDescent="0.2">
      <c r="B37" s="99" t="s">
        <v>153</v>
      </c>
      <c r="C37" s="99"/>
      <c r="D37" s="99"/>
      <c r="E37">
        <f t="shared" si="1"/>
        <v>1271.9229242462497</v>
      </c>
      <c r="L37" s="99" t="s">
        <v>146</v>
      </c>
      <c r="M37" s="99"/>
      <c r="N37" s="99"/>
      <c r="O37" s="99"/>
      <c r="P37" s="1">
        <f>MEDIAN(P29:P30,P26:P27,P22:P24,P14:P15)</f>
        <v>2.216475245184912E-2</v>
      </c>
    </row>
    <row r="39" spans="1:16" x14ac:dyDescent="0.2">
      <c r="A39" s="67" t="s">
        <v>103</v>
      </c>
      <c r="B39" t="s">
        <v>154</v>
      </c>
    </row>
    <row r="40" spans="1:16" x14ac:dyDescent="0.2">
      <c r="B40" t="s">
        <v>155</v>
      </c>
    </row>
    <row r="46" spans="1:16" x14ac:dyDescent="0.2">
      <c r="A46" s="67" t="s">
        <v>105</v>
      </c>
      <c r="B46" s="77" t="s">
        <v>156</v>
      </c>
      <c r="C46" s="78">
        <f>F36</f>
        <v>1332.6338999078134</v>
      </c>
      <c r="D46" t="s">
        <v>172</v>
      </c>
    </row>
    <row r="48" spans="1:16" x14ac:dyDescent="0.2">
      <c r="B48" s="187" t="s">
        <v>164</v>
      </c>
      <c r="C48" s="187"/>
      <c r="D48" s="2">
        <f>C46/D31-1</f>
        <v>-2.0266210919119731E-2</v>
      </c>
    </row>
    <row r="49" spans="2:4" x14ac:dyDescent="0.2">
      <c r="B49" s="175" t="s">
        <v>163</v>
      </c>
      <c r="C49" s="175"/>
      <c r="D49" s="2">
        <f>'1. Data &amp; Confidence Interval'!R25</f>
        <v>-2.5181769817343436E-2</v>
      </c>
    </row>
  </sheetData>
  <mergeCells count="2">
    <mergeCell ref="B49:C49"/>
    <mergeCell ref="B48:C48"/>
  </mergeCells>
  <conditionalFormatting sqref="P21:W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3:P37 S3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2021-10-21T21:24:19Z</dcterms:modified>
</cp:coreProperties>
</file>