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SYK\"/>
    </mc:Choice>
  </mc:AlternateContent>
  <xr:revisionPtr revIDLastSave="0" documentId="13_ncr:1_{BF0F8FCF-D73C-4D04-A354-458DA5ED40E2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4" l="1"/>
  <c r="Q35" i="4"/>
  <c r="Q34" i="4"/>
  <c r="Q33" i="4"/>
  <c r="Q32" i="4"/>
  <c r="Q31" i="4"/>
  <c r="C2" i="4" l="1"/>
  <c r="F36" i="4"/>
  <c r="F35" i="4"/>
  <c r="C45" i="4" s="1"/>
  <c r="F34" i="4"/>
  <c r="F33" i="4"/>
  <c r="F32" i="4"/>
  <c r="F31" i="4"/>
  <c r="J23" i="2"/>
  <c r="R23" i="2"/>
  <c r="AO23" i="1"/>
  <c r="AO22" i="1"/>
  <c r="AO21" i="1"/>
  <c r="AO20" i="1"/>
  <c r="O25" i="1" l="1"/>
  <c r="L25" i="1"/>
  <c r="O24" i="1"/>
  <c r="L24" i="1"/>
  <c r="AL20" i="1"/>
  <c r="AM20" i="1"/>
  <c r="AL22" i="1"/>
  <c r="AM22" i="1"/>
  <c r="L22" i="1"/>
  <c r="M22" i="1"/>
  <c r="N22" i="1"/>
  <c r="O23" i="1" s="1"/>
  <c r="O22" i="1"/>
  <c r="P22" i="1"/>
  <c r="L20" i="1"/>
  <c r="M20" i="1"/>
  <c r="P21" i="1" s="1"/>
  <c r="N20" i="1"/>
  <c r="O20" i="1"/>
  <c r="P20" i="1"/>
  <c r="R22" i="1"/>
  <c r="D47" i="4"/>
  <c r="E18" i="1"/>
  <c r="D18" i="1"/>
  <c r="C18" i="1"/>
  <c r="B18" i="1"/>
  <c r="B17" i="1"/>
  <c r="C17" i="1"/>
  <c r="D17" i="1"/>
  <c r="E17" i="1"/>
  <c r="F13" i="1"/>
  <c r="G13" i="1"/>
  <c r="H13" i="1"/>
  <c r="I13" i="1"/>
  <c r="M23" i="2"/>
  <c r="L23" i="2"/>
  <c r="K23" i="2"/>
  <c r="Q23" i="2" s="1"/>
  <c r="N23" i="2"/>
  <c r="O23" i="2"/>
  <c r="P23" i="1" l="1"/>
  <c r="O21" i="1"/>
  <c r="P23" i="2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J13" i="1"/>
  <c r="K13" i="1"/>
  <c r="L13" i="1"/>
  <c r="M13" i="1"/>
  <c r="J17" i="1"/>
  <c r="I17" i="1"/>
  <c r="H17" i="1"/>
  <c r="G17" i="1"/>
  <c r="F17" i="1"/>
  <c r="I18" i="1"/>
  <c r="H18" i="1"/>
  <c r="G18" i="1"/>
  <c r="F18" i="1"/>
  <c r="J18" i="1"/>
  <c r="J39" i="2" l="1"/>
  <c r="J42" i="2"/>
  <c r="L18" i="1"/>
  <c r="K18" i="1"/>
  <c r="Q22" i="1"/>
  <c r="S22" i="1"/>
  <c r="T22" i="1"/>
  <c r="Q20" i="1"/>
  <c r="R20" i="1"/>
  <c r="S20" i="1"/>
  <c r="T20" i="1"/>
  <c r="J41" i="2"/>
  <c r="J40" i="2"/>
  <c r="G40" i="2"/>
  <c r="R24" i="2"/>
  <c r="U22" i="1"/>
  <c r="V22" i="1"/>
  <c r="U20" i="1"/>
  <c r="V20" i="1"/>
  <c r="H39" i="2"/>
  <c r="H40" i="2"/>
  <c r="G44" i="2"/>
  <c r="G43" i="2"/>
  <c r="G42" i="2"/>
  <c r="G41" i="2"/>
  <c r="G39" i="2"/>
  <c r="G37" i="2"/>
  <c r="G36" i="2"/>
  <c r="E41" i="2"/>
  <c r="E40" i="2"/>
  <c r="E39" i="2"/>
  <c r="E38" i="2"/>
  <c r="E37" i="2"/>
  <c r="E36" i="2"/>
  <c r="E35" i="2"/>
  <c r="E34" i="2"/>
  <c r="E33" i="2"/>
  <c r="E32" i="2"/>
  <c r="E31" i="2"/>
  <c r="AN18" i="1"/>
  <c r="AO18" i="1"/>
  <c r="N17" i="1"/>
  <c r="M17" i="1"/>
  <c r="L17" i="1"/>
  <c r="K17" i="1"/>
  <c r="V17" i="1"/>
  <c r="U17" i="1"/>
  <c r="T17" i="1"/>
  <c r="S17" i="1"/>
  <c r="Q18" i="1"/>
  <c r="P18" i="1"/>
  <c r="N18" i="1"/>
  <c r="M18" i="1"/>
  <c r="W20" i="1"/>
  <c r="W22" i="1"/>
  <c r="AO25" i="1" l="1"/>
  <c r="AO26" i="1"/>
  <c r="Q21" i="1"/>
  <c r="S21" i="1"/>
  <c r="R21" i="1"/>
  <c r="R23" i="1"/>
  <c r="S23" i="1"/>
  <c r="Q23" i="1"/>
  <c r="V21" i="1"/>
  <c r="T21" i="1"/>
  <c r="W21" i="1"/>
  <c r="W23" i="1"/>
  <c r="U23" i="1"/>
  <c r="T23" i="1"/>
  <c r="U21" i="1"/>
  <c r="V23" i="1"/>
  <c r="J24" i="2"/>
  <c r="A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N13" i="1"/>
  <c r="Q31" i="2"/>
  <c r="P31" i="2"/>
  <c r="O31" i="2"/>
  <c r="N31" i="2"/>
  <c r="M31" i="2"/>
  <c r="L31" i="2"/>
  <c r="K31" i="2"/>
  <c r="R31" i="2"/>
  <c r="A30" i="2"/>
  <c r="B30" i="2"/>
  <c r="C30" i="2"/>
  <c r="D30" i="2"/>
  <c r="E30" i="2"/>
  <c r="F30" i="2"/>
  <c r="G30" i="2"/>
  <c r="H30" i="2"/>
  <c r="I30" i="2"/>
  <c r="J30" i="2"/>
  <c r="Q24" i="2"/>
  <c r="P24" i="2"/>
  <c r="O24" i="2"/>
  <c r="N24" i="2"/>
  <c r="M24" i="2"/>
  <c r="L24" i="2"/>
  <c r="K24" i="2"/>
  <c r="I24" i="2"/>
  <c r="H24" i="2"/>
  <c r="G24" i="2"/>
  <c r="F24" i="2"/>
  <c r="E24" i="2"/>
  <c r="AN17" i="1"/>
  <c r="AO24" i="1" s="1"/>
  <c r="AM17" i="1"/>
  <c r="AL17" i="1"/>
  <c r="AK17" i="1"/>
  <c r="AJ17" i="1"/>
  <c r="AK20" i="1"/>
  <c r="AJ20" i="1"/>
  <c r="AM21" i="1" s="1"/>
  <c r="AI20" i="1"/>
  <c r="AH20" i="1"/>
  <c r="AG20" i="1"/>
  <c r="AF20" i="1"/>
  <c r="AE20" i="1"/>
  <c r="AD20" i="1"/>
  <c r="AC20" i="1"/>
  <c r="AB20" i="1"/>
  <c r="AA20" i="1"/>
  <c r="Z20" i="1"/>
  <c r="Y20" i="1"/>
  <c r="X20" i="1"/>
  <c r="AM18" i="1"/>
  <c r="AL18" i="1"/>
  <c r="W18" i="1"/>
  <c r="V18" i="1"/>
  <c r="U18" i="1"/>
  <c r="T18" i="1"/>
  <c r="S18" i="1"/>
  <c r="R18" i="1"/>
  <c r="O18" i="1"/>
  <c r="P17" i="1"/>
  <c r="O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3" i="3"/>
  <c r="E23" i="3"/>
  <c r="AI17" i="1"/>
  <c r="AH17" i="1"/>
  <c r="AG17" i="1"/>
  <c r="AF17" i="1"/>
  <c r="AL21" i="1" l="1"/>
  <c r="AN10" i="1"/>
  <c r="N10" i="1"/>
  <c r="C7" i="1"/>
  <c r="Y21" i="1"/>
  <c r="X21" i="1"/>
  <c r="AK22" i="1"/>
  <c r="AJ22" i="1"/>
  <c r="AI22" i="1"/>
  <c r="AL23" i="1" s="1"/>
  <c r="AH22" i="1"/>
  <c r="AG22" i="1"/>
  <c r="AF22" i="1"/>
  <c r="AE22" i="1"/>
  <c r="AD22" i="1"/>
  <c r="AC22" i="1"/>
  <c r="AB22" i="1"/>
  <c r="AA22" i="1"/>
  <c r="Z22" i="1"/>
  <c r="Y22" i="1"/>
  <c r="X22" i="1"/>
  <c r="AG18" i="1"/>
  <c r="AF18" i="1"/>
  <c r="AE18" i="1"/>
  <c r="AD18" i="1"/>
  <c r="AC18" i="1"/>
  <c r="AB18" i="1"/>
  <c r="AA18" i="1"/>
  <c r="Z18" i="1"/>
  <c r="Y18" i="1"/>
  <c r="X18" i="1"/>
  <c r="Q17" i="1"/>
  <c r="R17" i="1"/>
  <c r="W17" i="1"/>
  <c r="X17" i="1"/>
  <c r="Y17" i="1"/>
  <c r="Z17" i="1"/>
  <c r="AA17" i="1"/>
  <c r="AB17" i="1"/>
  <c r="AC17" i="1"/>
  <c r="AD17" i="1"/>
  <c r="AE17" i="1"/>
  <c r="F19" i="3"/>
  <c r="AM23" i="1" l="1"/>
  <c r="D48" i="4"/>
  <c r="Y23" i="1"/>
  <c r="X23" i="1"/>
  <c r="B7" i="1"/>
  <c r="Z21" i="1"/>
  <c r="R44" i="2"/>
  <c r="R43" i="2"/>
  <c r="R42" i="2"/>
  <c r="R41" i="2"/>
  <c r="R39" i="2"/>
  <c r="R38" i="2"/>
  <c r="R37" i="2"/>
  <c r="R36" i="2"/>
  <c r="R35" i="2"/>
  <c r="R34" i="2"/>
  <c r="R33" i="2"/>
  <c r="R32" i="2"/>
  <c r="Q2" i="1" l="1"/>
  <c r="R2" i="1"/>
  <c r="R3" i="1"/>
  <c r="Q3" i="1"/>
  <c r="H19" i="3"/>
  <c r="S2" i="1" l="1"/>
  <c r="T2" i="1" s="1"/>
  <c r="S3" i="1"/>
  <c r="T3" i="1" s="1"/>
  <c r="R40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E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E42" i="2"/>
  <c r="F42" i="2"/>
  <c r="H42" i="2"/>
  <c r="I42" i="2"/>
  <c r="E43" i="2"/>
  <c r="F43" i="2"/>
  <c r="H43" i="2"/>
  <c r="I43" i="2"/>
  <c r="J43" i="2"/>
  <c r="F44" i="2"/>
  <c r="H44" i="2"/>
  <c r="I44" i="2"/>
  <c r="J44" i="2"/>
  <c r="H46" i="2" l="1" a="1"/>
  <c r="H46" i="2" s="1"/>
  <c r="H45" i="2" a="1"/>
  <c r="H45" i="2" s="1"/>
  <c r="Q46" i="2" a="1"/>
  <c r="Q46" i="2" s="1"/>
  <c r="Q45" i="2" a="1"/>
  <c r="Q45" i="2" s="1"/>
  <c r="P45" i="2" a="1"/>
  <c r="P45" i="2" s="1"/>
  <c r="P46" i="2" a="1"/>
  <c r="P46" i="2" s="1"/>
  <c r="F45" i="2" a="1"/>
  <c r="F45" i="2" s="1"/>
  <c r="F46" i="2" a="1"/>
  <c r="F46" i="2" s="1"/>
  <c r="N46" i="2" a="1"/>
  <c r="N46" i="2" s="1"/>
  <c r="N45" i="2" a="1"/>
  <c r="N45" i="2" s="1"/>
  <c r="M46" i="2" a="1"/>
  <c r="M46" i="2" s="1"/>
  <c r="M45" i="2" a="1"/>
  <c r="M45" i="2" s="1"/>
  <c r="O46" i="2" a="1"/>
  <c r="O46" i="2" s="1"/>
  <c r="O45" i="2" a="1"/>
  <c r="O45" i="2" s="1"/>
  <c r="L45" i="2" a="1"/>
  <c r="L45" i="2" s="1"/>
  <c r="L46" i="2" a="1"/>
  <c r="L46" i="2" s="1"/>
  <c r="E46" i="2" a="1"/>
  <c r="E46" i="2" s="1"/>
  <c r="E45" i="2" a="1"/>
  <c r="E45" i="2" s="1"/>
  <c r="J45" i="2" a="1"/>
  <c r="J45" i="2" s="1"/>
  <c r="J46" i="2" a="1"/>
  <c r="J46" i="2" s="1"/>
  <c r="K46" i="2" a="1"/>
  <c r="K46" i="2" s="1"/>
  <c r="K45" i="2" a="1"/>
  <c r="K45" i="2" s="1"/>
  <c r="G46" i="2" a="1"/>
  <c r="G46" i="2" s="1"/>
  <c r="G45" i="2" a="1"/>
  <c r="G45" i="2" s="1"/>
  <c r="I45" i="2" a="1"/>
  <c r="I45" i="2" s="1"/>
  <c r="I46" i="2" a="1"/>
  <c r="I46" i="2" s="1"/>
  <c r="R46" i="2" a="1"/>
  <c r="R46" i="2" s="1"/>
  <c r="R45" i="2" a="1"/>
  <c r="R45" i="2" s="1"/>
  <c r="AA21" i="1"/>
  <c r="AI21" i="1"/>
  <c r="AB21" i="1"/>
  <c r="AC21" i="1"/>
  <c r="AD21" i="1"/>
  <c r="AC23" i="1"/>
  <c r="AB23" i="1"/>
  <c r="AH23" i="1"/>
  <c r="AA23" i="1"/>
  <c r="Z23" i="1"/>
  <c r="AI23" i="1"/>
  <c r="AE23" i="1"/>
  <c r="AG23" i="1"/>
  <c r="AD23" i="1"/>
  <c r="AF23" i="1"/>
  <c r="AK23" i="1"/>
  <c r="AJ23" i="1"/>
  <c r="AK21" i="1"/>
  <c r="AE21" i="1"/>
  <c r="AF21" i="1"/>
  <c r="AG21" i="1"/>
  <c r="AH21" i="1"/>
  <c r="AJ21" i="1"/>
  <c r="S4" i="1" l="1"/>
  <c r="T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<sst xmlns="http://schemas.openxmlformats.org/spreadsheetml/2006/main" count="316" uniqueCount="173">
  <si>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</si>
  <si>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</si>
  <si>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</si>
  <si>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</si>
  <si>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</si>
  <si>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</si>
  <si>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</si>
  <si>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</si>
  <si>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</si>
  <si>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</si>
  <si>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</si>
  <si>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</si>
  <si>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</si>
  <si>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</si>
  <si>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</si>
  <si>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</si>
  <si>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</si>
  <si>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</si>
  <si>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</si>
  <si>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</si>
  <si>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</si>
  <si>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</si>
  <si>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</si>
  <si>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</si>
  <si>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</si>
  <si>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</si>
  <si>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</si>
  <si>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</si>
  <si>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</si>
  <si>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</si>
  <si>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</si>
  <si>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</si>
  <si>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</si>
  <si>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</si>
  <si>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</si>
  <si>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</si>
  <si>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</si>
  <si>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</si>
  <si>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</si>
  <si>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</si>
  <si>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</si>
  <si>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</si>
  <si>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</si>
  <si>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</si>
  <si>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</si>
  <si>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</si>
  <si>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</si>
  <si>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</si>
  <si>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</si>
  <si>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</si>
  <si>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</si>
  <si>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</si>
  <si>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</si>
  <si>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</si>
  <si>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</si>
  <si>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</si>
  <si>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</si>
  <si>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</si>
  <si>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</si>
  <si>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</si>
  <si>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</si>
  <si>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</si>
  <si>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</si>
  <si>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</si>
  <si>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</si>
  <si>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</si>
  <si>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</si>
  <si>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</si>
  <si>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</si>
  <si>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</si>
  <si>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</si>
  <si>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</si>
  <si>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</si>
  <si>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</si>
  <si>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</si>
  <si>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</si>
  <si>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</si>
  <si>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</si>
  <si>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</si>
  <si>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</si>
  <si>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</si>
  <si>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</si>
  <si>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</si>
  <si>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</si>
  <si>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</si>
  <si>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</si>
  <si>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</si>
  <si>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</si>
  <si>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</si>
  <si>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</si>
  <si>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</si>
  <si>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</si>
  <si>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</si>
  <si>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</si>
  <si>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</si>
  <si>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</si>
  <si>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</si>
  <si>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</si>
  <si>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</si>
  <si>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</si>
  <si>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</si>
  <si>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</si>
  <si>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</si>
  <si>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</si>
  <si>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</si>
  <si>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</si>
  <si>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</si>
  <si>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</si>
  <si>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</si>
  <si>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</si>
  <si>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</si>
  <si>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</si>
  <si>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</si>
  <si>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</si>
  <si>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</si>
  <si>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</si>
  <si>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</si>
  <si>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</si>
  <si>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</si>
  <si>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</si>
  <si>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</si>
  <si>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</si>
  <si>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</si>
  <si>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</si>
  <si>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</si>
  <si>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</si>
  <si>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</si>
  <si>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</si>
  <si>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</si>
  <si>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</si>
  <si>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</si>
  <si>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</si>
  <si>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</si>
  <si>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</si>
  <si>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</si>
  <si>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</si>
  <si>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</si>
  <si>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</si>
  <si>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</si>
  <si>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</si>
  <si>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</si>
  <si>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</si>
  <si>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</si>
  <si>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</si>
  <si>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</si>
  <si>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</si>
  <si>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</si>
  <si>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</si>
  <si>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</si>
  <si>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</si>
  <si>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</si>
  <si>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</si>
  <si>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</si>
  <si>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</si>
  <si>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</si>
  <si>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</si>
  <si>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</si>
  <si>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</si>
  <si>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</si>
  <si>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</si>
  <si>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</si>
  <si>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</si>
  <si>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</si>
  <si>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</si>
  <si>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</si>
  <si>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</si>
  <si>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</si>
  <si>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</si>
  <si>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2017Q2</t>
  </si>
  <si>
    <t>2017Q3</t>
  </si>
  <si>
    <t>If this value is unsatisfactory, use confidence interval.</t>
  </si>
  <si>
    <t>SYK_NNS</t>
  </si>
  <si>
    <t>Neurotechnology and 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</si>
</sst>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8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10" fontId="4" fillId="0" borderId="6" xfId="1" applyNumberFormat="1" applyFont="1" applyBorder="1"/>
    <xf numFmtId="10" fontId="4" fillId="0" borderId="11" xfId="1" applyNumberFormat="1" applyFont="1" applyBorder="1"/>
    <xf numFmtId="10" fontId="2" fillId="0" borderId="6" xfId="1" applyNumberFormat="1" applyFont="1" applyBorder="1"/>
    <xf numFmtId="10" fontId="2" fillId="0" borderId="11" xfId="1" applyNumberFormat="1" applyFont="1" applyBorder="1"/>
    <xf numFmtId="0" fontId="0" fillId="10" borderId="0" xfId="0" applyFill="1" applyAlignment="1"/>
    <xf numFmtId="0" fontId="0" fillId="10" borderId="0" xfId="0" applyFill="1"/>
    <xf numFmtId="10" fontId="2" fillId="0" borderId="7" xfId="1" applyNumberFormat="1" applyFont="1" applyBorder="1"/>
    <xf numFmtId="10" fontId="2" fillId="0" borderId="12" xfId="1" applyNumberFormat="1" applyFont="1" applyBorder="1"/>
    <xf numFmtId="0" fontId="0" fillId="5" borderId="2" xfId="0" applyFill="1" applyBorder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P29"/>
  <sheetViews>
    <sheetView zoomScale="70" zoomScaleNormal="70" workbookViewId="0">
      <selection sqref="A1:C3"/>
    </sheetView>
  </sheetViews>
  <sheetFormatPr defaultRowHeight="12.75" x14ac:dyDescent="0.2"/>
  <cols>
    <col min="1" max="1" width="17.85546875" bestFit="1" customWidth="1"/>
    <col min="2" max="5" width="17.85546875" customWidth="1"/>
    <col min="6" max="39" width="10.7109375" customWidth="1"/>
    <col min="40" max="40" width="17.85546875" customWidth="1"/>
    <col min="41" max="42" width="10.7109375" customWidth="1"/>
  </cols>
  <sheetData>
    <row r="1" spans="1:41" x14ac:dyDescent="0.2">
      <c r="A1" s="156" t="s">
        <v>171</v>
      </c>
      <c r="B1" s="157"/>
      <c r="C1" s="158"/>
      <c r="O1" s="165" t="s">
        <v>35</v>
      </c>
      <c r="P1" s="166"/>
      <c r="Q1" s="61" t="s">
        <v>31</v>
      </c>
      <c r="R1" s="61" t="s">
        <v>32</v>
      </c>
      <c r="S1" s="4" t="s">
        <v>39</v>
      </c>
      <c r="T1" s="167" t="s">
        <v>41</v>
      </c>
      <c r="U1" s="168"/>
    </row>
    <row r="2" spans="1:41" x14ac:dyDescent="0.2">
      <c r="A2" s="159"/>
      <c r="B2" s="160"/>
      <c r="C2" s="161"/>
      <c r="O2" s="59" t="s">
        <v>37</v>
      </c>
      <c r="P2" s="60"/>
      <c r="Q2" s="62">
        <f>$B$7*($AO$25-2*$AO$26)</f>
        <v>545.85603225196314</v>
      </c>
      <c r="R2" s="62">
        <f>$B$7*($AO$25+2*$AO$26)</f>
        <v>572.21987440305224</v>
      </c>
      <c r="S2" s="64">
        <f>AVERAGE(Q2:R2)</f>
        <v>559.03795332750769</v>
      </c>
      <c r="T2" s="169">
        <f>$S$2/AJ14-1</f>
        <v>4.1815045336391465E-2</v>
      </c>
      <c r="U2" s="170"/>
    </row>
    <row r="3" spans="1:41" x14ac:dyDescent="0.2">
      <c r="A3" s="162"/>
      <c r="B3" s="163"/>
      <c r="C3" s="164"/>
      <c r="O3" s="45" t="s">
        <v>38</v>
      </c>
      <c r="P3" s="19"/>
      <c r="Q3" s="63">
        <f>$C$7*($AO$25-2*$AO$26)</f>
        <v>550.86388575886201</v>
      </c>
      <c r="R3" s="63">
        <f>$C$7*($AO$25+2*$AO$26)</f>
        <v>577.46959802142896</v>
      </c>
      <c r="S3" s="65">
        <f>AVERAGE(Q3:R3)</f>
        <v>564.16674189014543</v>
      </c>
      <c r="T3" s="171">
        <f>$S$3/AJ15-1</f>
        <v>4.0898047767796042E-2</v>
      </c>
      <c r="U3" s="172"/>
    </row>
    <row r="4" spans="1:41" x14ac:dyDescent="0.2">
      <c r="A4" s="50"/>
      <c r="B4" s="50"/>
      <c r="C4" s="50"/>
      <c r="R4" s="4" t="s">
        <v>40</v>
      </c>
      <c r="S4" s="65">
        <f>AVERAGE(S2:S3)</f>
        <v>561.60234760882656</v>
      </c>
      <c r="T4" s="171">
        <f>$S$4/AJ15-1</f>
        <v>3.6166693005215134E-2</v>
      </c>
      <c r="U4" s="172"/>
    </row>
    <row r="5" spans="1:41" x14ac:dyDescent="0.2">
      <c r="A5" s="58" t="s">
        <v>34</v>
      </c>
      <c r="B5" s="48" t="s">
        <v>31</v>
      </c>
      <c r="C5" s="49" t="s">
        <v>32</v>
      </c>
      <c r="H5" s="86"/>
      <c r="I5" s="86"/>
    </row>
    <row r="6" spans="1:41" ht="15.75" x14ac:dyDescent="0.25">
      <c r="A6" s="52" t="s">
        <v>33</v>
      </c>
      <c r="B6" s="56">
        <v>16223.560000000001</v>
      </c>
      <c r="C6" s="57">
        <v>16372.400000000001</v>
      </c>
    </row>
    <row r="7" spans="1:41" ht="14.25" x14ac:dyDescent="0.2">
      <c r="A7" s="53" t="s">
        <v>36</v>
      </c>
      <c r="B7" s="54">
        <f>B6*$AO$24</f>
        <v>2241.0693446749337</v>
      </c>
      <c r="C7" s="55">
        <f>C6*$AO$24</f>
        <v>2261.6296138921352</v>
      </c>
    </row>
    <row r="8" spans="1:41" x14ac:dyDescent="0.2">
      <c r="J8" s="50"/>
      <c r="K8" s="50"/>
      <c r="L8" s="50"/>
    </row>
    <row r="9" spans="1:41" x14ac:dyDescent="0.2">
      <c r="J9" s="50"/>
      <c r="K9" s="50"/>
      <c r="L9" s="50"/>
    </row>
    <row r="10" spans="1:41" x14ac:dyDescent="0.2">
      <c r="L10" s="155" t="s">
        <v>15</v>
      </c>
      <c r="M10" s="155"/>
      <c r="N10" s="35">
        <f>AVERAGE(F13:AN13)</f>
        <v>1.1048864002796286</v>
      </c>
      <c r="AK10" s="155" t="s">
        <v>16</v>
      </c>
      <c r="AL10" s="155"/>
      <c r="AM10" s="155"/>
      <c r="AN10" s="79">
        <f>AVERAGE(AI13:AN13)</f>
        <v>1.0853420828056841</v>
      </c>
    </row>
    <row r="11" spans="1:41" x14ac:dyDescent="0.2">
      <c r="A11" s="51" t="s">
        <v>6</v>
      </c>
      <c r="B11" s="117">
        <v>2012</v>
      </c>
      <c r="C11" s="118"/>
      <c r="D11" s="118"/>
      <c r="E11" s="119"/>
      <c r="F11" s="120">
        <v>2013</v>
      </c>
      <c r="G11" s="121"/>
      <c r="H11" s="121"/>
      <c r="I11" s="122"/>
      <c r="J11" s="138">
        <v>2014</v>
      </c>
      <c r="K11" s="138"/>
      <c r="L11" s="138"/>
      <c r="M11" s="139"/>
      <c r="N11" s="140">
        <v>2015</v>
      </c>
      <c r="O11" s="141"/>
      <c r="P11" s="141"/>
      <c r="Q11" s="142"/>
      <c r="R11" s="140">
        <v>2016</v>
      </c>
      <c r="S11" s="141"/>
      <c r="T11" s="141"/>
      <c r="U11" s="142"/>
      <c r="V11" s="143">
        <v>2017</v>
      </c>
      <c r="W11" s="144"/>
      <c r="X11" s="144"/>
      <c r="Y11" s="145"/>
      <c r="Z11" s="151">
        <v>2018</v>
      </c>
      <c r="AA11" s="152"/>
      <c r="AB11" s="152"/>
      <c r="AC11" s="153"/>
      <c r="AD11" s="146">
        <v>2019</v>
      </c>
      <c r="AE11" s="147"/>
      <c r="AF11" s="147"/>
      <c r="AG11" s="148"/>
      <c r="AH11" s="149">
        <v>2020</v>
      </c>
      <c r="AI11" s="138"/>
      <c r="AJ11" s="138"/>
      <c r="AK11" s="139"/>
      <c r="AL11" s="140">
        <v>2021</v>
      </c>
      <c r="AM11" s="141"/>
      <c r="AN11" s="141"/>
      <c r="AO11" s="142"/>
    </row>
    <row r="12" spans="1:41" x14ac:dyDescent="0.2">
      <c r="A12" s="14" t="s">
        <v>19</v>
      </c>
      <c r="B12" s="113" t="s">
        <v>20</v>
      </c>
      <c r="C12" s="113" t="s">
        <v>3</v>
      </c>
      <c r="D12" s="113" t="s">
        <v>4</v>
      </c>
      <c r="E12" s="116" t="s">
        <v>5</v>
      </c>
      <c r="F12" s="80" t="s">
        <v>20</v>
      </c>
      <c r="G12" s="81" t="s">
        <v>3</v>
      </c>
      <c r="H12" s="81" t="s">
        <v>4</v>
      </c>
      <c r="I12" s="82" t="s">
        <v>5</v>
      </c>
      <c r="J12" s="20" t="s">
        <v>20</v>
      </c>
      <c r="K12" s="20" t="s">
        <v>3</v>
      </c>
      <c r="L12" s="20" t="s">
        <v>4</v>
      </c>
      <c r="M12" s="20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1" t="s">
        <v>20</v>
      </c>
      <c r="S12" s="22" t="s">
        <v>3</v>
      </c>
      <c r="T12" s="22" t="s">
        <v>4</v>
      </c>
      <c r="U12" s="22" t="s">
        <v>5</v>
      </c>
      <c r="V12" s="23" t="s">
        <v>20</v>
      </c>
      <c r="W12" s="24" t="s">
        <v>3</v>
      </c>
      <c r="X12" s="24" t="s">
        <v>4</v>
      </c>
      <c r="Y12" s="24" t="s">
        <v>5</v>
      </c>
      <c r="Z12" s="25" t="s">
        <v>20</v>
      </c>
      <c r="AA12" s="26" t="s">
        <v>3</v>
      </c>
      <c r="AB12" s="26" t="s">
        <v>4</v>
      </c>
      <c r="AC12" s="26" t="s">
        <v>5</v>
      </c>
      <c r="AD12" s="27" t="s">
        <v>20</v>
      </c>
      <c r="AE12" s="28" t="s">
        <v>3</v>
      </c>
      <c r="AF12" s="28" t="s">
        <v>4</v>
      </c>
      <c r="AG12" s="28" t="s">
        <v>5</v>
      </c>
      <c r="AH12" s="29" t="s">
        <v>20</v>
      </c>
      <c r="AI12" s="20" t="s">
        <v>3</v>
      </c>
      <c r="AJ12" s="20" t="s">
        <v>4</v>
      </c>
      <c r="AK12" s="20" t="s">
        <v>5</v>
      </c>
      <c r="AL12" s="37" t="s">
        <v>20</v>
      </c>
      <c r="AM12" s="38" t="s">
        <v>3</v>
      </c>
      <c r="AN12" s="39" t="s">
        <v>21</v>
      </c>
      <c r="AO12" s="30" t="s">
        <v>22</v>
      </c>
    </row>
    <row r="13" spans="1:41" x14ac:dyDescent="0.2">
      <c r="A13" s="34" t="s">
        <v>2</v>
      </c>
      <c r="F13" s="85">
        <f t="shared" ref="F13" si="0">F15/B15</f>
        <v>1.045436428856118</v>
      </c>
      <c r="G13" s="85">
        <f t="shared" ref="G13" si="1">G15/C15</f>
        <v>1.0706563706563708</v>
      </c>
      <c r="H13" s="85">
        <f t="shared" ref="H13" si="2">H15/D15</f>
        <v>1.0794094173982443</v>
      </c>
      <c r="I13" s="85">
        <f t="shared" ref="I13" si="3">I15/E15</f>
        <v>1.0392592592592593</v>
      </c>
      <c r="J13" s="85">
        <f t="shared" ref="J13:M13" si="4">J15/F15</f>
        <v>1.0545177277926039</v>
      </c>
      <c r="K13" s="85">
        <f t="shared" si="4"/>
        <v>1.0039668229354488</v>
      </c>
      <c r="L13" s="85">
        <f t="shared" si="4"/>
        <v>1.0587800369685767</v>
      </c>
      <c r="M13" s="85">
        <f t="shared" si="4"/>
        <v>1.0566642908054169</v>
      </c>
      <c r="N13" s="85">
        <f>N15/J15</f>
        <v>1.0354302241503974</v>
      </c>
      <c r="O13" s="85">
        <f t="shared" ref="O13:AM13" si="5">O15/K15</f>
        <v>1.1005747126436782</v>
      </c>
      <c r="P13" s="85">
        <f t="shared" si="5"/>
        <v>1.0754189944134078</v>
      </c>
      <c r="Q13" s="85">
        <f t="shared" si="5"/>
        <v>1.1011804384485666</v>
      </c>
      <c r="R13" s="85">
        <f t="shared" si="5"/>
        <v>1.0904329608938548</v>
      </c>
      <c r="S13" s="85">
        <f t="shared" si="5"/>
        <v>1.0593994778067886</v>
      </c>
      <c r="T13" s="85">
        <f t="shared" si="5"/>
        <v>1.0256493506493505</v>
      </c>
      <c r="U13" s="85">
        <f t="shared" si="5"/>
        <v>1.0085758039816233</v>
      </c>
      <c r="V13" s="85">
        <f t="shared" si="5"/>
        <v>1.1399295549151456</v>
      </c>
      <c r="W13" s="85">
        <f t="shared" si="5"/>
        <v>1.1213801601971656</v>
      </c>
      <c r="X13" s="85">
        <f t="shared" si="5"/>
        <v>1.142766698322254</v>
      </c>
      <c r="Y13" s="85">
        <f t="shared" si="5"/>
        <v>1.1752201639842088</v>
      </c>
      <c r="Z13" s="85">
        <f t="shared" si="5"/>
        <v>1.1067415730337078</v>
      </c>
      <c r="AA13" s="85">
        <f t="shared" si="5"/>
        <v>1.1648351648351649</v>
      </c>
      <c r="AB13" s="85">
        <f t="shared" si="5"/>
        <v>1.1800554016620499</v>
      </c>
      <c r="AC13" s="85">
        <f t="shared" si="5"/>
        <v>1.2351421188630491</v>
      </c>
      <c r="AD13" s="85">
        <f t="shared" si="5"/>
        <v>1.2893401015228427</v>
      </c>
      <c r="AE13" s="85">
        <f t="shared" si="5"/>
        <v>1.2594339622641511</v>
      </c>
      <c r="AF13" s="85">
        <f t="shared" si="5"/>
        <v>1.232394366197183</v>
      </c>
      <c r="AG13" s="85">
        <f t="shared" si="5"/>
        <v>1.2280334728033473</v>
      </c>
      <c r="AH13" s="85">
        <f t="shared" si="5"/>
        <v>0.97834645669291342</v>
      </c>
      <c r="AI13" s="85">
        <f t="shared" si="5"/>
        <v>0.6348314606741573</v>
      </c>
      <c r="AJ13" s="85">
        <f t="shared" si="5"/>
        <v>1.0323809523809524</v>
      </c>
      <c r="AK13" s="85">
        <f t="shared" si="5"/>
        <v>0.96763202725724018</v>
      </c>
      <c r="AL13" s="85">
        <f t="shared" si="5"/>
        <v>1.0623742454728371</v>
      </c>
      <c r="AM13" s="85">
        <f t="shared" si="5"/>
        <v>1.7345132743362832</v>
      </c>
      <c r="AN13" s="85">
        <f>AN14/AJ14</f>
        <v>1.0803205367126352</v>
      </c>
      <c r="AO13" s="31"/>
    </row>
    <row r="14" spans="1:41" x14ac:dyDescent="0.2">
      <c r="A14" s="15" t="s">
        <v>0</v>
      </c>
      <c r="B14" s="6">
        <v>250.9</v>
      </c>
      <c r="C14" s="6">
        <v>259</v>
      </c>
      <c r="D14" s="6">
        <v>250.6</v>
      </c>
      <c r="E14" s="6">
        <v>270</v>
      </c>
      <c r="F14" s="7">
        <v>262.3</v>
      </c>
      <c r="G14" s="7">
        <v>277.3</v>
      </c>
      <c r="H14" s="7">
        <v>270.5</v>
      </c>
      <c r="I14" s="7">
        <v>280.60000000000002</v>
      </c>
      <c r="J14" s="7">
        <v>276.60000000000002</v>
      </c>
      <c r="K14" s="7">
        <v>278.39999999999998</v>
      </c>
      <c r="L14" s="7">
        <v>286.39999999999998</v>
      </c>
      <c r="M14" s="7">
        <v>296.5</v>
      </c>
      <c r="N14" s="9">
        <v>286.39999999999998</v>
      </c>
      <c r="O14" s="6">
        <v>306.39999999999998</v>
      </c>
      <c r="P14" s="6">
        <v>308</v>
      </c>
      <c r="Q14" s="6">
        <v>326.5</v>
      </c>
      <c r="R14" s="9">
        <v>312.3</v>
      </c>
      <c r="S14" s="6">
        <v>324.60000000000002</v>
      </c>
      <c r="T14" s="6">
        <v>315.89999999999998</v>
      </c>
      <c r="U14" s="6">
        <v>329.3</v>
      </c>
      <c r="V14" s="9">
        <v>359.5</v>
      </c>
      <c r="W14" s="6">
        <v>371.5</v>
      </c>
      <c r="X14" s="6">
        <v>361.4</v>
      </c>
      <c r="Y14" s="6">
        <v>381.4</v>
      </c>
      <c r="Z14" s="9">
        <v>399.5</v>
      </c>
      <c r="AA14" s="6">
        <v>431.7</v>
      </c>
      <c r="AB14" s="6">
        <v>427</v>
      </c>
      <c r="AC14" s="6">
        <v>478.7</v>
      </c>
      <c r="AD14" s="9">
        <v>501.1</v>
      </c>
      <c r="AE14" s="6">
        <v>524.20000000000005</v>
      </c>
      <c r="AF14" s="6">
        <v>514.70000000000005</v>
      </c>
      <c r="AG14" s="6">
        <v>571.20000000000005</v>
      </c>
      <c r="AH14" s="9">
        <v>492</v>
      </c>
      <c r="AI14" s="6">
        <v>336.4</v>
      </c>
      <c r="AJ14" s="6">
        <v>536.6</v>
      </c>
      <c r="AK14" s="6">
        <v>557.20000000000005</v>
      </c>
      <c r="AL14" s="6">
        <v>525.79999999999995</v>
      </c>
      <c r="AM14" s="6">
        <v>585.70000000000005</v>
      </c>
      <c r="AN14" s="115">
        <v>579.70000000000005</v>
      </c>
      <c r="AO14" s="115">
        <v>630.4</v>
      </c>
    </row>
    <row r="15" spans="1:41" x14ac:dyDescent="0.2">
      <c r="A15" s="15" t="s">
        <v>1</v>
      </c>
      <c r="B15" s="6">
        <v>250.9</v>
      </c>
      <c r="C15" s="6">
        <v>259</v>
      </c>
      <c r="D15" s="6">
        <v>250.6</v>
      </c>
      <c r="E15" s="6">
        <v>270</v>
      </c>
      <c r="F15" s="6">
        <v>262.3</v>
      </c>
      <c r="G15" s="6">
        <v>277.3</v>
      </c>
      <c r="H15" s="6">
        <v>270.5</v>
      </c>
      <c r="I15" s="6">
        <v>280.60000000000002</v>
      </c>
      <c r="J15" s="6">
        <v>276.60000000000002</v>
      </c>
      <c r="K15" s="6">
        <v>278.39999999999998</v>
      </c>
      <c r="L15" s="6">
        <v>286.39999999999998</v>
      </c>
      <c r="M15" s="6">
        <v>296.5</v>
      </c>
      <c r="N15" s="9">
        <v>286.39999999999998</v>
      </c>
      <c r="O15" s="6">
        <v>306.39999999999998</v>
      </c>
      <c r="P15" s="6">
        <v>308</v>
      </c>
      <c r="Q15" s="6">
        <v>326.5</v>
      </c>
      <c r="R15" s="9">
        <v>312.3</v>
      </c>
      <c r="S15" s="6">
        <v>324.60000000000002</v>
      </c>
      <c r="T15" s="6">
        <v>315.89999999999998</v>
      </c>
      <c r="U15" s="6">
        <v>329.3</v>
      </c>
      <c r="V15" s="9">
        <v>356</v>
      </c>
      <c r="W15" s="6">
        <v>364</v>
      </c>
      <c r="X15" s="6">
        <v>361</v>
      </c>
      <c r="Y15" s="6">
        <v>387</v>
      </c>
      <c r="Z15" s="9">
        <v>394</v>
      </c>
      <c r="AA15" s="6">
        <v>424</v>
      </c>
      <c r="AB15" s="6">
        <v>426</v>
      </c>
      <c r="AC15" s="6">
        <v>478</v>
      </c>
      <c r="AD15" s="9">
        <v>508</v>
      </c>
      <c r="AE15" s="6">
        <v>534</v>
      </c>
      <c r="AF15" s="6">
        <v>525</v>
      </c>
      <c r="AG15" s="6">
        <v>587</v>
      </c>
      <c r="AH15" s="9">
        <v>497</v>
      </c>
      <c r="AI15" s="6">
        <v>339</v>
      </c>
      <c r="AJ15" s="6">
        <v>542</v>
      </c>
      <c r="AK15" s="6">
        <v>568</v>
      </c>
      <c r="AL15" s="9">
        <v>528</v>
      </c>
      <c r="AM15" s="6">
        <v>588</v>
      </c>
      <c r="AN15" s="9"/>
      <c r="AO15" s="10"/>
    </row>
    <row r="16" spans="1:41" x14ac:dyDescent="0.2">
      <c r="A16" s="15" t="s">
        <v>157</v>
      </c>
      <c r="B16" s="9">
        <v>2161</v>
      </c>
      <c r="C16" s="9">
        <v>2106</v>
      </c>
      <c r="D16" s="9">
        <v>2052</v>
      </c>
      <c r="E16" s="9">
        <v>2337</v>
      </c>
      <c r="F16" s="9">
        <v>2190</v>
      </c>
      <c r="G16" s="6">
        <v>2212</v>
      </c>
      <c r="H16" s="6">
        <v>2151</v>
      </c>
      <c r="I16" s="10">
        <v>2468</v>
      </c>
      <c r="J16" s="9">
        <v>2305</v>
      </c>
      <c r="K16" s="6">
        <v>2363</v>
      </c>
      <c r="L16" s="6">
        <v>2389</v>
      </c>
      <c r="M16" s="10">
        <v>2618</v>
      </c>
      <c r="N16" s="9">
        <v>2379</v>
      </c>
      <c r="O16" s="6">
        <v>2432</v>
      </c>
      <c r="P16" s="6">
        <v>2420</v>
      </c>
      <c r="Q16" s="10">
        <v>2715</v>
      </c>
      <c r="R16" s="9">
        <v>2495</v>
      </c>
      <c r="S16" s="6">
        <v>2840</v>
      </c>
      <c r="T16" s="6">
        <v>2833</v>
      </c>
      <c r="U16" s="10">
        <v>3157</v>
      </c>
      <c r="V16" s="9">
        <v>2955</v>
      </c>
      <c r="W16" s="6">
        <v>3012</v>
      </c>
      <c r="X16" s="6">
        <v>3006</v>
      </c>
      <c r="Y16" s="10">
        <v>3471</v>
      </c>
      <c r="Z16" s="9">
        <v>3241</v>
      </c>
      <c r="AA16" s="6">
        <v>3322</v>
      </c>
      <c r="AB16" s="6">
        <v>3242</v>
      </c>
      <c r="AC16" s="10">
        <v>3796</v>
      </c>
      <c r="AD16" s="9">
        <v>3516</v>
      </c>
      <c r="AE16" s="6">
        <v>3650</v>
      </c>
      <c r="AF16" s="6">
        <v>3587</v>
      </c>
      <c r="AG16" s="10">
        <v>4131</v>
      </c>
      <c r="AH16" s="9">
        <v>3588</v>
      </c>
      <c r="AI16" s="6">
        <v>2764</v>
      </c>
      <c r="AJ16" s="6">
        <v>3737</v>
      </c>
      <c r="AK16" s="10">
        <v>4262</v>
      </c>
      <c r="AL16" s="9">
        <v>3953</v>
      </c>
      <c r="AM16">
        <v>4294</v>
      </c>
      <c r="AN16" s="114">
        <v>4231.2</v>
      </c>
      <c r="AO16" s="10"/>
    </row>
    <row r="17" spans="1:42" x14ac:dyDescent="0.2">
      <c r="A17" s="87" t="s">
        <v>18</v>
      </c>
      <c r="B17" s="88">
        <f t="shared" ref="B17:E17" si="6">B15/B16</f>
        <v>0.11610365571494678</v>
      </c>
      <c r="C17" s="88">
        <f t="shared" si="6"/>
        <v>0.12298195631528964</v>
      </c>
      <c r="D17" s="88">
        <f t="shared" si="6"/>
        <v>0.12212475633528265</v>
      </c>
      <c r="E17" s="88">
        <f t="shared" si="6"/>
        <v>0.11553273427471117</v>
      </c>
      <c r="F17" s="88">
        <f>F15/F16</f>
        <v>0.1197716894977169</v>
      </c>
      <c r="G17" s="88">
        <f>G15/G16</f>
        <v>0.12536166365280291</v>
      </c>
      <c r="H17" s="88">
        <f>H15/H16</f>
        <v>0.12575546257554626</v>
      </c>
      <c r="I17" s="88">
        <f>I15/I16</f>
        <v>0.11369529983792545</v>
      </c>
      <c r="J17" s="88">
        <f>J15/J16</f>
        <v>0.12000000000000001</v>
      </c>
      <c r="K17" s="88">
        <f t="shared" ref="K17:P17" si="7">K15/K16</f>
        <v>0.11781633516716038</v>
      </c>
      <c r="L17" s="88">
        <f t="shared" si="7"/>
        <v>0.11988279614901631</v>
      </c>
      <c r="M17" s="88">
        <f t="shared" si="7"/>
        <v>0.11325439266615737</v>
      </c>
      <c r="N17" s="88">
        <f t="shared" si="7"/>
        <v>0.12038671710802858</v>
      </c>
      <c r="O17" s="88">
        <f t="shared" si="7"/>
        <v>0.12598684210526315</v>
      </c>
      <c r="P17" s="88">
        <f t="shared" si="7"/>
        <v>0.12727272727272726</v>
      </c>
      <c r="Q17" s="88">
        <f t="shared" ref="Q17:AE17" si="8">Q15/Q16</f>
        <v>0.12025782688766114</v>
      </c>
      <c r="R17" s="88">
        <f t="shared" si="8"/>
        <v>0.12517034068136274</v>
      </c>
      <c r="S17" s="88">
        <f>S15/S16</f>
        <v>0.11429577464788733</v>
      </c>
      <c r="T17" s="88">
        <f>T15/T16</f>
        <v>0.11150723614542886</v>
      </c>
      <c r="U17" s="88">
        <f>U15/U16</f>
        <v>0.10430788723471651</v>
      </c>
      <c r="V17" s="88">
        <f>V15/V16</f>
        <v>0.12047377326565144</v>
      </c>
      <c r="W17" s="88">
        <f t="shared" si="8"/>
        <v>0.12084993359893759</v>
      </c>
      <c r="X17" s="88">
        <f t="shared" si="8"/>
        <v>0.12009314703925482</v>
      </c>
      <c r="Y17" s="88">
        <f t="shared" si="8"/>
        <v>0.111495246326707</v>
      </c>
      <c r="Z17" s="88">
        <f t="shared" si="8"/>
        <v>0.12156741746374576</v>
      </c>
      <c r="AA17" s="88">
        <f t="shared" si="8"/>
        <v>0.12763395544852499</v>
      </c>
      <c r="AB17" s="88">
        <f t="shared" si="8"/>
        <v>0.13140037014188771</v>
      </c>
      <c r="AC17" s="88">
        <f t="shared" si="8"/>
        <v>0.12592202318229714</v>
      </c>
      <c r="AD17" s="88">
        <f t="shared" si="8"/>
        <v>0.14448236632536973</v>
      </c>
      <c r="AE17" s="88">
        <f t="shared" si="8"/>
        <v>0.1463013698630137</v>
      </c>
      <c r="AF17" s="88">
        <f t="shared" ref="AF17:AI17" si="9">AF15/AF16</f>
        <v>0.14636186228045719</v>
      </c>
      <c r="AG17" s="88">
        <f t="shared" si="9"/>
        <v>0.1420963447107238</v>
      </c>
      <c r="AH17" s="88">
        <f t="shared" si="9"/>
        <v>0.13851727982162765</v>
      </c>
      <c r="AI17" s="88">
        <f t="shared" si="9"/>
        <v>0.12264833574529667</v>
      </c>
      <c r="AJ17" s="88">
        <f>AJ15/AJ16</f>
        <v>0.14503612523414502</v>
      </c>
      <c r="AK17" s="88">
        <f>AK15/AK16</f>
        <v>0.13327076489910841</v>
      </c>
      <c r="AL17" s="88">
        <f>AL15/AL16</f>
        <v>0.13356944093093853</v>
      </c>
      <c r="AM17" s="88">
        <f>AM15/AM16</f>
        <v>0.13693525850023289</v>
      </c>
      <c r="AN17" s="89">
        <f>AN14/AN16</f>
        <v>0.13700605029306109</v>
      </c>
      <c r="AO17" s="90"/>
    </row>
    <row r="18" spans="1:42" x14ac:dyDescent="0.2">
      <c r="A18" s="87" t="s">
        <v>24</v>
      </c>
      <c r="B18" s="88">
        <f>B15/SUM(B15:E15)</f>
        <v>0.24347404172731685</v>
      </c>
      <c r="C18" s="88">
        <f>C15/SUM(B15:E15)</f>
        <v>0.25133430373605048</v>
      </c>
      <c r="D18" s="88">
        <f>D15/SUM(B15:E15)</f>
        <v>0.24318292091217855</v>
      </c>
      <c r="E18" s="91">
        <f>E15/SUM(B15:E15)</f>
        <v>0.26200873362445415</v>
      </c>
      <c r="F18" s="88">
        <f>F15/SUM(F15:I15)</f>
        <v>0.24048776015402953</v>
      </c>
      <c r="G18" s="88">
        <f>G15/SUM(F15:I15)</f>
        <v>0.25424039607591453</v>
      </c>
      <c r="H18" s="88">
        <f>H15/SUM(F15:I15)</f>
        <v>0.24800586779132666</v>
      </c>
      <c r="I18" s="91">
        <f>I15/SUM(F15:I15)</f>
        <v>0.25726597597872924</v>
      </c>
      <c r="J18" s="88">
        <f>J15/SUM(J15:M15)</f>
        <v>0.24307935670972844</v>
      </c>
      <c r="K18" s="88">
        <f>K15/SUM(J15:M15)</f>
        <v>0.24466121803321905</v>
      </c>
      <c r="L18" s="88">
        <f>L15/SUM(J15:M15)</f>
        <v>0.25169171280428854</v>
      </c>
      <c r="M18" s="91">
        <f>M15/SUM(J15:M15)</f>
        <v>0.26056771245276383</v>
      </c>
      <c r="N18" s="88">
        <f>N15/SUM(N15:Q15)</f>
        <v>0.23335777723457996</v>
      </c>
      <c r="O18" s="88">
        <f>O15/SUM(N15:Q15)</f>
        <v>0.24965371139900594</v>
      </c>
      <c r="P18" s="88">
        <f>P15/SUM(N15:Q15)</f>
        <v>0.25095738613216001</v>
      </c>
      <c r="Q18" s="91">
        <f>Q15/SUM(N15:Q15)</f>
        <v>0.26603112523425404</v>
      </c>
      <c r="R18" s="88">
        <f>R15/SUM(R15:U15)</f>
        <v>0.24358474377973635</v>
      </c>
      <c r="S18" s="88">
        <f>S15/SUM(R15:U15)</f>
        <v>0.25317837922158959</v>
      </c>
      <c r="T18" s="88">
        <f>T15/SUM(R15:U15)</f>
        <v>0.24639263707979092</v>
      </c>
      <c r="U18" s="91">
        <f>U15/SUM(R15:U15)</f>
        <v>0.25684423991888305</v>
      </c>
      <c r="V18" s="88">
        <f>V15/SUM(V15:Y15)</f>
        <v>0.24250681198910082</v>
      </c>
      <c r="W18" s="88">
        <f>W15/SUM(V15:Y15)</f>
        <v>0.24795640326975477</v>
      </c>
      <c r="X18" s="88">
        <f>X15/SUM(V15:Y15)</f>
        <v>0.24591280653950953</v>
      </c>
      <c r="Y18" s="91">
        <f>Y15/SUM(V15:Y15)</f>
        <v>0.26362397820163486</v>
      </c>
      <c r="Z18" s="88">
        <f>Z15/SUM(Z15:AC15)</f>
        <v>0.22880371660859466</v>
      </c>
      <c r="AA18" s="88">
        <f>AA15/SUM(Z15:AC15)</f>
        <v>0.24622531939605111</v>
      </c>
      <c r="AB18" s="88">
        <f>AB15/SUM(Z15:AC15)</f>
        <v>0.24738675958188153</v>
      </c>
      <c r="AC18" s="91">
        <f>AC15/SUM(Z15:AC15)</f>
        <v>0.2775842044134727</v>
      </c>
      <c r="AD18" s="88">
        <f>AD15/SUM(AD15:AG15)</f>
        <v>0.23584029712163418</v>
      </c>
      <c r="AE18" s="88">
        <f>AE15/SUM(AD15:AG15)</f>
        <v>0.24791086350974931</v>
      </c>
      <c r="AF18" s="88">
        <f>AF15/SUM(AD15:AG15)</f>
        <v>0.24373259052924792</v>
      </c>
      <c r="AG18" s="91">
        <f>AG15/SUM(AD15:AG15)</f>
        <v>0.27251624883936859</v>
      </c>
      <c r="AH18" s="88"/>
      <c r="AI18" s="88"/>
      <c r="AJ18" s="88"/>
      <c r="AK18" s="91"/>
      <c r="AL18" s="88">
        <f>AL15/SUM(AL15:AM15,AN14:AO14)</f>
        <v>0.22698938136795496</v>
      </c>
      <c r="AM18" s="88">
        <f>AM15/SUM(AL15:AM15,AN14:AO14)</f>
        <v>0.2527836292506771</v>
      </c>
      <c r="AN18" s="88">
        <f>AN14/SUM(AL15:AM15,AN14:AO14)</f>
        <v>0.24921542496023388</v>
      </c>
      <c r="AO18" s="91">
        <f>AO14/SUM(AL15:AM15,AN14:AO14)</f>
        <v>0.27101156442113411</v>
      </c>
      <c r="AP18" s="3"/>
    </row>
    <row r="19" spans="1:42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>
        <v>295.10000000000002</v>
      </c>
      <c r="M19" s="12">
        <v>318.39999999999998</v>
      </c>
      <c r="N19" s="11">
        <v>307.39999999999998</v>
      </c>
      <c r="O19" s="12">
        <v>316.7</v>
      </c>
      <c r="P19" s="12">
        <v>328.1</v>
      </c>
      <c r="Q19" s="6">
        <v>259.2</v>
      </c>
      <c r="R19" s="9">
        <v>266.8</v>
      </c>
      <c r="S19" s="12">
        <v>277.8</v>
      </c>
      <c r="T19" s="12">
        <v>348.3</v>
      </c>
      <c r="U19" s="6">
        <v>359.3</v>
      </c>
      <c r="V19" s="83">
        <v>362</v>
      </c>
      <c r="W19" s="83">
        <v>347.9</v>
      </c>
      <c r="X19" s="83">
        <v>342</v>
      </c>
      <c r="Y19" s="83">
        <v>364.1</v>
      </c>
      <c r="Z19" s="83">
        <v>328.3</v>
      </c>
      <c r="AA19" s="63">
        <v>383.5</v>
      </c>
      <c r="AB19" s="63">
        <v>395.8</v>
      </c>
      <c r="AC19" s="63">
        <v>444.2</v>
      </c>
      <c r="AD19" s="83">
        <v>469.9</v>
      </c>
      <c r="AE19" s="63">
        <v>524.1</v>
      </c>
      <c r="AF19" s="63">
        <v>526.1</v>
      </c>
      <c r="AG19" s="63">
        <v>559.5</v>
      </c>
      <c r="AH19" s="83">
        <v>521.4</v>
      </c>
      <c r="AI19" s="63">
        <v>381.9</v>
      </c>
      <c r="AJ19" s="63">
        <v>471.8</v>
      </c>
      <c r="AK19" s="63">
        <v>578.79999999999995</v>
      </c>
      <c r="AL19" s="83">
        <v>525.9</v>
      </c>
      <c r="AM19" s="63">
        <v>556.6</v>
      </c>
      <c r="AN19" s="84"/>
      <c r="AO19" s="13"/>
    </row>
    <row r="20" spans="1:42" x14ac:dyDescent="0.2">
      <c r="J20" s="132" t="s">
        <v>7</v>
      </c>
      <c r="K20" s="150"/>
      <c r="L20" s="7">
        <f t="shared" ref="L20:P20" si="10">IF(L15&gt;L19,1,0)</f>
        <v>0</v>
      </c>
      <c r="M20" s="7">
        <f t="shared" si="10"/>
        <v>0</v>
      </c>
      <c r="N20" s="7">
        <f t="shared" si="10"/>
        <v>0</v>
      </c>
      <c r="O20" s="7">
        <f t="shared" si="10"/>
        <v>0</v>
      </c>
      <c r="P20" s="7">
        <f t="shared" si="10"/>
        <v>0</v>
      </c>
      <c r="Q20" s="7">
        <f t="shared" ref="Q20:T20" si="11">IF(Q15&gt;Q19,1,0)</f>
        <v>1</v>
      </c>
      <c r="R20" s="7">
        <f t="shared" si="11"/>
        <v>1</v>
      </c>
      <c r="S20" s="7">
        <f t="shared" si="11"/>
        <v>1</v>
      </c>
      <c r="T20" s="7">
        <f t="shared" si="11"/>
        <v>0</v>
      </c>
      <c r="U20" s="7">
        <f t="shared" ref="U20:AM20" si="12">IF(U15&gt;U19,1,0)</f>
        <v>0</v>
      </c>
      <c r="V20" s="7">
        <f t="shared" si="12"/>
        <v>0</v>
      </c>
      <c r="W20" s="7">
        <f t="shared" si="12"/>
        <v>1</v>
      </c>
      <c r="X20" s="7">
        <f t="shared" si="12"/>
        <v>1</v>
      </c>
      <c r="Y20" s="7">
        <f t="shared" si="12"/>
        <v>1</v>
      </c>
      <c r="Z20" s="7">
        <f t="shared" si="12"/>
        <v>1</v>
      </c>
      <c r="AA20" s="7">
        <f t="shared" si="12"/>
        <v>1</v>
      </c>
      <c r="AB20" s="7">
        <f t="shared" si="12"/>
        <v>1</v>
      </c>
      <c r="AC20" s="7">
        <f t="shared" si="12"/>
        <v>1</v>
      </c>
      <c r="AD20" s="7">
        <f t="shared" si="12"/>
        <v>1</v>
      </c>
      <c r="AE20" s="7">
        <f t="shared" si="12"/>
        <v>1</v>
      </c>
      <c r="AF20" s="7">
        <f t="shared" si="12"/>
        <v>0</v>
      </c>
      <c r="AG20" s="7">
        <f t="shared" si="12"/>
        <v>1</v>
      </c>
      <c r="AH20" s="7">
        <f t="shared" si="12"/>
        <v>0</v>
      </c>
      <c r="AI20" s="7">
        <f t="shared" si="12"/>
        <v>0</v>
      </c>
      <c r="AJ20" s="7">
        <f t="shared" si="12"/>
        <v>1</v>
      </c>
      <c r="AK20" s="7">
        <f t="shared" si="12"/>
        <v>0</v>
      </c>
      <c r="AL20" s="7">
        <f>IF(AL15&gt;AL19,1,0)</f>
        <v>1</v>
      </c>
      <c r="AM20" s="8">
        <f t="shared" si="12"/>
        <v>1</v>
      </c>
      <c r="AN20" s="45" t="s">
        <v>8</v>
      </c>
      <c r="AO20" s="42">
        <f>AVERAGE(L20:AM20)</f>
        <v>0.5714285714285714</v>
      </c>
    </row>
    <row r="21" spans="1:42" x14ac:dyDescent="0.2">
      <c r="J21" s="123" t="s">
        <v>9</v>
      </c>
      <c r="K21" s="124"/>
      <c r="M21" s="6"/>
      <c r="N21" s="6"/>
      <c r="O21" s="6">
        <f t="shared" ref="O21" si="13">AVERAGE(L20:O20)</f>
        <v>0</v>
      </c>
      <c r="P21" s="6">
        <f t="shared" ref="P21" si="14">AVERAGE(M20:P20)</f>
        <v>0</v>
      </c>
      <c r="Q21" s="6">
        <f t="shared" ref="Q21" si="15">AVERAGE(N20:Q20)</f>
        <v>0.25</v>
      </c>
      <c r="R21" s="6">
        <f t="shared" ref="R21" si="16">AVERAGE(O20:R20)</f>
        <v>0.5</v>
      </c>
      <c r="S21" s="6">
        <f t="shared" ref="S21" si="17">AVERAGE(P20:S20)</f>
        <v>0.75</v>
      </c>
      <c r="T21" s="6">
        <f t="shared" ref="T21" si="18">AVERAGE(Q20:T20)</f>
        <v>0.75</v>
      </c>
      <c r="U21" s="6">
        <f t="shared" ref="U21" si="19">AVERAGE(R20:U20)</f>
        <v>0.5</v>
      </c>
      <c r="V21" s="6">
        <f t="shared" ref="V21" si="20">AVERAGE(S20:V20)</f>
        <v>0.25</v>
      </c>
      <c r="W21" s="6">
        <f t="shared" ref="W21" si="21">AVERAGE(T20:W20)</f>
        <v>0.25</v>
      </c>
      <c r="X21" s="6">
        <f t="shared" ref="X21" si="22">AVERAGE(U20:X20)</f>
        <v>0.5</v>
      </c>
      <c r="Y21" s="6">
        <f t="shared" ref="Y21" si="23">AVERAGE(V20:Y20)</f>
        <v>0.75</v>
      </c>
      <c r="Z21" s="6">
        <f t="shared" ref="Z21:AM21" si="24">AVERAGE(W20:Z20)</f>
        <v>1</v>
      </c>
      <c r="AA21" s="6">
        <f t="shared" si="24"/>
        <v>1</v>
      </c>
      <c r="AB21" s="6">
        <f t="shared" si="24"/>
        <v>1</v>
      </c>
      <c r="AC21" s="6">
        <f t="shared" si="24"/>
        <v>1</v>
      </c>
      <c r="AD21" s="6">
        <f t="shared" si="24"/>
        <v>1</v>
      </c>
      <c r="AE21" s="6">
        <f t="shared" si="24"/>
        <v>1</v>
      </c>
      <c r="AF21" s="6">
        <f t="shared" si="24"/>
        <v>0.75</v>
      </c>
      <c r="AG21" s="6">
        <f t="shared" si="24"/>
        <v>0.75</v>
      </c>
      <c r="AH21" s="6">
        <f t="shared" si="24"/>
        <v>0.5</v>
      </c>
      <c r="AI21" s="6">
        <f t="shared" si="24"/>
        <v>0.25</v>
      </c>
      <c r="AJ21" s="6">
        <f t="shared" si="24"/>
        <v>0.5</v>
      </c>
      <c r="AK21" s="6">
        <f t="shared" si="24"/>
        <v>0.25</v>
      </c>
      <c r="AL21" s="6">
        <f>AVERAGE(AI20:AL20)</f>
        <v>0.5</v>
      </c>
      <c r="AM21" s="10">
        <f t="shared" si="24"/>
        <v>0.75</v>
      </c>
      <c r="AN21" s="41" t="s">
        <v>10</v>
      </c>
      <c r="AO21" s="42">
        <f>AVERAGE(O21:AM21)</f>
        <v>0.59</v>
      </c>
    </row>
    <row r="22" spans="1:42" x14ac:dyDescent="0.2">
      <c r="J22" s="136" t="s">
        <v>11</v>
      </c>
      <c r="K22" s="137"/>
      <c r="L22" s="18">
        <f t="shared" ref="L22:P22" si="25">L15/L19-1</f>
        <v>-2.9481531684175E-2</v>
      </c>
      <c r="M22" s="18">
        <f t="shared" si="25"/>
        <v>-6.8781407035175768E-2</v>
      </c>
      <c r="N22" s="18">
        <f t="shared" si="25"/>
        <v>-6.8314899154196529E-2</v>
      </c>
      <c r="O22" s="18">
        <f t="shared" si="25"/>
        <v>-3.2522892327123465E-2</v>
      </c>
      <c r="P22" s="18">
        <f t="shared" si="25"/>
        <v>-6.1261810423651419E-2</v>
      </c>
      <c r="Q22" s="18">
        <f t="shared" ref="Q22:T22" si="26">Q15/Q19-1</f>
        <v>0.25964506172839519</v>
      </c>
      <c r="R22" s="18">
        <f>R15/R19-1</f>
        <v>0.17053973013493251</v>
      </c>
      <c r="S22" s="18">
        <f t="shared" si="26"/>
        <v>0.16846652267818585</v>
      </c>
      <c r="T22" s="18">
        <f t="shared" si="26"/>
        <v>-9.3023255813953543E-2</v>
      </c>
      <c r="U22" s="18">
        <f t="shared" ref="U22:AM22" si="27">U15/U19-1</f>
        <v>-8.3495686056220375E-2</v>
      </c>
      <c r="V22" s="18">
        <f t="shared" si="27"/>
        <v>-1.6574585635359074E-2</v>
      </c>
      <c r="W22" s="18">
        <f t="shared" si="27"/>
        <v>4.6277665995975825E-2</v>
      </c>
      <c r="X22" s="18">
        <f t="shared" si="27"/>
        <v>5.555555555555558E-2</v>
      </c>
      <c r="Y22" s="18">
        <f t="shared" si="27"/>
        <v>6.2894809118374084E-2</v>
      </c>
      <c r="Z22" s="18">
        <f t="shared" si="27"/>
        <v>0.20012183978068832</v>
      </c>
      <c r="AA22" s="18">
        <f t="shared" si="27"/>
        <v>0.105606258148631</v>
      </c>
      <c r="AB22" s="18">
        <f t="shared" si="27"/>
        <v>7.6301162203132877E-2</v>
      </c>
      <c r="AC22" s="18">
        <f t="shared" si="27"/>
        <v>7.6091850517784776E-2</v>
      </c>
      <c r="AD22" s="18">
        <f t="shared" si="27"/>
        <v>8.1081081081081141E-2</v>
      </c>
      <c r="AE22" s="18">
        <f t="shared" si="27"/>
        <v>1.8889524899828203E-2</v>
      </c>
      <c r="AF22" s="18">
        <f t="shared" si="27"/>
        <v>-2.0908572514731771E-3</v>
      </c>
      <c r="AG22" s="18">
        <f t="shared" si="27"/>
        <v>4.9151027703306482E-2</v>
      </c>
      <c r="AH22" s="18">
        <f t="shared" si="27"/>
        <v>-4.6797084771768249E-2</v>
      </c>
      <c r="AI22" s="18">
        <f t="shared" si="27"/>
        <v>-0.11233307148468175</v>
      </c>
      <c r="AJ22" s="18">
        <f t="shared" si="27"/>
        <v>0.14879186095803298</v>
      </c>
      <c r="AK22" s="18">
        <f t="shared" si="27"/>
        <v>-1.8659295093296446E-2</v>
      </c>
      <c r="AL22" s="18">
        <f t="shared" si="27"/>
        <v>3.993154592127901E-3</v>
      </c>
      <c r="AM22" s="40">
        <f t="shared" si="27"/>
        <v>5.6413941789435817E-2</v>
      </c>
      <c r="AN22" s="41" t="s">
        <v>13</v>
      </c>
      <c r="AO22" s="43">
        <f>MEDIAN(L22:AM22)</f>
        <v>3.2583595447902014E-2</v>
      </c>
    </row>
    <row r="23" spans="1:42" x14ac:dyDescent="0.2">
      <c r="J23" s="123" t="s">
        <v>12</v>
      </c>
      <c r="K23" s="124"/>
      <c r="M23" s="32"/>
      <c r="N23" s="32"/>
      <c r="O23" s="32">
        <f t="shared" ref="O23" si="28">AVERAGE(L22:O22)</f>
        <v>-4.977518255016769E-2</v>
      </c>
      <c r="P23" s="32">
        <f t="shared" ref="P23" si="29">AVERAGE(M22:P22)</f>
        <v>-5.7720252235036795E-2</v>
      </c>
      <c r="Q23" s="32">
        <f t="shared" ref="Q23" si="30">AVERAGE(N22:Q22)</f>
        <v>2.4386364955855944E-2</v>
      </c>
      <c r="R23" s="32">
        <f t="shared" ref="R23" si="31">AVERAGE(O22:R22)</f>
        <v>8.4100022278138203E-2</v>
      </c>
      <c r="S23" s="32">
        <f t="shared" ref="S23" si="32">AVERAGE(P22:S22)</f>
        <v>0.13434737602946553</v>
      </c>
      <c r="T23" s="32">
        <f t="shared" ref="T23" si="33">AVERAGE(Q22:T22)</f>
        <v>0.12640701468189</v>
      </c>
      <c r="U23" s="32">
        <f t="shared" ref="U23" si="34">AVERAGE(R22:U22)</f>
        <v>4.062182773573611E-2</v>
      </c>
      <c r="V23" s="32">
        <f t="shared" ref="V23" si="35">AVERAGE(S22:V22)</f>
        <v>-6.1567512068367858E-3</v>
      </c>
      <c r="W23" s="32">
        <f t="shared" ref="W23" si="36">AVERAGE(T22:W22)</f>
        <v>-3.6703965377389292E-2</v>
      </c>
      <c r="X23" s="32">
        <f t="shared" ref="X23" si="37">AVERAGE(U22:X22)</f>
        <v>4.4073746498798916E-4</v>
      </c>
      <c r="Y23" s="32">
        <f t="shared" ref="Y23" si="38">AVERAGE(V22:Y22)</f>
        <v>3.7038361258636604E-2</v>
      </c>
      <c r="Z23" s="32">
        <f t="shared" ref="Z23:AM23" si="39">AVERAGE(W22:Z22)</f>
        <v>9.1212467612648451E-2</v>
      </c>
      <c r="AA23" s="32">
        <f t="shared" si="39"/>
        <v>0.10604461565081225</v>
      </c>
      <c r="AB23" s="32">
        <f t="shared" si="39"/>
        <v>0.11123101731270657</v>
      </c>
      <c r="AC23" s="32">
        <f t="shared" si="39"/>
        <v>0.11453027766255924</v>
      </c>
      <c r="AD23" s="32">
        <f t="shared" si="39"/>
        <v>8.477008798765745E-2</v>
      </c>
      <c r="AE23" s="32">
        <f t="shared" si="39"/>
        <v>6.3090904675456749E-2</v>
      </c>
      <c r="AF23" s="32">
        <f t="shared" si="39"/>
        <v>4.3492899811805236E-2</v>
      </c>
      <c r="AG23" s="32">
        <f t="shared" si="39"/>
        <v>3.6757694108185662E-2</v>
      </c>
      <c r="AH23" s="32">
        <f t="shared" si="39"/>
        <v>4.7881526449733147E-3</v>
      </c>
      <c r="AI23" s="32">
        <f t="shared" si="39"/>
        <v>-2.8017496451154172E-2</v>
      </c>
      <c r="AJ23" s="32">
        <f t="shared" si="39"/>
        <v>9.7031831012223679E-3</v>
      </c>
      <c r="AK23" s="32">
        <f t="shared" si="39"/>
        <v>-7.2493975979283642E-3</v>
      </c>
      <c r="AL23" s="32">
        <f t="shared" si="39"/>
        <v>5.4481622430456733E-3</v>
      </c>
      <c r="AM23" s="33">
        <f t="shared" si="39"/>
        <v>4.7634915561575064E-2</v>
      </c>
      <c r="AN23" s="19" t="s">
        <v>14</v>
      </c>
      <c r="AO23" s="33">
        <f>MEDIAN(O23:AM23)</f>
        <v>3.7038361258636604E-2</v>
      </c>
    </row>
    <row r="24" spans="1:42" x14ac:dyDescent="0.2">
      <c r="J24" s="132" t="s">
        <v>25</v>
      </c>
      <c r="K24" s="150"/>
      <c r="L24" s="101">
        <f>AVERAGE(Q22:S22,W22:AE22,AG22,AJ22,AL22:AM22)</f>
        <v>9.8738815430341784E-2</v>
      </c>
      <c r="M24" s="132" t="s">
        <v>29</v>
      </c>
      <c r="N24" s="133"/>
      <c r="O24" s="46">
        <f>MEDIAN(Q22:S22,W22:AE22,AG22,AJ22,AL22:AM22)</f>
        <v>7.6196506360458827E-2</v>
      </c>
      <c r="AJ24" s="3"/>
      <c r="AK24" s="125" t="s">
        <v>23</v>
      </c>
      <c r="AL24" s="126"/>
      <c r="AM24" s="126"/>
      <c r="AN24" s="127"/>
      <c r="AO24" s="44">
        <f>AVERAGE(AM17:AN17,AL17,AJ17)</f>
        <v>0.13813671873959438</v>
      </c>
    </row>
    <row r="25" spans="1:42" x14ac:dyDescent="0.2">
      <c r="J25" s="134" t="s">
        <v>26</v>
      </c>
      <c r="K25" s="154"/>
      <c r="L25" s="100">
        <f>AVERAGE(L22:P22,T22:V22,AF22,AH22:AI22,AK22)</f>
        <v>-5.2778031394256235E-2</v>
      </c>
      <c r="M25" s="134" t="s">
        <v>30</v>
      </c>
      <c r="N25" s="135"/>
      <c r="O25" s="33">
        <f>MEDIAN(L22:P22,T22:V22,AF22,AH22:AI22,AK22)</f>
        <v>-5.4029447597709834E-2</v>
      </c>
      <c r="AK25" s="128" t="s">
        <v>27</v>
      </c>
      <c r="AL25" s="129"/>
      <c r="AM25" s="129"/>
      <c r="AN25" s="129"/>
      <c r="AO25" s="46">
        <f>AVERAGE(AN18,AB18,H18,P18,L18)</f>
        <v>0.24945143025397815</v>
      </c>
    </row>
    <row r="26" spans="1:42" x14ac:dyDescent="0.2">
      <c r="AK26" s="130" t="s">
        <v>28</v>
      </c>
      <c r="AL26" s="131"/>
      <c r="AM26" s="131"/>
      <c r="AN26" s="131"/>
      <c r="AO26" s="47">
        <f>_xlfn.STDEV.S(AN18,AF18,AB18,T18,L18,H18,D18,P18,X18)</f>
        <v>2.9409891101465691E-3</v>
      </c>
    </row>
    <row r="29" spans="1:42" ht="18" customHeight="1" x14ac:dyDescent="0.2"/>
  </sheetData>
  <mergeCells count="29">
    <mergeCell ref="AK10:AM10"/>
    <mergeCell ref="A1:C3"/>
    <mergeCell ref="O1:P1"/>
    <mergeCell ref="T1:U1"/>
    <mergeCell ref="T2:U2"/>
    <mergeCell ref="T3:U3"/>
    <mergeCell ref="T4:U4"/>
    <mergeCell ref="L10:M10"/>
    <mergeCell ref="AK26:AN26"/>
    <mergeCell ref="M24:N24"/>
    <mergeCell ref="M25:N25"/>
    <mergeCell ref="J22:K22"/>
    <mergeCell ref="J11:M11"/>
    <mergeCell ref="N11:Q11"/>
    <mergeCell ref="R11:U11"/>
    <mergeCell ref="V11:Y11"/>
    <mergeCell ref="AD11:AG11"/>
    <mergeCell ref="AH11:AK11"/>
    <mergeCell ref="AL11:AO11"/>
    <mergeCell ref="J20:K20"/>
    <mergeCell ref="J21:K21"/>
    <mergeCell ref="Z11:AC11"/>
    <mergeCell ref="J24:K24"/>
    <mergeCell ref="J25:K25"/>
    <mergeCell ref="B11:E11"/>
    <mergeCell ref="F11:I11"/>
    <mergeCell ref="J23:K23"/>
    <mergeCell ref="AK24:AN24"/>
    <mergeCell ref="AK25:AN25"/>
  </mergeCells>
  <conditionalFormatting sqref="L20:AM20 AO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AM21 AO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2:AM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M23:AM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O22:AO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O20:AO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O20:AO21 AO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L22:AM22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M23:AM23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AO22:AO23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AO20:AO21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AO20:AO21 AO24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48"/>
  <sheetViews>
    <sheetView topLeftCell="A4" zoomScale="85" zoomScaleNormal="85" workbookViewId="0">
      <selection activeCell="J23" sqref="J23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75" t="s">
        <v>76</v>
      </c>
      <c r="B4" s="175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171</v>
      </c>
      <c r="B6" t="s">
        <v>172</v>
      </c>
      <c r="C6" t="s">
        <v>168</v>
      </c>
      <c r="D6">
        <v>20170720</v>
      </c>
      <c r="E6">
        <v>415.52180800000002</v>
      </c>
      <c r="F6">
        <v>414.80006900000001</v>
      </c>
      <c r="G6">
        <v>372.56889100000001</v>
      </c>
      <c r="H6">
        <v>391.99289700000003</v>
      </c>
      <c r="I6">
        <v>396.97348099999999</v>
      </c>
      <c r="J6">
        <v>398.72091625000007</v>
      </c>
      <c r="R6">
        <v>347.9</v>
      </c>
      <c r="S6">
        <v>364</v>
      </c>
      <c r="T6" s="93"/>
      <c r="U6" s="92"/>
    </row>
    <row r="7" spans="1:21" x14ac:dyDescent="0.2">
      <c r="A7" t="s">
        <v>171</v>
      </c>
      <c r="B7" t="s">
        <v>172</v>
      </c>
      <c r="C7" t="s">
        <v>169</v>
      </c>
      <c r="D7">
        <v>20171019</v>
      </c>
      <c r="E7">
        <v>436.25336499999997</v>
      </c>
      <c r="F7">
        <v>427.52851500000003</v>
      </c>
      <c r="G7">
        <v>394.630156</v>
      </c>
      <c r="H7">
        <v>358.06631299999998</v>
      </c>
      <c r="I7">
        <v>341.61316299999999</v>
      </c>
      <c r="J7">
        <v>404.11958725</v>
      </c>
      <c r="K7">
        <v>382.16098843120164</v>
      </c>
      <c r="L7">
        <v>375.16960842164178</v>
      </c>
      <c r="M7">
        <v>385.55386736247925</v>
      </c>
      <c r="N7">
        <v>332.49617258243325</v>
      </c>
      <c r="O7">
        <v>313.23803045674981</v>
      </c>
      <c r="P7">
        <v>368.9285506827232</v>
      </c>
      <c r="Q7">
        <v>359.5912029895382</v>
      </c>
      <c r="R7">
        <v>342</v>
      </c>
      <c r="S7">
        <v>361</v>
      </c>
      <c r="T7" s="93"/>
      <c r="U7" s="92"/>
    </row>
    <row r="8" spans="1:21" x14ac:dyDescent="0.2">
      <c r="A8" t="s">
        <v>171</v>
      </c>
      <c r="B8" t="s">
        <v>172</v>
      </c>
      <c r="C8" t="s">
        <v>167</v>
      </c>
      <c r="D8">
        <v>20180125</v>
      </c>
      <c r="E8">
        <v>405.36592999999999</v>
      </c>
      <c r="F8">
        <v>405.49109700000002</v>
      </c>
      <c r="G8">
        <v>370.301356</v>
      </c>
      <c r="H8">
        <v>371.01145700000001</v>
      </c>
      <c r="I8">
        <v>358.52290900000003</v>
      </c>
      <c r="J8">
        <v>388.04246000000001</v>
      </c>
      <c r="K8">
        <v>335.44062343221123</v>
      </c>
      <c r="L8">
        <v>342.39186599518399</v>
      </c>
      <c r="M8">
        <v>338.74448640970053</v>
      </c>
      <c r="N8">
        <v>374.05120536150525</v>
      </c>
      <c r="O8">
        <v>378.8693884403981</v>
      </c>
      <c r="P8">
        <v>346.63830331327256</v>
      </c>
      <c r="Q8">
        <v>352.68931215871197</v>
      </c>
      <c r="R8">
        <v>364.1</v>
      </c>
      <c r="S8">
        <v>419</v>
      </c>
      <c r="T8" s="93"/>
      <c r="U8" s="92"/>
    </row>
    <row r="9" spans="1:21" x14ac:dyDescent="0.2">
      <c r="A9" t="s">
        <v>171</v>
      </c>
      <c r="B9" t="s">
        <v>172</v>
      </c>
      <c r="C9" t="s">
        <v>42</v>
      </c>
      <c r="D9">
        <v>20180419</v>
      </c>
      <c r="E9">
        <v>409.19592</v>
      </c>
      <c r="F9">
        <v>412.32480800000002</v>
      </c>
      <c r="G9">
        <v>365.91297100000003</v>
      </c>
      <c r="H9">
        <v>374.89615099999997</v>
      </c>
      <c r="I9">
        <v>373.24785800000001</v>
      </c>
      <c r="J9">
        <v>390.58246249999996</v>
      </c>
      <c r="K9">
        <v>422.95880781100675</v>
      </c>
      <c r="L9">
        <v>426.06137552756184</v>
      </c>
      <c r="M9">
        <v>414.03449478321653</v>
      </c>
      <c r="N9">
        <v>423.38716043747399</v>
      </c>
      <c r="O9">
        <v>436.20881281536185</v>
      </c>
      <c r="P9">
        <v>421.7426407086997</v>
      </c>
      <c r="Q9">
        <v>424.06554868055338</v>
      </c>
      <c r="R9">
        <v>328.3</v>
      </c>
      <c r="S9">
        <v>394</v>
      </c>
      <c r="T9" s="9"/>
      <c r="U9" s="62"/>
    </row>
    <row r="10" spans="1:21" x14ac:dyDescent="0.2">
      <c r="A10" t="s">
        <v>171</v>
      </c>
      <c r="B10" t="s">
        <v>172</v>
      </c>
      <c r="C10" t="s">
        <v>43</v>
      </c>
      <c r="D10">
        <v>20180719</v>
      </c>
      <c r="E10">
        <v>433.52282100000002</v>
      </c>
      <c r="F10">
        <v>432.05906499999998</v>
      </c>
      <c r="G10">
        <v>400.48483700000003</v>
      </c>
      <c r="H10">
        <v>419.27607799999998</v>
      </c>
      <c r="I10">
        <v>384.03713599999998</v>
      </c>
      <c r="J10">
        <v>421.33570024999995</v>
      </c>
      <c r="K10">
        <v>417.42349599673429</v>
      </c>
      <c r="L10">
        <v>412.85721428141665</v>
      </c>
      <c r="M10">
        <v>431.22555985587081</v>
      </c>
      <c r="N10">
        <v>440.64142640930987</v>
      </c>
      <c r="O10">
        <v>405.38914916961158</v>
      </c>
      <c r="P10">
        <v>425.02232393114679</v>
      </c>
      <c r="Q10">
        <v>422.09319494068171</v>
      </c>
      <c r="R10">
        <v>383.5</v>
      </c>
      <c r="S10">
        <v>424</v>
      </c>
      <c r="T10" s="9"/>
      <c r="U10" s="62"/>
    </row>
    <row r="11" spans="1:21" x14ac:dyDescent="0.2">
      <c r="A11" t="s">
        <v>171</v>
      </c>
      <c r="B11" t="s">
        <v>172</v>
      </c>
      <c r="C11" t="s">
        <v>44</v>
      </c>
      <c r="D11">
        <v>20181018</v>
      </c>
      <c r="E11">
        <v>432.22510699999998</v>
      </c>
      <c r="F11">
        <v>433.75807400000002</v>
      </c>
      <c r="G11">
        <v>403.164805</v>
      </c>
      <c r="H11">
        <v>434.75332500000002</v>
      </c>
      <c r="I11">
        <v>384.75883499999998</v>
      </c>
      <c r="J11">
        <v>425.97532775000002</v>
      </c>
      <c r="K11">
        <v>422.73079176147911</v>
      </c>
      <c r="L11">
        <v>425.66731790710151</v>
      </c>
      <c r="M11">
        <v>426.83732697725077</v>
      </c>
      <c r="N11">
        <v>439.65162686911037</v>
      </c>
      <c r="O11">
        <v>424.79679892207088</v>
      </c>
      <c r="P11">
        <v>428.66896600224658</v>
      </c>
      <c r="Q11">
        <v>428.05880473987662</v>
      </c>
      <c r="R11">
        <v>395.8</v>
      </c>
      <c r="S11">
        <v>426</v>
      </c>
      <c r="T11" s="9"/>
      <c r="U11" s="62"/>
    </row>
    <row r="12" spans="1:21" x14ac:dyDescent="0.2">
      <c r="A12" t="s">
        <v>171</v>
      </c>
      <c r="B12" t="s">
        <v>172</v>
      </c>
      <c r="C12" t="s">
        <v>45</v>
      </c>
      <c r="D12">
        <v>20190124</v>
      </c>
      <c r="E12">
        <v>477.23645900000002</v>
      </c>
      <c r="F12">
        <v>481.966722</v>
      </c>
      <c r="G12">
        <v>470.70072499999998</v>
      </c>
      <c r="H12">
        <v>483.84241900000001</v>
      </c>
      <c r="I12">
        <v>429.56630799999999</v>
      </c>
      <c r="J12">
        <v>478.43658125000002</v>
      </c>
      <c r="K12">
        <v>470.36307757568557</v>
      </c>
      <c r="L12">
        <v>473.34640178248299</v>
      </c>
      <c r="M12">
        <v>497.36114453244494</v>
      </c>
      <c r="N12">
        <v>474.10073400588715</v>
      </c>
      <c r="O12">
        <v>475.61025390878939</v>
      </c>
      <c r="P12">
        <v>478.46429202612427</v>
      </c>
      <c r="Q12">
        <v>478.20765063856902</v>
      </c>
      <c r="R12">
        <v>444.2</v>
      </c>
      <c r="S12">
        <v>478</v>
      </c>
      <c r="T12" s="9"/>
      <c r="U12" s="62"/>
    </row>
    <row r="13" spans="1:21" x14ac:dyDescent="0.2">
      <c r="A13" t="s">
        <v>171</v>
      </c>
      <c r="B13" t="s">
        <v>172</v>
      </c>
      <c r="C13" t="s">
        <v>46</v>
      </c>
      <c r="D13">
        <v>20190418</v>
      </c>
      <c r="E13">
        <v>501.13898999999998</v>
      </c>
      <c r="F13">
        <v>496.87833699999999</v>
      </c>
      <c r="G13">
        <v>482.188332</v>
      </c>
      <c r="H13">
        <v>500.38310200000001</v>
      </c>
      <c r="I13">
        <v>439.02628800000002</v>
      </c>
      <c r="J13">
        <v>495.14719024999999</v>
      </c>
      <c r="K13">
        <v>501.94077317969538</v>
      </c>
      <c r="L13">
        <v>492.78888820460924</v>
      </c>
      <c r="M13">
        <v>489.66574822250385</v>
      </c>
      <c r="N13">
        <v>494.34095350784031</v>
      </c>
      <c r="O13">
        <v>488.52659474401804</v>
      </c>
      <c r="P13">
        <v>494.69536029442139</v>
      </c>
      <c r="Q13">
        <v>493.6597196921814</v>
      </c>
      <c r="R13">
        <v>469.9</v>
      </c>
      <c r="S13">
        <v>492</v>
      </c>
      <c r="T13" s="9"/>
      <c r="U13" s="62"/>
    </row>
    <row r="14" spans="1:21" x14ac:dyDescent="0.2">
      <c r="A14" t="s">
        <v>171</v>
      </c>
      <c r="B14" t="s">
        <v>172</v>
      </c>
      <c r="C14" t="s">
        <v>47</v>
      </c>
      <c r="D14">
        <v>20190718</v>
      </c>
      <c r="E14">
        <v>564.73126999999999</v>
      </c>
      <c r="F14">
        <v>557.72367299999996</v>
      </c>
      <c r="G14">
        <v>538.43186200000002</v>
      </c>
      <c r="H14">
        <v>519.51905699999998</v>
      </c>
      <c r="I14">
        <v>459.36334699999998</v>
      </c>
      <c r="J14">
        <v>545.10146550000002</v>
      </c>
      <c r="K14">
        <v>554.43258334379459</v>
      </c>
      <c r="L14">
        <v>552.24795826830336</v>
      </c>
      <c r="M14">
        <v>549.3879849917231</v>
      </c>
      <c r="N14">
        <v>510.81536331336781</v>
      </c>
      <c r="O14">
        <v>514.79096560158598</v>
      </c>
      <c r="P14">
        <v>541.63676237482196</v>
      </c>
      <c r="Q14">
        <v>537.21860298226613</v>
      </c>
      <c r="R14">
        <v>524.1</v>
      </c>
      <c r="S14">
        <v>519</v>
      </c>
      <c r="T14" s="9"/>
      <c r="U14" s="62"/>
    </row>
    <row r="15" spans="1:21" x14ac:dyDescent="0.2">
      <c r="A15" t="s">
        <v>171</v>
      </c>
      <c r="B15" t="s">
        <v>172</v>
      </c>
      <c r="C15" t="s">
        <v>48</v>
      </c>
      <c r="D15">
        <v>20191024</v>
      </c>
      <c r="E15">
        <v>499.95827100000002</v>
      </c>
      <c r="F15">
        <v>506.59907199999998</v>
      </c>
      <c r="G15">
        <v>475.38258200000001</v>
      </c>
      <c r="H15">
        <v>477.18054999999998</v>
      </c>
      <c r="I15">
        <v>415.14677699999999</v>
      </c>
      <c r="J15">
        <v>489.78011874999999</v>
      </c>
      <c r="K15">
        <v>459.47224181334957</v>
      </c>
      <c r="L15">
        <v>471.42506423248057</v>
      </c>
      <c r="M15">
        <v>458.22615166485076</v>
      </c>
      <c r="N15">
        <v>476.70379385139671</v>
      </c>
      <c r="O15">
        <v>469.04303242766127</v>
      </c>
      <c r="P15">
        <v>466.32764305281432</v>
      </c>
      <c r="Q15">
        <v>466.86632117375888</v>
      </c>
      <c r="R15">
        <v>526.1</v>
      </c>
      <c r="S15">
        <v>509</v>
      </c>
      <c r="T15" s="9"/>
      <c r="U15" s="62"/>
    </row>
    <row r="16" spans="1:21" x14ac:dyDescent="0.2">
      <c r="A16" t="s">
        <v>171</v>
      </c>
      <c r="B16" t="s">
        <v>172</v>
      </c>
      <c r="C16" t="s">
        <v>49</v>
      </c>
      <c r="D16">
        <v>20200123</v>
      </c>
      <c r="E16">
        <v>534.39252999999997</v>
      </c>
      <c r="F16">
        <v>530.68758600000001</v>
      </c>
      <c r="G16">
        <v>508.97142000000002</v>
      </c>
      <c r="H16">
        <v>531.29900599999996</v>
      </c>
      <c r="I16">
        <v>439.48484100000002</v>
      </c>
      <c r="J16">
        <v>526.33763550000003</v>
      </c>
      <c r="K16">
        <v>544.05700144922685</v>
      </c>
      <c r="L16">
        <v>533.2026768379078</v>
      </c>
      <c r="M16">
        <v>544.96412487405769</v>
      </c>
      <c r="N16">
        <v>566.72719383470258</v>
      </c>
      <c r="O16">
        <v>538.8402282333027</v>
      </c>
      <c r="P16">
        <v>546.99210158476853</v>
      </c>
      <c r="Q16">
        <v>545.79722113566106</v>
      </c>
      <c r="R16">
        <v>559.5</v>
      </c>
      <c r="S16">
        <v>568</v>
      </c>
      <c r="T16" s="9"/>
      <c r="U16" s="62"/>
    </row>
    <row r="17" spans="1:22" x14ac:dyDescent="0.2">
      <c r="A17" t="s">
        <v>171</v>
      </c>
      <c r="B17" t="s">
        <v>172</v>
      </c>
      <c r="C17" t="s">
        <v>50</v>
      </c>
      <c r="D17">
        <v>20200423</v>
      </c>
      <c r="E17">
        <v>506.09498300000001</v>
      </c>
      <c r="F17">
        <v>510.82892700000002</v>
      </c>
      <c r="G17">
        <v>483.83525200000003</v>
      </c>
      <c r="H17">
        <v>507.34904</v>
      </c>
      <c r="I17">
        <v>414.49226099999998</v>
      </c>
      <c r="J17">
        <v>502.02705050000003</v>
      </c>
      <c r="K17">
        <v>537.92284548588293</v>
      </c>
      <c r="L17">
        <v>546.74508729887646</v>
      </c>
      <c r="M17">
        <v>539.94863431820977</v>
      </c>
      <c r="N17">
        <v>542.39562179794484</v>
      </c>
      <c r="O17">
        <v>535.6990327864346</v>
      </c>
      <c r="P17">
        <v>541.76510561156704</v>
      </c>
      <c r="Q17">
        <v>540.74605454981929</v>
      </c>
      <c r="R17">
        <v>521.4</v>
      </c>
      <c r="S17">
        <v>497</v>
      </c>
      <c r="T17" s="9"/>
      <c r="U17" s="62"/>
    </row>
    <row r="18" spans="1:22" x14ac:dyDescent="0.2">
      <c r="A18" t="s">
        <v>171</v>
      </c>
      <c r="B18" t="s">
        <v>172</v>
      </c>
      <c r="C18" t="s">
        <v>51</v>
      </c>
      <c r="D18">
        <v>20200723</v>
      </c>
      <c r="E18">
        <v>424.82968899999997</v>
      </c>
      <c r="F18">
        <v>424.83914800000002</v>
      </c>
      <c r="G18">
        <v>382.74584099999998</v>
      </c>
      <c r="H18">
        <v>419.90641199999999</v>
      </c>
      <c r="I18">
        <v>334.555521</v>
      </c>
      <c r="J18">
        <v>413.08027249999998</v>
      </c>
      <c r="K18">
        <v>417.19511657952944</v>
      </c>
      <c r="L18">
        <v>413.33809695549996</v>
      </c>
      <c r="M18">
        <v>393.16003162373954</v>
      </c>
      <c r="N18">
        <v>411.34104986973068</v>
      </c>
      <c r="O18">
        <v>401.15126283865646</v>
      </c>
      <c r="P18">
        <v>408.94389102744174</v>
      </c>
      <c r="Q18">
        <v>407.52157481576637</v>
      </c>
      <c r="R18">
        <v>381.9</v>
      </c>
      <c r="S18">
        <v>378.87</v>
      </c>
      <c r="T18" s="9"/>
      <c r="U18" s="62"/>
    </row>
    <row r="19" spans="1:22" x14ac:dyDescent="0.2">
      <c r="A19" t="s">
        <v>171</v>
      </c>
      <c r="B19" t="s">
        <v>172</v>
      </c>
      <c r="C19" t="s">
        <v>52</v>
      </c>
      <c r="D19">
        <v>20201022</v>
      </c>
      <c r="E19">
        <v>508.54183041900001</v>
      </c>
      <c r="F19">
        <v>512.16043353172745</v>
      </c>
      <c r="G19">
        <v>510.60307661394222</v>
      </c>
      <c r="H19">
        <v>507.66104695000001</v>
      </c>
      <c r="I19">
        <v>415.17022090962467</v>
      </c>
      <c r="J19">
        <v>509.74159687866745</v>
      </c>
      <c r="K19">
        <v>453.52584407265039</v>
      </c>
      <c r="L19">
        <v>456.74280340136067</v>
      </c>
      <c r="M19">
        <v>505.43250092879333</v>
      </c>
      <c r="N19">
        <v>458.04859216569071</v>
      </c>
      <c r="O19">
        <v>470.16274346890697</v>
      </c>
      <c r="P19">
        <v>467.52607584139895</v>
      </c>
      <c r="Q19">
        <v>468.57309331313348</v>
      </c>
      <c r="R19">
        <v>471.8</v>
      </c>
      <c r="S19">
        <v>542</v>
      </c>
      <c r="T19" s="9"/>
      <c r="U19" s="62"/>
    </row>
    <row r="20" spans="1:22" x14ac:dyDescent="0.2">
      <c r="A20" t="s">
        <v>171</v>
      </c>
      <c r="B20" t="s">
        <v>172</v>
      </c>
      <c r="C20" t="s">
        <v>53</v>
      </c>
      <c r="D20">
        <v>20210121</v>
      </c>
      <c r="E20">
        <v>548.03860699999996</v>
      </c>
      <c r="F20">
        <v>542.16931099999999</v>
      </c>
      <c r="G20">
        <v>547.63175699999999</v>
      </c>
      <c r="H20">
        <v>562.01925600000004</v>
      </c>
      <c r="I20">
        <v>450.65468399999997</v>
      </c>
      <c r="J20">
        <v>549.96473275000005</v>
      </c>
      <c r="K20">
        <v>584.09536291098027</v>
      </c>
      <c r="L20">
        <v>573.75725909876667</v>
      </c>
      <c r="M20">
        <v>581.30556960669765</v>
      </c>
      <c r="N20">
        <v>600.03507967000235</v>
      </c>
      <c r="O20">
        <v>588.32456285724311</v>
      </c>
      <c r="P20">
        <v>584.76861016592977</v>
      </c>
      <c r="Q20">
        <v>585.38107405160326</v>
      </c>
      <c r="R20">
        <v>578.79999999999995</v>
      </c>
      <c r="S20">
        <v>568</v>
      </c>
    </row>
    <row r="21" spans="1:22" x14ac:dyDescent="0.2">
      <c r="A21" t="s">
        <v>171</v>
      </c>
      <c r="B21" t="s">
        <v>172</v>
      </c>
      <c r="C21" t="s">
        <v>54</v>
      </c>
      <c r="D21">
        <v>20210422</v>
      </c>
      <c r="E21">
        <v>527.902468</v>
      </c>
      <c r="F21">
        <v>514.37716499999999</v>
      </c>
      <c r="G21">
        <v>499.48684700000001</v>
      </c>
      <c r="H21">
        <v>530.859104</v>
      </c>
      <c r="I21">
        <v>412.78402399999999</v>
      </c>
      <c r="J21">
        <v>518.15639600000009</v>
      </c>
      <c r="K21">
        <v>547.13043569209719</v>
      </c>
      <c r="L21">
        <v>538.8837468153929</v>
      </c>
      <c r="M21">
        <v>518.06442097184663</v>
      </c>
      <c r="N21">
        <v>536.50825635056174</v>
      </c>
      <c r="O21">
        <v>520.26825406745354</v>
      </c>
      <c r="P21">
        <v>535.14855662897048</v>
      </c>
      <c r="Q21">
        <v>532.66727842105377</v>
      </c>
      <c r="R21">
        <v>525.9</v>
      </c>
      <c r="S21">
        <v>528</v>
      </c>
    </row>
    <row r="22" spans="1:22" x14ac:dyDescent="0.2">
      <c r="A22" t="s">
        <v>171</v>
      </c>
      <c r="B22" t="s">
        <v>172</v>
      </c>
      <c r="C22" t="s">
        <v>55</v>
      </c>
      <c r="D22">
        <v>20210722</v>
      </c>
      <c r="E22">
        <v>582.35369500000002</v>
      </c>
      <c r="F22">
        <v>574.11170600000003</v>
      </c>
      <c r="G22">
        <v>541.07451900000001</v>
      </c>
      <c r="H22">
        <v>555.01425700000004</v>
      </c>
      <c r="I22">
        <v>427.121374</v>
      </c>
      <c r="J22">
        <v>563.13854425</v>
      </c>
      <c r="K22">
        <v>582.46128707244463</v>
      </c>
      <c r="L22">
        <v>589.3165587317626</v>
      </c>
      <c r="M22">
        <v>571.96169978826288</v>
      </c>
      <c r="N22">
        <v>552.02505803875226</v>
      </c>
      <c r="O22">
        <v>546.33918068495802</v>
      </c>
      <c r="P22">
        <v>573.83669034937463</v>
      </c>
      <c r="Q22">
        <v>569.32341244425913</v>
      </c>
      <c r="R22">
        <v>556.6</v>
      </c>
      <c r="S22">
        <v>588</v>
      </c>
    </row>
    <row r="23" spans="1:22" x14ac:dyDescent="0.2">
      <c r="A23" t="s">
        <v>171</v>
      </c>
      <c r="B23" t="s">
        <v>172</v>
      </c>
      <c r="C23" t="s">
        <v>71</v>
      </c>
      <c r="D23" s="12">
        <v>20211014</v>
      </c>
      <c r="E23">
        <v>601.640141578</v>
      </c>
      <c r="F23">
        <v>589.95134544000734</v>
      </c>
      <c r="G23">
        <v>523.78427056189912</v>
      </c>
      <c r="H23">
        <v>555.68528372699996</v>
      </c>
      <c r="I23">
        <v>408.37411499006947</v>
      </c>
      <c r="J23">
        <f>AVERAGE(E23:H23)</f>
        <v>567.76526032672655</v>
      </c>
      <c r="K23" s="94">
        <f>(E23/E22)*$S21</f>
        <v>545.4863555956041</v>
      </c>
      <c r="L23" s="94">
        <f>(F23/F22)*$S21</f>
        <v>542.56742570639017</v>
      </c>
      <c r="M23" s="94">
        <f>(G23/G22)*$S21</f>
        <v>511.1275529437429</v>
      </c>
      <c r="N23" s="94">
        <f t="shared" ref="N23:O23" si="0">(H23/H22)*$S21</f>
        <v>528.63836578500002</v>
      </c>
      <c r="O23" s="94">
        <f t="shared" si="0"/>
        <v>504.82496508066737</v>
      </c>
      <c r="P23" s="94">
        <f>(J23/J22)*$S21</f>
        <v>532.33801968175544</v>
      </c>
      <c r="Q23" s="94">
        <f>(K23/K22)*$S21</f>
        <v>494.4822980461127</v>
      </c>
      <c r="R23" s="114">
        <f>'1. Data &amp; Confidence Interval'!AN14</f>
        <v>579.70000000000005</v>
      </c>
      <c r="S23" s="10"/>
    </row>
    <row r="24" spans="1:22" x14ac:dyDescent="0.2">
      <c r="A24" s="173" t="s">
        <v>75</v>
      </c>
      <c r="B24" s="174"/>
      <c r="C24" s="174"/>
      <c r="D24" s="174"/>
      <c r="E24" s="103">
        <f t="shared" ref="E24:Q24" si="1">CORREL(E$8:E$22,$S$8:$S$22)</f>
        <v>0.93999078097923072</v>
      </c>
      <c r="F24" s="103">
        <f t="shared" si="1"/>
        <v>0.94337028840475545</v>
      </c>
      <c r="G24" s="104">
        <f t="shared" si="1"/>
        <v>0.95225813692546413</v>
      </c>
      <c r="H24" s="104">
        <f t="shared" si="1"/>
        <v>0.93280493553686561</v>
      </c>
      <c r="I24" s="103">
        <f t="shared" si="1"/>
        <v>0.83996547053086468</v>
      </c>
      <c r="J24" s="104">
        <f>CORREL(J$8:J$22,$S$8:$S$22)</f>
        <v>0.95159746314696558</v>
      </c>
      <c r="K24" s="103">
        <f t="shared" si="1"/>
        <v>0.83347477060270514</v>
      </c>
      <c r="L24" s="103">
        <f t="shared" si="1"/>
        <v>0.84144369063682822</v>
      </c>
      <c r="M24" s="103">
        <f t="shared" si="1"/>
        <v>0.89033131826640621</v>
      </c>
      <c r="N24" s="103">
        <f t="shared" si="1"/>
        <v>0.85910032598130248</v>
      </c>
      <c r="O24" s="103">
        <f t="shared" si="1"/>
        <v>0.87853233289614951</v>
      </c>
      <c r="P24" s="103">
        <f t="shared" si="1"/>
        <v>0.86565381191767143</v>
      </c>
      <c r="Q24" s="103">
        <f t="shared" si="1"/>
        <v>0.87114005276088358</v>
      </c>
      <c r="R24" s="104">
        <f>CORREL(R$8:R$22,$S$8:$S$22)</f>
        <v>0.9357068026816312</v>
      </c>
      <c r="S24" s="5"/>
    </row>
    <row r="26" spans="1:22" x14ac:dyDescent="0.2">
      <c r="A26" s="176" t="s">
        <v>77</v>
      </c>
      <c r="B26" s="177"/>
    </row>
    <row r="27" spans="1:22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2" x14ac:dyDescent="0.2">
      <c r="A28" s="9" t="str">
        <f t="shared" ref="A28:D28" si="2">A6</f>
        <v>SYK_NNS</v>
      </c>
      <c r="B28" s="9" t="str">
        <f t="shared" si="2"/>
        <v>Neurotechnology and Spine</v>
      </c>
      <c r="C28" s="9" t="str">
        <f t="shared" si="2"/>
        <v>2017Q2</v>
      </c>
      <c r="D28" s="9">
        <f t="shared" si="2"/>
        <v>20170720</v>
      </c>
      <c r="E28" s="18">
        <f t="shared" ref="E28:R28" si="3">$S6/E6-1</f>
        <v>-0.12399302998797124</v>
      </c>
      <c r="F28" s="18">
        <f t="shared" si="3"/>
        <v>-0.12246880556811091</v>
      </c>
      <c r="G28" s="18">
        <f t="shared" si="3"/>
        <v>-2.2999480651754167E-2</v>
      </c>
      <c r="H28" s="18">
        <f t="shared" si="3"/>
        <v>-7.1411745504153967E-2</v>
      </c>
      <c r="I28" s="18">
        <f t="shared" si="3"/>
        <v>-8.3062175631827606E-2</v>
      </c>
      <c r="J28" s="18">
        <f t="shared" si="3"/>
        <v>-8.7080749554231729E-2</v>
      </c>
      <c r="K28" s="18"/>
      <c r="L28" s="18"/>
      <c r="M28" s="18"/>
      <c r="N28" s="18"/>
      <c r="O28" s="18"/>
      <c r="P28" s="18"/>
      <c r="Q28" s="18"/>
      <c r="R28" s="40">
        <f t="shared" si="3"/>
        <v>4.6277665995975825E-2</v>
      </c>
    </row>
    <row r="29" spans="1:22" x14ac:dyDescent="0.2">
      <c r="A29" s="9" t="str">
        <f t="shared" ref="A29:D29" si="4">A7</f>
        <v>SYK_NNS</v>
      </c>
      <c r="B29" s="9" t="str">
        <f t="shared" si="4"/>
        <v>Neurotechnology and Spine</v>
      </c>
      <c r="C29" s="9" t="str">
        <f t="shared" si="4"/>
        <v>2017Q3</v>
      </c>
      <c r="D29" s="9">
        <f t="shared" si="4"/>
        <v>20171019</v>
      </c>
      <c r="E29" s="18">
        <f t="shared" ref="E29:R29" si="5">$S7/E7-1</f>
        <v>-0.17249921957622028</v>
      </c>
      <c r="F29" s="18">
        <f t="shared" si="5"/>
        <v>-0.15561187772469409</v>
      </c>
      <c r="G29" s="18">
        <f t="shared" si="5"/>
        <v>-8.5219427579680485E-2</v>
      </c>
      <c r="H29" s="18">
        <f t="shared" si="5"/>
        <v>8.1931387943774414E-3</v>
      </c>
      <c r="I29" s="18">
        <f t="shared" si="5"/>
        <v>5.6750848912692664E-2</v>
      </c>
      <c r="J29" s="18">
        <f t="shared" si="5"/>
        <v>-0.10670006753056738</v>
      </c>
      <c r="K29" s="18">
        <f t="shared" si="5"/>
        <v>-5.5371921969505689E-2</v>
      </c>
      <c r="L29" s="18">
        <f t="shared" si="5"/>
        <v>-3.7768540157754438E-2</v>
      </c>
      <c r="M29" s="18">
        <f t="shared" si="5"/>
        <v>-6.368466105773718E-2</v>
      </c>
      <c r="N29" s="18">
        <f t="shared" si="5"/>
        <v>8.5726783548162544E-2</v>
      </c>
      <c r="O29" s="18">
        <f t="shared" si="5"/>
        <v>0.15247819517191386</v>
      </c>
      <c r="P29" s="18">
        <f t="shared" si="5"/>
        <v>-2.1490748460781806E-2</v>
      </c>
      <c r="Q29" s="18">
        <f t="shared" si="5"/>
        <v>3.9177738463829215E-3</v>
      </c>
      <c r="R29" s="40">
        <f t="shared" si="5"/>
        <v>5.555555555555558E-2</v>
      </c>
    </row>
    <row r="30" spans="1:22" x14ac:dyDescent="0.2">
      <c r="A30" s="9" t="str">
        <f>A8</f>
        <v>SYK_NNS</v>
      </c>
      <c r="B30" s="9" t="str">
        <f t="shared" ref="B30:D31" si="6">B8</f>
        <v>Neurotechnology and Spine</v>
      </c>
      <c r="C30" s="9" t="str">
        <f t="shared" si="6"/>
        <v>2017Q4</v>
      </c>
      <c r="D30" s="9">
        <f t="shared" si="6"/>
        <v>20180125</v>
      </c>
      <c r="E30" s="18">
        <f t="shared" ref="E30:R31" si="7">$S8/E8-1</f>
        <v>3.3633981030423588E-2</v>
      </c>
      <c r="F30" s="18">
        <f t="shared" si="7"/>
        <v>3.3314918872312527E-2</v>
      </c>
      <c r="G30" s="18">
        <f t="shared" si="7"/>
        <v>0.13151084437292737</v>
      </c>
      <c r="H30" s="18">
        <f t="shared" si="7"/>
        <v>0.12934517814634483</v>
      </c>
      <c r="I30" s="18">
        <f t="shared" si="7"/>
        <v>0.16868403519508424</v>
      </c>
      <c r="J30" s="18">
        <f t="shared" si="7"/>
        <v>7.9778743800356322E-2</v>
      </c>
      <c r="K30" s="18">
        <f t="shared" si="7"/>
        <v>0.24910333075586832</v>
      </c>
      <c r="L30" s="18">
        <f t="shared" si="7"/>
        <v>0.22374402435685647</v>
      </c>
      <c r="M30" s="18">
        <f t="shared" si="7"/>
        <v>0.23692050146975085</v>
      </c>
      <c r="N30" s="18">
        <f t="shared" si="7"/>
        <v>0.1201674904243486</v>
      </c>
      <c r="O30" s="18">
        <f t="shared" si="7"/>
        <v>0.10592202163599995</v>
      </c>
      <c r="P30" s="18">
        <f t="shared" si="7"/>
        <v>0.20875274311890157</v>
      </c>
      <c r="Q30" s="18">
        <f t="shared" si="7"/>
        <v>0.18801445225379521</v>
      </c>
      <c r="R30" s="40">
        <f t="shared" si="7"/>
        <v>0.15078275199121105</v>
      </c>
      <c r="V30" s="114"/>
    </row>
    <row r="31" spans="1:22" x14ac:dyDescent="0.2">
      <c r="A31" s="9" t="str">
        <f>A9</f>
        <v>SYK_NNS</v>
      </c>
      <c r="B31" s="9" t="str">
        <f t="shared" si="6"/>
        <v>Neurotechnology and Spine</v>
      </c>
      <c r="C31" s="9" t="str">
        <f t="shared" si="6"/>
        <v>2018Q1</v>
      </c>
      <c r="D31" s="9">
        <f t="shared" si="6"/>
        <v>20180419</v>
      </c>
      <c r="E31" s="18">
        <f t="shared" ref="E31:E41" si="8">$S9/E9-1</f>
        <v>-3.7136049645851821E-2</v>
      </c>
      <c r="F31" s="18">
        <f t="shared" si="7"/>
        <v>-4.4442652114204173E-2</v>
      </c>
      <c r="G31" s="18">
        <f t="shared" si="7"/>
        <v>7.6758768412175105E-2</v>
      </c>
      <c r="H31" s="18">
        <f t="shared" si="7"/>
        <v>5.0957709085682312E-2</v>
      </c>
      <c r="I31" s="18">
        <f t="shared" si="7"/>
        <v>5.5598824092916832E-2</v>
      </c>
      <c r="J31" s="18">
        <f t="shared" si="7"/>
        <v>8.749848823537576E-3</v>
      </c>
      <c r="K31" s="18">
        <f t="shared" ref="K31:Q31" si="9">$S9/K9-1</f>
        <v>-6.8467205969491407E-2</v>
      </c>
      <c r="L31" s="18">
        <f t="shared" si="9"/>
        <v>-7.5250603244338854E-2</v>
      </c>
      <c r="M31" s="18">
        <f t="shared" si="9"/>
        <v>-4.8388467713798455E-2</v>
      </c>
      <c r="N31" s="18">
        <f t="shared" si="9"/>
        <v>-6.9409663739233518E-2</v>
      </c>
      <c r="O31" s="18">
        <f t="shared" si="9"/>
        <v>-9.6762861215341722E-2</v>
      </c>
      <c r="P31" s="18">
        <f t="shared" si="9"/>
        <v>-6.5780971689466172E-2</v>
      </c>
      <c r="Q31" s="18">
        <f t="shared" si="9"/>
        <v>-7.0898352328077507E-2</v>
      </c>
      <c r="R31" s="40">
        <f>$S9/R9-1</f>
        <v>0.20012183978068832</v>
      </c>
    </row>
    <row r="32" spans="1:22" x14ac:dyDescent="0.2">
      <c r="A32" s="9" t="str">
        <f t="shared" ref="A32:D32" si="10">A10</f>
        <v>SYK_NNS</v>
      </c>
      <c r="B32" s="9" t="str">
        <f t="shared" si="10"/>
        <v>Neurotechnology and Spine</v>
      </c>
      <c r="C32" s="9" t="str">
        <f t="shared" si="10"/>
        <v>2018Q2</v>
      </c>
      <c r="D32" s="9">
        <f t="shared" si="10"/>
        <v>20180719</v>
      </c>
      <c r="E32" s="18">
        <f t="shared" si="8"/>
        <v>-2.1966135434425049E-2</v>
      </c>
      <c r="F32" s="18">
        <f t="shared" ref="F32:J32" si="11">$S10/F10-1</f>
        <v>-1.8652692774771329E-2</v>
      </c>
      <c r="G32" s="18">
        <f t="shared" si="11"/>
        <v>5.8716737382993545E-2</v>
      </c>
      <c r="H32" s="18">
        <f t="shared" si="11"/>
        <v>1.1266853149680678E-2</v>
      </c>
      <c r="I32" s="18">
        <f t="shared" si="11"/>
        <v>0.1040598948743332</v>
      </c>
      <c r="J32" s="18">
        <f t="shared" si="11"/>
        <v>6.3234607188975556E-3</v>
      </c>
      <c r="K32" s="18">
        <f t="shared" ref="K32:Q32" si="12">$S10/K10-1</f>
        <v>1.5754992391030065E-2</v>
      </c>
      <c r="L32" s="18">
        <f t="shared" si="12"/>
        <v>2.698944170801898E-2</v>
      </c>
      <c r="M32" s="18">
        <f t="shared" si="12"/>
        <v>-1.675587100701037E-2</v>
      </c>
      <c r="N32" s="18">
        <f t="shared" si="12"/>
        <v>-3.7766368325641064E-2</v>
      </c>
      <c r="O32" s="18">
        <f t="shared" si="12"/>
        <v>4.590860625774118E-2</v>
      </c>
      <c r="P32" s="18">
        <f t="shared" si="12"/>
        <v>-2.405341728149768E-3</v>
      </c>
      <c r="Q32" s="18">
        <f t="shared" si="12"/>
        <v>4.5174977520929804E-3</v>
      </c>
      <c r="R32" s="40">
        <f t="shared" ref="R32:R39" si="13">$S10/R10-1</f>
        <v>0.105606258148631</v>
      </c>
    </row>
    <row r="33" spans="1:18" x14ac:dyDescent="0.2">
      <c r="A33" s="9" t="str">
        <f t="shared" ref="A33:D33" si="14">A11</f>
        <v>SYK_NNS</v>
      </c>
      <c r="B33" s="9" t="str">
        <f t="shared" si="14"/>
        <v>Neurotechnology and Spine</v>
      </c>
      <c r="C33" s="9" t="str">
        <f t="shared" si="14"/>
        <v>2018Q3</v>
      </c>
      <c r="D33" s="9">
        <f t="shared" si="14"/>
        <v>20181018</v>
      </c>
      <c r="E33" s="18">
        <f t="shared" si="8"/>
        <v>-1.4402465056246649E-2</v>
      </c>
      <c r="F33" s="18">
        <f t="shared" ref="F33:J33" si="15">$S11/F11-1</f>
        <v>-1.7885716635674731E-2</v>
      </c>
      <c r="G33" s="18">
        <f t="shared" si="15"/>
        <v>5.663985228075652E-2</v>
      </c>
      <c r="H33" s="18">
        <f t="shared" si="15"/>
        <v>-2.0134003575475901E-2</v>
      </c>
      <c r="I33" s="18">
        <f t="shared" si="15"/>
        <v>0.10718705133827533</v>
      </c>
      <c r="J33" s="18">
        <f t="shared" si="15"/>
        <v>5.7919434278685955E-5</v>
      </c>
      <c r="K33" s="18">
        <f t="shared" ref="K33:Q33" si="16">$S11/K11-1</f>
        <v>7.7335465081651567E-3</v>
      </c>
      <c r="L33" s="18">
        <f t="shared" si="16"/>
        <v>7.8155423003622992E-4</v>
      </c>
      <c r="M33" s="18">
        <f t="shared" si="16"/>
        <v>-1.961700451974302E-3</v>
      </c>
      <c r="N33" s="18">
        <f t="shared" si="16"/>
        <v>-3.1051009560291276E-2</v>
      </c>
      <c r="O33" s="18">
        <f t="shared" si="16"/>
        <v>2.8324155948968865E-3</v>
      </c>
      <c r="P33" s="18">
        <f t="shared" si="16"/>
        <v>-6.2261703410378955E-3</v>
      </c>
      <c r="Q33" s="18">
        <f t="shared" si="16"/>
        <v>-4.809630632706452E-3</v>
      </c>
      <c r="R33" s="40">
        <f t="shared" si="13"/>
        <v>7.6301162203132877E-2</v>
      </c>
    </row>
    <row r="34" spans="1:18" x14ac:dyDescent="0.2">
      <c r="A34" s="9" t="str">
        <f t="shared" ref="A34:D34" si="17">A12</f>
        <v>SYK_NNS</v>
      </c>
      <c r="B34" s="9" t="str">
        <f t="shared" si="17"/>
        <v>Neurotechnology and Spine</v>
      </c>
      <c r="C34" s="9" t="str">
        <f t="shared" si="17"/>
        <v>2018Q4</v>
      </c>
      <c r="D34" s="9">
        <f t="shared" si="17"/>
        <v>20190124</v>
      </c>
      <c r="E34" s="18">
        <f t="shared" si="8"/>
        <v>1.5999217695981116E-3</v>
      </c>
      <c r="F34" s="18">
        <f t="shared" ref="F34:J34" si="18">$S12/F12-1</f>
        <v>-8.2302819239042924E-3</v>
      </c>
      <c r="G34" s="18">
        <f t="shared" si="18"/>
        <v>1.5507252511667735E-2</v>
      </c>
      <c r="H34" s="18">
        <f t="shared" si="18"/>
        <v>-1.2075045036512244E-2</v>
      </c>
      <c r="I34" s="18">
        <f t="shared" si="18"/>
        <v>0.11275021131312757</v>
      </c>
      <c r="J34" s="18">
        <f t="shared" si="18"/>
        <v>-9.1251644859469128E-4</v>
      </c>
      <c r="K34" s="18">
        <f t="shared" ref="K34:Q34" si="19">$S12/K12-1</f>
        <v>1.6236228540037922E-2</v>
      </c>
      <c r="L34" s="18">
        <f t="shared" si="19"/>
        <v>9.8312740943904409E-3</v>
      </c>
      <c r="M34" s="18">
        <f t="shared" si="19"/>
        <v>-3.892773841560504E-2</v>
      </c>
      <c r="N34" s="18">
        <f t="shared" si="19"/>
        <v>8.2245516921397588E-3</v>
      </c>
      <c r="O34" s="18">
        <f t="shared" si="19"/>
        <v>5.0245890864852871E-3</v>
      </c>
      <c r="P34" s="18">
        <f t="shared" si="19"/>
        <v>-9.7037967903135236E-4</v>
      </c>
      <c r="Q34" s="18">
        <f t="shared" si="19"/>
        <v>-4.3422692692540732E-4</v>
      </c>
      <c r="R34" s="40">
        <f t="shared" si="13"/>
        <v>7.6091850517784776E-2</v>
      </c>
    </row>
    <row r="35" spans="1:18" x14ac:dyDescent="0.2">
      <c r="A35" s="9" t="str">
        <f t="shared" ref="A35:D35" si="20">A13</f>
        <v>SYK_NNS</v>
      </c>
      <c r="B35" s="9" t="str">
        <f t="shared" si="20"/>
        <v>Neurotechnology and Spine</v>
      </c>
      <c r="C35" s="9" t="str">
        <f t="shared" si="20"/>
        <v>2019Q1</v>
      </c>
      <c r="D35" s="9">
        <f t="shared" si="20"/>
        <v>20190418</v>
      </c>
      <c r="E35" s="18">
        <f t="shared" si="8"/>
        <v>-1.8236437759512558E-2</v>
      </c>
      <c r="F35" s="18">
        <f t="shared" ref="F35:J35" si="21">$S13/F13-1</f>
        <v>-9.817970792314834E-3</v>
      </c>
      <c r="G35" s="18">
        <f t="shared" si="21"/>
        <v>2.034820701551121E-2</v>
      </c>
      <c r="H35" s="18">
        <f t="shared" si="21"/>
        <v>-1.6753367502805872E-2</v>
      </c>
      <c r="I35" s="18">
        <f t="shared" si="21"/>
        <v>0.12066182241916223</v>
      </c>
      <c r="J35" s="18">
        <f t="shared" si="21"/>
        <v>-6.3560700978854134E-3</v>
      </c>
      <c r="K35" s="18">
        <f t="shared" ref="K35:Q35" si="22">$S13/K13-1</f>
        <v>-1.980467360067717E-2</v>
      </c>
      <c r="L35" s="18">
        <f t="shared" si="22"/>
        <v>-1.6008644340245182E-3</v>
      </c>
      <c r="M35" s="18">
        <f t="shared" si="22"/>
        <v>4.7670309511529396E-3</v>
      </c>
      <c r="N35" s="18">
        <f t="shared" si="22"/>
        <v>-4.7355038890242174E-3</v>
      </c>
      <c r="O35" s="18">
        <f t="shared" si="22"/>
        <v>7.1099614501068942E-3</v>
      </c>
      <c r="P35" s="18">
        <f t="shared" si="22"/>
        <v>-5.4485255184467674E-3</v>
      </c>
      <c r="Q35" s="18">
        <f t="shared" si="22"/>
        <v>-3.3620723465473956E-3</v>
      </c>
      <c r="R35" s="40">
        <f t="shared" si="13"/>
        <v>4.7031283251755651E-2</v>
      </c>
    </row>
    <row r="36" spans="1:18" x14ac:dyDescent="0.2">
      <c r="A36" s="9" t="str">
        <f t="shared" ref="A36:D36" si="23">A14</f>
        <v>SYK_NNS</v>
      </c>
      <c r="B36" s="9" t="str">
        <f t="shared" si="23"/>
        <v>Neurotechnology and Spine</v>
      </c>
      <c r="C36" s="9" t="str">
        <f t="shared" si="23"/>
        <v>2019Q2</v>
      </c>
      <c r="D36" s="9">
        <f t="shared" si="23"/>
        <v>20190718</v>
      </c>
      <c r="E36" s="18">
        <f t="shared" si="8"/>
        <v>-8.0978816703385248E-2</v>
      </c>
      <c r="F36" s="18">
        <f t="shared" ref="F36:J36" si="24">$S14/F14-1</f>
        <v>-6.9431646664207425E-2</v>
      </c>
      <c r="G36" s="18">
        <f>$S14/G14-1</f>
        <v>-3.6089732743193492E-2</v>
      </c>
      <c r="H36" s="18">
        <f t="shared" si="24"/>
        <v>-9.9911060625434978E-4</v>
      </c>
      <c r="I36" s="18">
        <f t="shared" si="24"/>
        <v>0.12982457871197983</v>
      </c>
      <c r="J36" s="18">
        <f t="shared" si="24"/>
        <v>-4.7883682492136037E-2</v>
      </c>
      <c r="K36" s="18">
        <f t="shared" ref="K36:Q36" si="25">$S14/K14-1</f>
        <v>-6.390783011001977E-2</v>
      </c>
      <c r="L36" s="18">
        <f t="shared" si="25"/>
        <v>-6.0204764491225582E-2</v>
      </c>
      <c r="M36" s="18">
        <f t="shared" si="25"/>
        <v>-5.5312430962939474E-2</v>
      </c>
      <c r="N36" s="18">
        <f t="shared" si="25"/>
        <v>1.6022690926019045E-2</v>
      </c>
      <c r="O36" s="18">
        <f t="shared" si="25"/>
        <v>8.1762009818788783E-3</v>
      </c>
      <c r="P36" s="18">
        <f t="shared" si="25"/>
        <v>-4.1793253241472095E-2</v>
      </c>
      <c r="Q36" s="18">
        <f t="shared" si="25"/>
        <v>-3.3912829677023582E-2</v>
      </c>
      <c r="R36" s="40">
        <f t="shared" si="13"/>
        <v>-9.730967372638899E-3</v>
      </c>
    </row>
    <row r="37" spans="1:18" x14ac:dyDescent="0.2">
      <c r="A37" s="9" t="str">
        <f t="shared" ref="A37:D37" si="26">A15</f>
        <v>SYK_NNS</v>
      </c>
      <c r="B37" s="9" t="str">
        <f t="shared" si="26"/>
        <v>Neurotechnology and Spine</v>
      </c>
      <c r="C37" s="9" t="str">
        <f t="shared" si="26"/>
        <v>2019Q3</v>
      </c>
      <c r="D37" s="9">
        <f t="shared" si="26"/>
        <v>20191024</v>
      </c>
      <c r="E37" s="18">
        <f t="shared" si="8"/>
        <v>1.8084967335203705E-2</v>
      </c>
      <c r="F37" s="18">
        <f t="shared" ref="F37:J37" si="27">$S15/F15-1</f>
        <v>4.7393059575127072E-3</v>
      </c>
      <c r="G37" s="18">
        <f>$S15/G15-1</f>
        <v>7.0716553935499471E-2</v>
      </c>
      <c r="H37" s="18">
        <f t="shared" si="27"/>
        <v>6.6682202365540677E-2</v>
      </c>
      <c r="I37" s="18">
        <f t="shared" si="27"/>
        <v>0.22607238740528635</v>
      </c>
      <c r="J37" s="18">
        <f t="shared" si="27"/>
        <v>3.9241856731654146E-2</v>
      </c>
      <c r="K37" s="18">
        <f t="shared" ref="K37:Q37" si="28">$S15/K15-1</f>
        <v>0.10779271015629699</v>
      </c>
      <c r="L37" s="18">
        <f t="shared" si="28"/>
        <v>7.9705002169739414E-2</v>
      </c>
      <c r="M37" s="18">
        <f t="shared" si="28"/>
        <v>0.11080521735975801</v>
      </c>
      <c r="N37" s="18">
        <f t="shared" si="28"/>
        <v>6.7749001717974711E-2</v>
      </c>
      <c r="O37" s="18">
        <f t="shared" si="28"/>
        <v>8.5188276575670407E-2</v>
      </c>
      <c r="P37" s="18">
        <f t="shared" si="28"/>
        <v>9.1507242992997506E-2</v>
      </c>
      <c r="Q37" s="18">
        <f t="shared" si="28"/>
        <v>9.0247843794583282E-2</v>
      </c>
      <c r="R37" s="40">
        <f t="shared" si="13"/>
        <v>-3.2503326363809149E-2</v>
      </c>
    </row>
    <row r="38" spans="1:18" x14ac:dyDescent="0.2">
      <c r="A38" s="9" t="str">
        <f t="shared" ref="A38:D38" si="29">A16</f>
        <v>SYK_NNS</v>
      </c>
      <c r="B38" s="9" t="str">
        <f t="shared" si="29"/>
        <v>Neurotechnology and Spine</v>
      </c>
      <c r="C38" s="9" t="str">
        <f t="shared" si="29"/>
        <v>2019Q4</v>
      </c>
      <c r="D38" s="9">
        <f t="shared" si="29"/>
        <v>20200123</v>
      </c>
      <c r="E38" s="18">
        <f t="shared" si="8"/>
        <v>6.2889108872835608E-2</v>
      </c>
      <c r="F38" s="18">
        <f t="shared" ref="F38:J38" si="30">$S16/F16-1</f>
        <v>7.0309566276532509E-2</v>
      </c>
      <c r="G38" s="18">
        <f t="shared" si="30"/>
        <v>0.11597621728937146</v>
      </c>
      <c r="H38" s="18">
        <f t="shared" si="30"/>
        <v>6.9077851803848622E-2</v>
      </c>
      <c r="I38" s="18">
        <f t="shared" si="30"/>
        <v>0.29242227947516386</v>
      </c>
      <c r="J38" s="18">
        <f t="shared" si="30"/>
        <v>7.9155207019202312E-2</v>
      </c>
      <c r="K38" s="18">
        <f t="shared" ref="K38:Q38" si="31">$S16/K16-1</f>
        <v>4.4008253706863787E-2</v>
      </c>
      <c r="L38" s="18">
        <f t="shared" si="31"/>
        <v>6.5260968621638105E-2</v>
      </c>
      <c r="M38" s="18">
        <f t="shared" si="31"/>
        <v>4.2270443272327318E-2</v>
      </c>
      <c r="N38" s="18">
        <f t="shared" si="31"/>
        <v>2.245888637679716E-3</v>
      </c>
      <c r="O38" s="18">
        <f t="shared" si="31"/>
        <v>5.4115803235967652E-2</v>
      </c>
      <c r="P38" s="18">
        <f t="shared" si="31"/>
        <v>3.8406218946062554E-2</v>
      </c>
      <c r="Q38" s="18">
        <f t="shared" si="31"/>
        <v>4.0679538122493142E-2</v>
      </c>
      <c r="R38" s="40">
        <f t="shared" si="13"/>
        <v>1.5192135835567555E-2</v>
      </c>
    </row>
    <row r="39" spans="1:18" x14ac:dyDescent="0.2">
      <c r="A39" s="9" t="str">
        <f t="shared" ref="A39:D39" si="32">A17</f>
        <v>SYK_NNS</v>
      </c>
      <c r="B39" s="9" t="str">
        <f t="shared" si="32"/>
        <v>Neurotechnology and Spine</v>
      </c>
      <c r="C39" s="9" t="str">
        <f t="shared" si="32"/>
        <v>2020Q1</v>
      </c>
      <c r="D39" s="9">
        <f t="shared" si="32"/>
        <v>20200423</v>
      </c>
      <c r="E39" s="18">
        <f t="shared" si="8"/>
        <v>-1.797090132387269E-2</v>
      </c>
      <c r="F39" s="18">
        <f t="shared" ref="F39:J39" si="33">$S17/F17-1</f>
        <v>-2.7071542485298639E-2</v>
      </c>
      <c r="G39" s="18">
        <f t="shared" ref="G39:G44" si="34">$S17/G17-1</f>
        <v>2.7209154243271083E-2</v>
      </c>
      <c r="H39" s="18">
        <f t="shared" si="33"/>
        <v>-2.0398264673960997E-2</v>
      </c>
      <c r="I39" s="18">
        <f t="shared" si="33"/>
        <v>0.19905736913143479</v>
      </c>
      <c r="J39" s="18">
        <f t="shared" si="33"/>
        <v>-1.0013505238399611E-2</v>
      </c>
      <c r="K39" s="18">
        <f t="shared" ref="K39:Q39" si="35">$S17/K17-1</f>
        <v>-7.6075678564867522E-2</v>
      </c>
      <c r="L39" s="18">
        <f t="shared" si="35"/>
        <v>-9.0984059033133002E-2</v>
      </c>
      <c r="M39" s="18">
        <f t="shared" si="35"/>
        <v>-7.9542074168667543E-2</v>
      </c>
      <c r="N39" s="18">
        <f t="shared" si="35"/>
        <v>-8.3694668565845842E-2</v>
      </c>
      <c r="O39" s="18">
        <f t="shared" si="35"/>
        <v>-7.2240251368649755E-2</v>
      </c>
      <c r="P39" s="18">
        <f t="shared" si="35"/>
        <v>-8.2628255581419063E-2</v>
      </c>
      <c r="Q39" s="18">
        <f t="shared" si="35"/>
        <v>-8.0899442874786454E-2</v>
      </c>
      <c r="R39" s="40">
        <f t="shared" si="13"/>
        <v>-4.6797084771768249E-2</v>
      </c>
    </row>
    <row r="40" spans="1:18" x14ac:dyDescent="0.2">
      <c r="A40" s="9" t="str">
        <f t="shared" ref="A40:D40" si="36">A18</f>
        <v>SYK_NNS</v>
      </c>
      <c r="B40" s="9" t="str">
        <f t="shared" si="36"/>
        <v>Neurotechnology and Spine</v>
      </c>
      <c r="C40" s="9" t="str">
        <f t="shared" si="36"/>
        <v>2020Q2</v>
      </c>
      <c r="D40" s="9">
        <f t="shared" si="36"/>
        <v>20200723</v>
      </c>
      <c r="E40" s="18">
        <f t="shared" si="8"/>
        <v>-0.1081837973899229</v>
      </c>
      <c r="F40" s="18">
        <f t="shared" ref="F40:J40" si="37">$S18/F18-1</f>
        <v>-0.10820365358608619</v>
      </c>
      <c r="G40" s="18">
        <f t="shared" si="34"/>
        <v>-1.0126409185462482E-2</v>
      </c>
      <c r="H40" s="18">
        <f t="shared" si="37"/>
        <v>-9.7727519340666813E-2</v>
      </c>
      <c r="I40" s="18">
        <f t="shared" si="37"/>
        <v>0.13245777223326716</v>
      </c>
      <c r="J40" s="18">
        <f t="shared" si="37"/>
        <v>-8.2817492815515648E-2</v>
      </c>
      <c r="K40" s="18">
        <f t="shared" ref="K40:Q40" si="38">$S18/K18-1</f>
        <v>-9.1863770826817848E-2</v>
      </c>
      <c r="L40" s="18">
        <f t="shared" si="38"/>
        <v>-8.3389596094285978E-2</v>
      </c>
      <c r="M40" s="18">
        <f t="shared" si="38"/>
        <v>-3.6346603098799557E-2</v>
      </c>
      <c r="N40" s="18">
        <f t="shared" si="38"/>
        <v>-7.8939483136959199E-2</v>
      </c>
      <c r="O40" s="18">
        <f t="shared" si="38"/>
        <v>-5.5543294768631957E-2</v>
      </c>
      <c r="P40" s="18">
        <f t="shared" si="38"/>
        <v>-7.3540384603577924E-2</v>
      </c>
      <c r="Q40" s="18">
        <f t="shared" si="38"/>
        <v>-7.0306890693380475E-2</v>
      </c>
      <c r="R40" s="40">
        <f t="shared" ref="R40" si="39">$S18/R18-1</f>
        <v>-7.9340141398270836E-3</v>
      </c>
    </row>
    <row r="41" spans="1:18" x14ac:dyDescent="0.2">
      <c r="A41" s="9" t="str">
        <f t="shared" ref="A41:D41" si="40">A19</f>
        <v>SYK_NNS</v>
      </c>
      <c r="B41" s="9" t="str">
        <f t="shared" si="40"/>
        <v>Neurotechnology and Spine</v>
      </c>
      <c r="C41" s="9" t="str">
        <f t="shared" si="40"/>
        <v>2020Q3</v>
      </c>
      <c r="D41" s="9">
        <f t="shared" si="40"/>
        <v>20201022</v>
      </c>
      <c r="E41" s="18">
        <f t="shared" si="8"/>
        <v>6.5792364717437213E-2</v>
      </c>
      <c r="F41" s="18">
        <f t="shared" ref="F41:I41" si="41">$S19/F19-1</f>
        <v>5.8262147004419118E-2</v>
      </c>
      <c r="G41" s="18">
        <f t="shared" si="34"/>
        <v>6.1489882893511094E-2</v>
      </c>
      <c r="H41" s="18">
        <f t="shared" si="41"/>
        <v>6.7641496735482365E-2</v>
      </c>
      <c r="I41" s="18">
        <f t="shared" si="41"/>
        <v>0.30548862298576074</v>
      </c>
      <c r="J41" s="18">
        <f>$S19/J19-1</f>
        <v>6.3283835023200785E-2</v>
      </c>
      <c r="K41" s="18">
        <f t="shared" ref="K41:Q41" si="42">$S19/K19-1</f>
        <v>0.19508073703772633</v>
      </c>
      <c r="L41" s="18">
        <f t="shared" si="42"/>
        <v>0.18666347003987704</v>
      </c>
      <c r="M41" s="18">
        <f t="shared" si="42"/>
        <v>7.234892691706496E-2</v>
      </c>
      <c r="N41" s="18">
        <f t="shared" si="42"/>
        <v>0.18328057169083367</v>
      </c>
      <c r="O41" s="18">
        <f t="shared" si="42"/>
        <v>0.15279232038053614</v>
      </c>
      <c r="P41" s="18">
        <f t="shared" si="42"/>
        <v>0.15929362661659363</v>
      </c>
      <c r="Q41" s="18">
        <f t="shared" si="42"/>
        <v>0.15670320753521683</v>
      </c>
      <c r="R41" s="40">
        <f>$S19/R19-1</f>
        <v>0.14879186095803298</v>
      </c>
    </row>
    <row r="42" spans="1:18" x14ac:dyDescent="0.2">
      <c r="A42" s="9" t="str">
        <f t="shared" ref="A42:D42" si="43">A20</f>
        <v>SYK_NNS</v>
      </c>
      <c r="B42" s="9" t="str">
        <f t="shared" si="43"/>
        <v>Neurotechnology and Spine</v>
      </c>
      <c r="C42" s="9" t="str">
        <f t="shared" si="43"/>
        <v>2020Q4</v>
      </c>
      <c r="D42" s="9">
        <f t="shared" si="43"/>
        <v>20210121</v>
      </c>
      <c r="E42" s="18">
        <f t="shared" ref="E42:I42" si="44">$S20/E20-1</f>
        <v>3.6423333584599149E-2</v>
      </c>
      <c r="F42" s="18">
        <f t="shared" si="44"/>
        <v>4.7643214907086451E-2</v>
      </c>
      <c r="G42" s="18">
        <f t="shared" si="34"/>
        <v>3.7193319670831393E-2</v>
      </c>
      <c r="H42" s="18">
        <f t="shared" si="44"/>
        <v>1.0641528624065533E-2</v>
      </c>
      <c r="I42" s="18">
        <f t="shared" si="44"/>
        <v>0.26038854175096082</v>
      </c>
      <c r="J42" s="18">
        <f>$S20/J20-1</f>
        <v>3.2793497793609072E-2</v>
      </c>
      <c r="K42" s="18">
        <f t="shared" ref="K42:Q42" si="45">$S20/K20-1</f>
        <v>-2.755605322864596E-2</v>
      </c>
      <c r="L42" s="18">
        <f t="shared" si="45"/>
        <v>-1.0034311562018283E-2</v>
      </c>
      <c r="M42" s="18">
        <f t="shared" si="45"/>
        <v>-2.2889114266873456E-2</v>
      </c>
      <c r="N42" s="18">
        <f t="shared" si="45"/>
        <v>-5.3388678021325853E-2</v>
      </c>
      <c r="O42" s="18">
        <f t="shared" si="45"/>
        <v>-3.4546514186889143E-2</v>
      </c>
      <c r="P42" s="18">
        <f t="shared" si="45"/>
        <v>-2.8675633189633176E-2</v>
      </c>
      <c r="Q42" s="18">
        <f t="shared" si="45"/>
        <v>-2.9691896137508333E-2</v>
      </c>
      <c r="R42" s="40">
        <f>$S20/R20-1</f>
        <v>-1.8659295093296446E-2</v>
      </c>
    </row>
    <row r="43" spans="1:18" x14ac:dyDescent="0.2">
      <c r="A43" s="9" t="str">
        <f t="shared" ref="A43:D43" si="46">A21</f>
        <v>SYK_NNS</v>
      </c>
      <c r="B43" s="9" t="str">
        <f t="shared" si="46"/>
        <v>Neurotechnology and Spine</v>
      </c>
      <c r="C43" s="9" t="str">
        <f t="shared" si="46"/>
        <v>2021Q1</v>
      </c>
      <c r="D43" s="9">
        <f t="shared" si="46"/>
        <v>20210422</v>
      </c>
      <c r="E43" s="18">
        <f t="shared" ref="E43:J43" si="47">$S21/E21-1</f>
        <v>1.8475382464022694E-4</v>
      </c>
      <c r="F43" s="18">
        <f t="shared" si="47"/>
        <v>2.6484136402128211E-2</v>
      </c>
      <c r="G43" s="18">
        <f t="shared" si="34"/>
        <v>5.7084892567751622E-2</v>
      </c>
      <c r="H43" s="18">
        <f t="shared" si="47"/>
        <v>-5.3858057221902733E-3</v>
      </c>
      <c r="I43" s="18">
        <f t="shared" si="47"/>
        <v>0.27911927134079195</v>
      </c>
      <c r="J43" s="18">
        <f t="shared" si="47"/>
        <v>1.8997360789115625E-2</v>
      </c>
      <c r="K43" s="18">
        <f t="shared" ref="K43:Q43" si="48">$S21/K21-1</f>
        <v>-3.4965036569201247E-2</v>
      </c>
      <c r="L43" s="18">
        <f t="shared" si="48"/>
        <v>-2.0196836293007281E-2</v>
      </c>
      <c r="M43" s="18">
        <f t="shared" si="48"/>
        <v>1.9178269392665648E-2</v>
      </c>
      <c r="N43" s="18">
        <f t="shared" si="48"/>
        <v>-1.5858574867862463E-2</v>
      </c>
      <c r="O43" s="18">
        <f t="shared" si="48"/>
        <v>1.4861075747174102E-2</v>
      </c>
      <c r="P43" s="18">
        <f t="shared" si="48"/>
        <v>-1.3358078874398882E-2</v>
      </c>
      <c r="Q43" s="18">
        <f t="shared" si="48"/>
        <v>-8.7620896010144333E-3</v>
      </c>
      <c r="R43" s="40">
        <f>$S21/R21-1</f>
        <v>3.993154592127901E-3</v>
      </c>
    </row>
    <row r="44" spans="1:18" x14ac:dyDescent="0.2">
      <c r="A44" s="9" t="str">
        <f t="shared" ref="A44:D44" si="49">A22</f>
        <v>SYK_NNS</v>
      </c>
      <c r="B44" s="9" t="str">
        <f t="shared" si="49"/>
        <v>Neurotechnology and Spine</v>
      </c>
      <c r="C44" s="9" t="str">
        <f t="shared" si="49"/>
        <v>2021Q2</v>
      </c>
      <c r="D44" s="9">
        <f t="shared" si="49"/>
        <v>20210722</v>
      </c>
      <c r="E44" s="18">
        <f>$S22/E22-1</f>
        <v>9.6956627020285957E-3</v>
      </c>
      <c r="F44" s="18">
        <f t="shared" ref="F44:J44" si="50">$S22/F22-1</f>
        <v>2.4190926356063569E-2</v>
      </c>
      <c r="G44" s="18">
        <f t="shared" si="34"/>
        <v>8.6726466230061083E-2</v>
      </c>
      <c r="H44" s="18">
        <f t="shared" si="50"/>
        <v>5.9432244458541783E-2</v>
      </c>
      <c r="I44" s="18">
        <f t="shared" si="50"/>
        <v>0.37665786774697918</v>
      </c>
      <c r="J44" s="18">
        <f t="shared" si="50"/>
        <v>4.41480271664072E-2</v>
      </c>
      <c r="K44" s="18">
        <f t="shared" ref="K44:Q44" si="51">$S22/K22-1</f>
        <v>9.5091520251824324E-3</v>
      </c>
      <c r="L44" s="18">
        <f t="shared" si="51"/>
        <v>-2.2340433375839241E-3</v>
      </c>
      <c r="M44" s="18">
        <f t="shared" si="51"/>
        <v>2.8040863955880901E-2</v>
      </c>
      <c r="N44" s="18">
        <f t="shared" si="51"/>
        <v>6.5169037958277443E-2</v>
      </c>
      <c r="O44" s="18">
        <f t="shared" si="51"/>
        <v>7.6254496817912409E-2</v>
      </c>
      <c r="P44" s="18">
        <f t="shared" si="51"/>
        <v>2.4681777740635846E-2</v>
      </c>
      <c r="Q44" s="18">
        <f t="shared" si="51"/>
        <v>3.2804882334905638E-2</v>
      </c>
      <c r="R44" s="40">
        <f>$S22/R22-1</f>
        <v>5.6413941789435817E-2</v>
      </c>
    </row>
    <row r="45" spans="1:18" x14ac:dyDescent="0.2">
      <c r="A45" s="182" t="s">
        <v>78</v>
      </c>
      <c r="B45" s="182"/>
      <c r="C45" s="178"/>
      <c r="D45" s="179"/>
      <c r="E45" s="73" cm="1">
        <f t="array" ref="E45">SUM(ABS(E28:E44))/COUNT(E28:E44)</f>
        <v>4.8451232159657333E-2</v>
      </c>
      <c r="F45" s="105" cm="1">
        <f t="array" ref="F45">SUM(ABS(F28:F44))/COUNT(F28:F44)</f>
        <v>4.9809473885018926E-2</v>
      </c>
      <c r="G45" s="105" cm="1">
        <f t="array" ref="G45">SUM(ABS(G28:G44))/COUNT(G28:G44)</f>
        <v>5.7077246998024668E-2</v>
      </c>
      <c r="H45" s="107" cm="1">
        <f t="array" ref="H45">SUM(ABS(H28:H44))/COUNT(H28:H44)</f>
        <v>4.224253324268145E-2</v>
      </c>
      <c r="I45" s="105" cm="1">
        <f t="array" ref="I45">SUM(ABS(I28:I44))/COUNT(I28:I44)</f>
        <v>0.17707315026817905</v>
      </c>
      <c r="J45" s="107" cm="1">
        <f t="array" ref="J45">SUM(ABS(J28:J44))/COUNT(J28:J44)</f>
        <v>4.2017284792799398E-2</v>
      </c>
      <c r="K45" s="105" cm="1">
        <f t="array" ref="K45">SUM(ABS(K28:K44))/COUNT(K28:K44)</f>
        <v>6.7701945122524851E-2</v>
      </c>
      <c r="L45" s="105" cm="1">
        <f t="array" ref="L45">SUM(ABS(L28:L44))/COUNT(L28:L44)</f>
        <v>6.0914959616745534E-2</v>
      </c>
      <c r="M45" s="105" cm="1">
        <f t="array" ref="M45">SUM(ABS(M28:M44))/COUNT(M28:M44)</f>
        <v>5.4883744653875376E-2</v>
      </c>
      <c r="N45" s="105" cm="1">
        <f t="array" ref="N45">SUM(ABS(N28:N44))/COUNT(N28:N44)</f>
        <v>5.7714372918851183E-2</v>
      </c>
      <c r="O45" s="105" cm="1">
        <f t="array" ref="O45">SUM(ABS(O28:O44))/COUNT(O28:O44)</f>
        <v>6.0609805279737264E-2</v>
      </c>
      <c r="P45" s="105" cm="1">
        <f t="array" ref="P45">SUM(ABS(P28:P44))/COUNT(P28:P44)</f>
        <v>5.4059959520162876E-2</v>
      </c>
      <c r="Q45" s="105" cm="1">
        <f t="array" ref="Q45">SUM(ABS(Q28:Q44))/COUNT(Q28:Q44)</f>
        <v>5.1247664178590002E-2</v>
      </c>
      <c r="R45" s="111" cm="1">
        <f t="array" ref="R45">SUM(ABS(R28:R44))/COUNT(R28:R44)</f>
        <v>6.4575538138896424E-2</v>
      </c>
    </row>
    <row r="46" spans="1:18" x14ac:dyDescent="0.2">
      <c r="A46" s="183" t="s">
        <v>79</v>
      </c>
      <c r="B46" s="183"/>
      <c r="C46" s="180"/>
      <c r="D46" s="181"/>
      <c r="E46" s="74" cm="1">
        <f t="array" ref="E46">SQRT(SUM(POWER(E28:E44,2))/COUNT(E28:E44))</f>
        <v>6.7423747448309576E-2</v>
      </c>
      <c r="F46" s="106" cm="1">
        <f t="array" ref="F46">SQRT(SUM(POWER(F28:F44,2))/COUNT(F28:F44))</f>
        <v>6.5218710199555385E-2</v>
      </c>
      <c r="G46" s="106" cm="1">
        <f t="array" ref="G46">SQRT(SUM(POWER(G28:G44,2))/COUNT(G28:G44))</f>
        <v>6.6345693970194422E-2</v>
      </c>
      <c r="H46" s="108" cm="1">
        <f t="array" ref="H46">SQRT(SUM(POWER(H28:H44,2))/COUNT(H28:H44))</f>
        <v>5.5777005718935471E-2</v>
      </c>
      <c r="I46" s="106" cm="1">
        <f t="array" ref="I46">SQRT(SUM(POWER(I28:I44,2))/COUNT(I28:I44))</f>
        <v>0.20041163070144744</v>
      </c>
      <c r="J46" s="108" cm="1">
        <f t="array" ref="J46">SQRT(SUM(POWER(J28:J44,2))/COUNT(J28:J44))</f>
        <v>5.4198936855793536E-2</v>
      </c>
      <c r="K46" s="106" cm="1">
        <f t="array" ref="K46">SQRT(SUM(POWER(K28:K44,2))/COUNT(K28:K44))</f>
        <v>9.4460844971413271E-2</v>
      </c>
      <c r="L46" s="106" cm="1">
        <f t="array" ref="L46">SQRT(SUM(POWER(L28:L44,2))/COUNT(L28:L44))</f>
        <v>8.7608512092885546E-2</v>
      </c>
      <c r="M46" s="106" cm="1">
        <f t="array" ref="M46">SQRT(SUM(POWER(M28:M44,2))/COUNT(M28:M44))</f>
        <v>7.7474047395025544E-2</v>
      </c>
      <c r="N46" s="106" cm="1">
        <f t="array" ref="N46">SQRT(SUM(POWER(N28:N44,2))/COUNT(N28:N44))</f>
        <v>7.4210888198518093E-2</v>
      </c>
      <c r="O46" s="106" cm="1">
        <f t="array" ref="O46">SQRT(SUM(POWER(O28:O44,2))/COUNT(O28:O44))</f>
        <v>7.7117696494455365E-2</v>
      </c>
      <c r="P46" s="106" cm="1">
        <f t="array" ref="P46">SQRT(SUM(POWER(P28:P44,2))/COUNT(P28:P44))</f>
        <v>7.8762761275597087E-2</v>
      </c>
      <c r="Q46" s="106" cm="1">
        <f t="array" ref="Q46">SQRT(SUM(POWER(Q28:Q44,2))/COUNT(Q28:Q44))</f>
        <v>7.4780590454298981E-2</v>
      </c>
      <c r="R46" s="112" cm="1">
        <f t="array" ref="R46">SQRT(SUM(POWER(R28:R44,2))/COUNT(R28:R44))</f>
        <v>8.4821345665854656E-2</v>
      </c>
    </row>
    <row r="47" spans="1:18" x14ac:dyDescent="0.2">
      <c r="I47" s="3"/>
      <c r="J47" s="3"/>
    </row>
    <row r="48" spans="1:18" x14ac:dyDescent="0.2">
      <c r="B48" t="s">
        <v>158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39"/>
  <sheetViews>
    <sheetView zoomScale="85" zoomScaleNormal="85" workbookViewId="0">
      <selection activeCell="G24" sqref="G24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104</v>
      </c>
      <c r="B1" t="s">
        <v>84</v>
      </c>
    </row>
    <row r="2" spans="1:17" x14ac:dyDescent="0.2">
      <c r="A2" s="67" t="s">
        <v>99</v>
      </c>
      <c r="B2" t="s">
        <v>82</v>
      </c>
    </row>
    <row r="3" spans="1:17" x14ac:dyDescent="0.2">
      <c r="A3" s="67" t="s">
        <v>100</v>
      </c>
      <c r="B3" t="s">
        <v>147</v>
      </c>
    </row>
    <row r="4" spans="1:17" x14ac:dyDescent="0.2">
      <c r="A4" s="67" t="s">
        <v>101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102</v>
      </c>
      <c r="B7" s="184" t="s">
        <v>83</v>
      </c>
      <c r="C7" s="184"/>
      <c r="D7" s="184" t="s">
        <v>112</v>
      </c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6"/>
      <c r="P7" s="6"/>
      <c r="Q7" s="6"/>
    </row>
    <row r="8" spans="1:17" ht="15" x14ac:dyDescent="0.2">
      <c r="A8" s="67" t="s">
        <v>96</v>
      </c>
      <c r="C8" s="71" t="s">
        <v>85</v>
      </c>
      <c r="D8" s="71" t="s">
        <v>86</v>
      </c>
      <c r="E8" s="71" t="s">
        <v>87</v>
      </c>
      <c r="F8" s="71" t="s">
        <v>88</v>
      </c>
      <c r="G8" s="71" t="s">
        <v>89</v>
      </c>
      <c r="H8" s="71" t="s">
        <v>90</v>
      </c>
      <c r="I8" s="71" t="s">
        <v>91</v>
      </c>
      <c r="J8" s="71" t="s">
        <v>92</v>
      </c>
      <c r="K8" s="71" t="s">
        <v>93</v>
      </c>
      <c r="L8" s="71" t="s">
        <v>94</v>
      </c>
      <c r="M8" s="71" t="s">
        <v>95</v>
      </c>
      <c r="O8" s="6"/>
      <c r="P8" s="6"/>
      <c r="Q8" s="6"/>
    </row>
    <row r="9" spans="1:17" ht="15" x14ac:dyDescent="0.2">
      <c r="B9" s="71" t="s">
        <v>96</v>
      </c>
      <c r="C9" s="2">
        <v>3.9812549196996873E-2</v>
      </c>
      <c r="D9" s="2">
        <v>3.6678536640704543E-2</v>
      </c>
      <c r="E9" s="2">
        <v>3.2838589831308398E-2</v>
      </c>
      <c r="F9" s="2">
        <v>4.1933584520922218E-2</v>
      </c>
      <c r="G9" s="2">
        <v>4.4052657882583009E-2</v>
      </c>
      <c r="H9" s="2">
        <v>3.283756503815554E-2</v>
      </c>
      <c r="I9" s="2">
        <v>3.2874109564417782E-2</v>
      </c>
      <c r="J9" s="2">
        <v>4.3851040074285343E-2</v>
      </c>
      <c r="K9" s="2">
        <v>4.2319390995891472E-2</v>
      </c>
      <c r="L9" s="2">
        <v>5.0061361518986672E-2</v>
      </c>
      <c r="M9" s="2">
        <v>0.17598319718528849</v>
      </c>
      <c r="O9" s="6"/>
      <c r="P9" s="6"/>
      <c r="Q9" s="6"/>
    </row>
    <row r="10" spans="1:17" ht="15" x14ac:dyDescent="0.2">
      <c r="B10" s="71" t="s">
        <v>97</v>
      </c>
      <c r="C10" s="2">
        <v>5.3625949669117698E-2</v>
      </c>
      <c r="D10" s="2">
        <v>4.237954606724114E-2</v>
      </c>
      <c r="E10" s="2">
        <v>4.3235900318986838E-2</v>
      </c>
      <c r="F10" s="2">
        <v>5.2052260824460163E-2</v>
      </c>
      <c r="G10" s="2">
        <v>5.7711397386583978E-2</v>
      </c>
      <c r="H10" s="2">
        <v>4.3235176725554457E-2</v>
      </c>
      <c r="I10" s="2">
        <v>4.3065677614862012E-2</v>
      </c>
      <c r="J10" s="2">
        <v>5.7303899359345073E-2</v>
      </c>
      <c r="K10" s="2">
        <v>5.427659256438349E-2</v>
      </c>
      <c r="L10" s="2">
        <v>6.4346909646562644E-2</v>
      </c>
      <c r="M10" s="2">
        <v>0.29453393397374478</v>
      </c>
      <c r="O10" s="6"/>
      <c r="P10" s="6"/>
      <c r="Q10" s="6"/>
    </row>
    <row r="11" spans="1:17" ht="15" x14ac:dyDescent="0.2">
      <c r="B11" s="71" t="s">
        <v>98</v>
      </c>
      <c r="C11" s="2">
        <v>-3.9772727272727737E-3</v>
      </c>
      <c r="D11" s="2">
        <v>-3.1752230985915508E-2</v>
      </c>
      <c r="E11" s="2">
        <v>-1.1035983523802639E-2</v>
      </c>
      <c r="F11" s="2">
        <v>6.5825227584619386E-3</v>
      </c>
      <c r="G11" s="2">
        <v>3.8575286213120559E-3</v>
      </c>
      <c r="H11" s="2">
        <v>-1.108275300500761E-2</v>
      </c>
      <c r="I11" s="2">
        <v>-1.103652938936295E-2</v>
      </c>
      <c r="J11" s="2">
        <v>3.8457314261406421E-3</v>
      </c>
      <c r="K11" s="2">
        <v>3.6016728762244821E-3</v>
      </c>
      <c r="L11" s="2">
        <v>-2.1164401976717762E-2</v>
      </c>
      <c r="M11" s="2">
        <v>-6.9887037306677557E-2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A14" s="67" t="s">
        <v>103</v>
      </c>
      <c r="B14" t="s">
        <v>139</v>
      </c>
      <c r="O14" s="6"/>
      <c r="P14" s="6"/>
      <c r="Q14" s="6"/>
    </row>
    <row r="15" spans="1:17" x14ac:dyDescent="0.2">
      <c r="B15" t="s">
        <v>140</v>
      </c>
      <c r="H15" s="68" t="s">
        <v>106</v>
      </c>
      <c r="O15" s="6"/>
      <c r="P15" s="6"/>
      <c r="Q15" s="6"/>
    </row>
    <row r="16" spans="1:17" x14ac:dyDescent="0.2">
      <c r="H16" s="68"/>
      <c r="O16" s="6"/>
      <c r="P16" s="6"/>
      <c r="Q16" s="6"/>
    </row>
    <row r="17" spans="1:17" x14ac:dyDescent="0.2"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A19" s="67" t="s">
        <v>105</v>
      </c>
      <c r="B19" s="185" t="s">
        <v>108</v>
      </c>
      <c r="C19" s="185"/>
      <c r="D19" s="185"/>
      <c r="E19" s="185"/>
      <c r="F19" s="66" t="e">
        <f>#REF!+#REF!*'2. Past Proj &amp; Candidate Model'!R22</f>
        <v>#REF!</v>
      </c>
      <c r="G19" s="69" t="s">
        <v>109</v>
      </c>
      <c r="H19" s="2" t="e">
        <f>'2. Past Proj &amp; Candidate Model'!S22/'3. Improved Alpha Model'!F19-1</f>
        <v>#REF!</v>
      </c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B23" s="186" t="s">
        <v>159</v>
      </c>
      <c r="C23" s="186"/>
      <c r="D23" s="186"/>
      <c r="E23" s="3">
        <f>C9</f>
        <v>3.9812549196996873E-2</v>
      </c>
      <c r="F23" t="s">
        <v>110</v>
      </c>
      <c r="G23" s="186" t="s">
        <v>111</v>
      </c>
      <c r="H23" s="186"/>
      <c r="I23" s="3" t="e">
        <f>#REF!</f>
        <v>#REF!</v>
      </c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A26" s="67" t="s">
        <v>107</v>
      </c>
      <c r="B26" t="s">
        <v>113</v>
      </c>
      <c r="O26" s="6"/>
      <c r="P26" s="6"/>
      <c r="Q26" s="6"/>
    </row>
    <row r="27" spans="1:17" x14ac:dyDescent="0.2">
      <c r="B27" t="s">
        <v>114</v>
      </c>
      <c r="O27" s="6"/>
      <c r="P27" s="6"/>
      <c r="Q27" s="6"/>
    </row>
    <row r="28" spans="1:17" x14ac:dyDescent="0.2">
      <c r="B28" t="s">
        <v>115</v>
      </c>
      <c r="O28" s="6"/>
      <c r="P28" s="6"/>
      <c r="Q28" s="6"/>
    </row>
    <row r="29" spans="1:17" x14ac:dyDescent="0.2">
      <c r="B29" t="s">
        <v>116</v>
      </c>
      <c r="O29" s="6"/>
      <c r="P29" s="6"/>
      <c r="Q29" s="6"/>
    </row>
    <row r="30" spans="1:17" x14ac:dyDescent="0.2">
      <c r="B30" t="s">
        <v>117</v>
      </c>
      <c r="O30" s="6"/>
      <c r="P30" s="6"/>
      <c r="Q30" s="6"/>
    </row>
    <row r="31" spans="1:17" x14ac:dyDescent="0.2">
      <c r="B31" t="s">
        <v>118</v>
      </c>
      <c r="O31" s="6"/>
      <c r="P31" s="6"/>
      <c r="Q31" s="6"/>
    </row>
    <row r="32" spans="1:17" x14ac:dyDescent="0.2">
      <c r="B32" t="s">
        <v>119</v>
      </c>
      <c r="O32" s="6"/>
      <c r="P32" s="6"/>
      <c r="Q32" s="6"/>
    </row>
    <row r="33" spans="2:17" x14ac:dyDescent="0.2">
      <c r="B33" t="s">
        <v>120</v>
      </c>
      <c r="O33" s="6"/>
      <c r="P33" s="6"/>
      <c r="Q33" s="6"/>
    </row>
    <row r="34" spans="2:17" x14ac:dyDescent="0.2">
      <c r="B34" t="s">
        <v>121</v>
      </c>
      <c r="O34" s="6"/>
      <c r="P34" s="6"/>
      <c r="Q34" s="6"/>
    </row>
    <row r="35" spans="2:17" x14ac:dyDescent="0.2">
      <c r="B35" t="s">
        <v>122</v>
      </c>
      <c r="O35" s="6"/>
      <c r="P35" s="6"/>
      <c r="Q35" s="6"/>
    </row>
    <row r="36" spans="2:17" x14ac:dyDescent="0.2"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</row>
    <row r="39" spans="2:17" x14ac:dyDescent="0.2">
      <c r="O39" s="6"/>
      <c r="P39" s="6"/>
    </row>
  </sheetData>
  <mergeCells count="5">
    <mergeCell ref="D7:N7"/>
    <mergeCell ref="B7:C7"/>
    <mergeCell ref="B19:E19"/>
    <mergeCell ref="B23:D23"/>
    <mergeCell ref="G23:H23"/>
  </mergeCells>
  <conditionalFormatting sqref="C9:K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tabSelected="1" zoomScale="85" zoomScaleNormal="85" workbookViewId="0">
      <selection activeCell="C45" sqref="C45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18" max="18" width="10.7109375" customWidth="1"/>
    <col min="19" max="19" width="14.85546875" customWidth="1"/>
    <col min="23" max="23" width="16.28515625" customWidth="1"/>
  </cols>
  <sheetData>
    <row r="1" spans="1:25" x14ac:dyDescent="0.2">
      <c r="A1" s="67" t="s">
        <v>124</v>
      </c>
      <c r="B1" t="s">
        <v>84</v>
      </c>
    </row>
    <row r="2" spans="1:25" x14ac:dyDescent="0.2">
      <c r="A2" s="67" t="s">
        <v>99</v>
      </c>
      <c r="B2" s="75" t="s">
        <v>160</v>
      </c>
      <c r="C2" s="76" t="str">
        <f>E5</f>
        <v>LR</v>
      </c>
      <c r="D2" t="s">
        <v>161</v>
      </c>
    </row>
    <row r="4" spans="1:25" x14ac:dyDescent="0.2">
      <c r="A4" s="67" t="s">
        <v>100</v>
      </c>
      <c r="B4" t="s">
        <v>123</v>
      </c>
    </row>
    <row r="5" spans="1:25" ht="15" x14ac:dyDescent="0.2">
      <c r="A5" s="67" t="s">
        <v>96</v>
      </c>
      <c r="C5" s="71" t="s">
        <v>85</v>
      </c>
      <c r="D5" s="71" t="s">
        <v>86</v>
      </c>
      <c r="E5" s="71" t="s">
        <v>87</v>
      </c>
      <c r="F5" s="71" t="s">
        <v>88</v>
      </c>
      <c r="G5" s="71" t="s">
        <v>89</v>
      </c>
      <c r="H5" s="71" t="s">
        <v>90</v>
      </c>
      <c r="I5" s="71" t="s">
        <v>91</v>
      </c>
      <c r="J5" s="71" t="s">
        <v>92</v>
      </c>
      <c r="K5" s="71" t="s">
        <v>93</v>
      </c>
      <c r="L5" s="71" t="s">
        <v>94</v>
      </c>
      <c r="M5" s="71" t="s">
        <v>95</v>
      </c>
    </row>
    <row r="6" spans="1:25" ht="15" x14ac:dyDescent="0.2">
      <c r="B6" s="71" t="s">
        <v>96</v>
      </c>
      <c r="C6" s="2">
        <v>3.5831294277297178E-2</v>
      </c>
      <c r="D6" s="2">
        <v>3.5069461603510058E-2</v>
      </c>
      <c r="E6" s="2">
        <v>3.053239496132519E-2</v>
      </c>
      <c r="F6" s="2">
        <v>3.8206229136654848E-2</v>
      </c>
      <c r="G6" s="2">
        <v>4.0275746798190792E-2</v>
      </c>
      <c r="H6" s="2">
        <v>3.0528235640561899E-2</v>
      </c>
      <c r="I6" s="2">
        <v>3.0564317353707699E-2</v>
      </c>
      <c r="J6" s="2">
        <v>4.0092165437230237E-2</v>
      </c>
      <c r="K6" s="2">
        <v>3.8665806575885878E-2</v>
      </c>
      <c r="L6" s="2">
        <v>4.6240263804274047E-2</v>
      </c>
      <c r="M6" s="2">
        <v>0.15957698141760329</v>
      </c>
    </row>
    <row r="7" spans="1:25" ht="15" x14ac:dyDescent="0.2">
      <c r="B7" s="71" t="s">
        <v>97</v>
      </c>
      <c r="C7" s="2">
        <v>5.0874042793189439E-2</v>
      </c>
      <c r="D7" s="2">
        <v>4.0728479307772909E-2</v>
      </c>
      <c r="E7" s="2">
        <v>4.1133526957159869E-2</v>
      </c>
      <c r="F7" s="2">
        <v>4.9403093626169688E-2</v>
      </c>
      <c r="G7" s="2">
        <v>5.4785884549030481E-2</v>
      </c>
      <c r="H7" s="2">
        <v>4.1132074317913193E-2</v>
      </c>
      <c r="I7" s="2">
        <v>4.097248727749591E-2</v>
      </c>
      <c r="J7" s="2">
        <v>5.4399309056738357E-2</v>
      </c>
      <c r="K7" s="2">
        <v>5.1523767250794487E-2</v>
      </c>
      <c r="L7" s="2">
        <v>6.115975362877691E-2</v>
      </c>
      <c r="M7" s="2">
        <v>0.27944485243808193</v>
      </c>
    </row>
    <row r="8" spans="1:25" ht="15" x14ac:dyDescent="0.2">
      <c r="B8" s="71" t="s">
        <v>98</v>
      </c>
      <c r="C8" s="2">
        <v>-1.9886363636363869E-3</v>
      </c>
      <c r="D8" s="2">
        <v>-2.6170008627337649E-2</v>
      </c>
      <c r="E8" s="2">
        <v>-6.6655696430928946E-3</v>
      </c>
      <c r="F8" s="2">
        <v>5.0086556884503253E-3</v>
      </c>
      <c r="G8" s="2">
        <v>5.0705378299864554E-3</v>
      </c>
      <c r="H8" s="2">
        <v>-6.6890948924391291E-3</v>
      </c>
      <c r="I8" s="2">
        <v>-7.6289932887469991E-3</v>
      </c>
      <c r="J8" s="2">
        <v>5.0540125649375378E-3</v>
      </c>
      <c r="K8" s="2">
        <v>4.6926098360300372E-3</v>
      </c>
      <c r="L8" s="2">
        <v>-1.1083083114662381E-2</v>
      </c>
      <c r="M8" s="2">
        <v>-5.1765181743318511E-2</v>
      </c>
    </row>
    <row r="10" spans="1:25" ht="15" x14ac:dyDescent="0.2">
      <c r="A10" s="67" t="s">
        <v>101</v>
      </c>
      <c r="B10" s="72" t="s">
        <v>162</v>
      </c>
    </row>
    <row r="12" spans="1:25" x14ac:dyDescent="0.2">
      <c r="A12" s="67" t="s">
        <v>102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85</v>
      </c>
      <c r="E13" s="71" t="s">
        <v>86</v>
      </c>
      <c r="F13" s="71" t="s">
        <v>87</v>
      </c>
      <c r="G13" s="71" t="s">
        <v>88</v>
      </c>
      <c r="H13" s="71" t="s">
        <v>89</v>
      </c>
      <c r="I13" s="71" t="s">
        <v>90</v>
      </c>
      <c r="J13" s="71" t="s">
        <v>91</v>
      </c>
      <c r="K13" s="71" t="s">
        <v>92</v>
      </c>
      <c r="L13" s="71" t="s">
        <v>93</v>
      </c>
      <c r="M13" s="71" t="s">
        <v>94</v>
      </c>
      <c r="N13" s="71" t="s">
        <v>95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168</v>
      </c>
      <c r="C14">
        <v>364</v>
      </c>
      <c r="D14">
        <v>347.9</v>
      </c>
      <c r="E14">
        <v>398.7209163</v>
      </c>
    </row>
    <row r="15" spans="1:25" x14ac:dyDescent="0.2">
      <c r="B15" t="s">
        <v>169</v>
      </c>
      <c r="C15">
        <v>361</v>
      </c>
      <c r="D15">
        <v>342</v>
      </c>
      <c r="E15">
        <v>404.11958729999998</v>
      </c>
    </row>
    <row r="16" spans="1:25" x14ac:dyDescent="0.2">
      <c r="B16" t="s">
        <v>167</v>
      </c>
      <c r="C16">
        <v>419</v>
      </c>
      <c r="D16">
        <v>364.1</v>
      </c>
      <c r="E16">
        <v>388.04246000000001</v>
      </c>
    </row>
    <row r="17" spans="2:25" x14ac:dyDescent="0.2">
      <c r="B17" t="s">
        <v>42</v>
      </c>
      <c r="C17">
        <v>394</v>
      </c>
      <c r="D17">
        <v>328.3</v>
      </c>
      <c r="E17">
        <v>390.58246250000002</v>
      </c>
    </row>
    <row r="18" spans="2:25" x14ac:dyDescent="0.2">
      <c r="B18" t="s">
        <v>43</v>
      </c>
      <c r="C18">
        <v>424</v>
      </c>
      <c r="D18">
        <v>383.5</v>
      </c>
      <c r="E18">
        <v>421.33570029999998</v>
      </c>
    </row>
    <row r="19" spans="2:25" x14ac:dyDescent="0.2">
      <c r="B19" t="s">
        <v>44</v>
      </c>
      <c r="C19">
        <v>426</v>
      </c>
      <c r="D19">
        <v>395.8</v>
      </c>
      <c r="E19">
        <v>425.9753278</v>
      </c>
    </row>
    <row r="20" spans="2:25" x14ac:dyDescent="0.2">
      <c r="B20" t="s">
        <v>45</v>
      </c>
      <c r="C20">
        <v>478</v>
      </c>
      <c r="D20">
        <v>444.2</v>
      </c>
      <c r="E20">
        <v>478.4365813</v>
      </c>
    </row>
    <row r="21" spans="2:25" x14ac:dyDescent="0.2">
      <c r="B21" t="s">
        <v>46</v>
      </c>
      <c r="C21">
        <v>492</v>
      </c>
      <c r="D21">
        <v>469.9</v>
      </c>
      <c r="E21">
        <v>495.14719029999998</v>
      </c>
      <c r="F21">
        <v>490.87078336490748</v>
      </c>
      <c r="G21">
        <v>499.72162118538182</v>
      </c>
      <c r="H21">
        <v>495.95497791216837</v>
      </c>
      <c r="I21">
        <v>490.87064510430372</v>
      </c>
      <c r="J21">
        <v>489.92304306343948</v>
      </c>
      <c r="K21">
        <v>495.96089332116998</v>
      </c>
      <c r="L21">
        <v>496.42720975895378</v>
      </c>
      <c r="M21">
        <v>514.68803023066039</v>
      </c>
      <c r="N21">
        <v>208.2814820666099</v>
      </c>
      <c r="O21" s="2">
        <v>-4.4918699186991873E-2</v>
      </c>
      <c r="P21" s="2">
        <v>6.3967282520325242E-3</v>
      </c>
      <c r="Q21" s="2">
        <v>-2.2951557623831502E-3</v>
      </c>
      <c r="R21" s="2">
        <v>1.569435200280855E-2</v>
      </c>
      <c r="S21" s="2">
        <v>8.0385729922121119E-3</v>
      </c>
      <c r="T21" s="2">
        <v>-2.2954367798706521E-3</v>
      </c>
      <c r="U21" s="2">
        <v>-4.2214571881310503E-3</v>
      </c>
      <c r="V21" s="2">
        <v>8.0505961812398219E-3</v>
      </c>
      <c r="W21" s="2">
        <v>8.9983938190119073E-3</v>
      </c>
      <c r="X21" s="2">
        <v>4.611388258264304E-2</v>
      </c>
      <c r="Y21" s="2">
        <v>-0.57666365433615874</v>
      </c>
    </row>
    <row r="22" spans="2:25" x14ac:dyDescent="0.2">
      <c r="B22" t="s">
        <v>47</v>
      </c>
      <c r="C22">
        <v>519</v>
      </c>
      <c r="D22">
        <v>524.1</v>
      </c>
      <c r="E22">
        <v>545.10146550000002</v>
      </c>
      <c r="F22">
        <v>542.79852963266762</v>
      </c>
      <c r="G22">
        <v>543.67393873281685</v>
      </c>
      <c r="H22">
        <v>537.88411828555547</v>
      </c>
      <c r="I22">
        <v>542.69142161763739</v>
      </c>
      <c r="J22">
        <v>541.96351539518525</v>
      </c>
      <c r="K22">
        <v>537.99104427148279</v>
      </c>
      <c r="L22">
        <v>539.27158735591024</v>
      </c>
      <c r="M22">
        <v>591.1714675656599</v>
      </c>
      <c r="N22">
        <v>179.89389574596129</v>
      </c>
      <c r="O22" s="2">
        <v>9.8265895953757454E-3</v>
      </c>
      <c r="P22" s="2">
        <v>5.0291841040462471E-2</v>
      </c>
      <c r="Q22" s="2">
        <v>4.5854585034041717E-2</v>
      </c>
      <c r="R22" s="2">
        <v>4.754130777035992E-2</v>
      </c>
      <c r="S22" s="2">
        <v>3.6385584365232093E-2</v>
      </c>
      <c r="T22" s="2">
        <v>4.564821120932061E-2</v>
      </c>
      <c r="U22" s="2">
        <v>4.4245694403054481E-2</v>
      </c>
      <c r="V22" s="2">
        <v>3.6591607459504523E-2</v>
      </c>
      <c r="W22" s="2">
        <v>3.9058935175164233E-2</v>
      </c>
      <c r="X22" s="2">
        <v>0.13905870436543319</v>
      </c>
      <c r="Y22" s="2">
        <v>-0.65338363054728066</v>
      </c>
    </row>
    <row r="23" spans="2:25" x14ac:dyDescent="0.2">
      <c r="B23" t="s">
        <v>48</v>
      </c>
      <c r="C23">
        <v>509</v>
      </c>
      <c r="D23">
        <v>526.1</v>
      </c>
      <c r="E23">
        <v>489.78011880000003</v>
      </c>
      <c r="F23">
        <v>477.98222486051861</v>
      </c>
      <c r="G23">
        <v>531.68344254138526</v>
      </c>
      <c r="H23">
        <v>563.52139339567316</v>
      </c>
      <c r="I23">
        <v>477.96276695390321</v>
      </c>
      <c r="J23">
        <v>477.98203474726449</v>
      </c>
      <c r="K23">
        <v>562.50197608113876</v>
      </c>
      <c r="L23">
        <v>553.42395388161026</v>
      </c>
      <c r="M23">
        <v>480.85526436345418</v>
      </c>
      <c r="N23">
        <v>492.34240428401432</v>
      </c>
      <c r="O23" s="2">
        <v>3.3595284872298681E-2</v>
      </c>
      <c r="P23" s="2">
        <v>-3.776008094302552E-2</v>
      </c>
      <c r="Q23" s="2">
        <v>-6.0938654497998852E-2</v>
      </c>
      <c r="R23" s="2">
        <v>4.4564720120599637E-2</v>
      </c>
      <c r="S23" s="2">
        <v>0.107114721798965</v>
      </c>
      <c r="T23" s="2">
        <v>-6.0976882212370957E-2</v>
      </c>
      <c r="U23" s="2">
        <v>-6.0939028001445017E-2</v>
      </c>
      <c r="V23" s="2">
        <v>0.1051119372910387</v>
      </c>
      <c r="W23" s="2">
        <v>8.7276923146581975E-2</v>
      </c>
      <c r="X23" s="2">
        <v>-5.5294176103233277E-2</v>
      </c>
      <c r="Y23" s="2">
        <v>-3.2726121249480822E-2</v>
      </c>
    </row>
    <row r="24" spans="2:25" x14ac:dyDescent="0.2">
      <c r="B24" t="s">
        <v>49</v>
      </c>
      <c r="C24">
        <v>568</v>
      </c>
      <c r="D24">
        <v>559.5</v>
      </c>
      <c r="E24">
        <v>526.33763550000003</v>
      </c>
      <c r="F24">
        <v>519.24594654432258</v>
      </c>
      <c r="G24">
        <v>548.47298554142549</v>
      </c>
      <c r="H24">
        <v>546.84536474621177</v>
      </c>
      <c r="I24">
        <v>519.21565012395718</v>
      </c>
      <c r="J24">
        <v>519.24563576132414</v>
      </c>
      <c r="K24">
        <v>546.79449553716722</v>
      </c>
      <c r="L24">
        <v>546.76717371026291</v>
      </c>
      <c r="M24">
        <v>515.42790118790685</v>
      </c>
      <c r="N24">
        <v>524.61131797496273</v>
      </c>
      <c r="O24" s="2">
        <v>-1.4964788732394371E-2</v>
      </c>
      <c r="P24" s="2">
        <v>-7.3349233274647818E-2</v>
      </c>
      <c r="Q24" s="2">
        <v>-8.58346011543617E-2</v>
      </c>
      <c r="R24" s="2">
        <v>-3.4378546581997349E-2</v>
      </c>
      <c r="S24" s="2">
        <v>-3.7244076151035643E-2</v>
      </c>
      <c r="T24" s="2">
        <v>-8.5887939922610568E-2</v>
      </c>
      <c r="U24" s="2">
        <v>-8.583514830752792E-2</v>
      </c>
      <c r="V24" s="2">
        <v>-3.7333634617663369E-2</v>
      </c>
      <c r="W24" s="2">
        <v>-3.7381736425593497E-2</v>
      </c>
      <c r="X24" s="2">
        <v>-9.2556511993121759E-2</v>
      </c>
      <c r="Y24" s="2">
        <v>-7.6388524691966997E-2</v>
      </c>
    </row>
    <row r="25" spans="2:25" x14ac:dyDescent="0.2">
      <c r="B25" t="s">
        <v>50</v>
      </c>
      <c r="C25">
        <v>497</v>
      </c>
      <c r="D25">
        <v>521.4</v>
      </c>
      <c r="E25">
        <v>502.02705049999997</v>
      </c>
      <c r="F25">
        <v>505.6189487928259</v>
      </c>
      <c r="G25">
        <v>525.36253859034969</v>
      </c>
      <c r="H25">
        <v>525.52912406501855</v>
      </c>
      <c r="I25">
        <v>505.60211790588357</v>
      </c>
      <c r="J25">
        <v>505.61877838382492</v>
      </c>
      <c r="K25">
        <v>525.49543178107524</v>
      </c>
      <c r="L25">
        <v>525.21046194333462</v>
      </c>
      <c r="M25">
        <v>507.16542876468031</v>
      </c>
      <c r="N25">
        <v>521.90137865232464</v>
      </c>
      <c r="O25" s="2">
        <v>4.9094567404426533E-2</v>
      </c>
      <c r="P25" s="2">
        <v>1.0114789738430611E-2</v>
      </c>
      <c r="Q25" s="2">
        <v>1.7341949281339811E-2</v>
      </c>
      <c r="R25" s="2">
        <v>5.7067482073138283E-2</v>
      </c>
      <c r="S25" s="2">
        <v>5.7402664114725388E-2</v>
      </c>
      <c r="T25" s="2">
        <v>1.730808431767317E-2</v>
      </c>
      <c r="U25" s="2">
        <v>1.7341606406086289E-2</v>
      </c>
      <c r="V25" s="2">
        <v>5.7334872798944232E-2</v>
      </c>
      <c r="W25" s="2">
        <v>5.6761492843731658E-2</v>
      </c>
      <c r="X25" s="2">
        <v>2.0453579003380851E-2</v>
      </c>
      <c r="Y25" s="2">
        <v>5.0103377570069663E-2</v>
      </c>
    </row>
    <row r="26" spans="2:25" x14ac:dyDescent="0.2">
      <c r="B26" t="s">
        <v>52</v>
      </c>
      <c r="C26">
        <v>542</v>
      </c>
      <c r="D26">
        <v>471.8</v>
      </c>
      <c r="E26">
        <v>509.74159689999999</v>
      </c>
      <c r="F26">
        <v>512.67346537548065</v>
      </c>
      <c r="G26">
        <v>482.81178382399207</v>
      </c>
      <c r="H26">
        <v>485.24123017300258</v>
      </c>
      <c r="I26">
        <v>512.65686637119302</v>
      </c>
      <c r="J26">
        <v>512.67328009535731</v>
      </c>
      <c r="K26">
        <v>485.27489606693712</v>
      </c>
      <c r="L26">
        <v>484.77636462711388</v>
      </c>
      <c r="M26">
        <v>513.09753677717492</v>
      </c>
      <c r="N26">
        <v>523.76531721046194</v>
      </c>
      <c r="O26" s="2">
        <v>-0.12952029520295211</v>
      </c>
      <c r="P26" s="2">
        <v>-5.9517348892988993E-2</v>
      </c>
      <c r="Q26" s="2">
        <v>-5.4107997462212842E-2</v>
      </c>
      <c r="R26" s="2">
        <v>-0.1092033508782434</v>
      </c>
      <c r="S26" s="2">
        <v>-0.1047209775405855</v>
      </c>
      <c r="T26" s="2">
        <v>-5.4138622931378173E-2</v>
      </c>
      <c r="U26" s="2">
        <v>-5.4108339307458841E-2</v>
      </c>
      <c r="V26" s="2">
        <v>-0.1046588633451345</v>
      </c>
      <c r="W26" s="2">
        <v>-0.1055786630496053</v>
      </c>
      <c r="X26" s="2">
        <v>-5.3325577901891297E-2</v>
      </c>
      <c r="Y26" s="2">
        <v>-3.3643326179959472E-2</v>
      </c>
    </row>
    <row r="27" spans="2:25" x14ac:dyDescent="0.2">
      <c r="B27" t="s">
        <v>53</v>
      </c>
      <c r="C27">
        <v>568</v>
      </c>
      <c r="D27">
        <v>578.79999999999995</v>
      </c>
      <c r="E27">
        <v>549.96473279999998</v>
      </c>
      <c r="F27">
        <v>561.73156135848012</v>
      </c>
      <c r="G27">
        <v>571.73887292680638</v>
      </c>
      <c r="H27">
        <v>570.19107625690526</v>
      </c>
      <c r="I27">
        <v>561.70499629315566</v>
      </c>
      <c r="J27">
        <v>561.73125130684184</v>
      </c>
      <c r="K27">
        <v>570.18437545004792</v>
      </c>
      <c r="L27">
        <v>569.99297477077243</v>
      </c>
      <c r="M27">
        <v>555.97861967722429</v>
      </c>
      <c r="N27">
        <v>528.30416280980717</v>
      </c>
      <c r="O27" s="2">
        <v>1.9014084507042121E-2</v>
      </c>
      <c r="P27" s="2">
        <v>-3.1752230985915508E-2</v>
      </c>
      <c r="Q27" s="2">
        <v>-1.1035983523802639E-2</v>
      </c>
      <c r="R27" s="2">
        <v>6.5825227584619386E-3</v>
      </c>
      <c r="S27" s="2">
        <v>3.8575286213120559E-3</v>
      </c>
      <c r="T27" s="2">
        <v>-1.108275300500761E-2</v>
      </c>
      <c r="U27" s="2">
        <v>-1.103652938936295E-2</v>
      </c>
      <c r="V27" s="2">
        <v>3.8457314261406421E-3</v>
      </c>
      <c r="W27" s="2">
        <v>3.5087583992472471E-3</v>
      </c>
      <c r="X27" s="2">
        <v>-2.1164401976717762E-2</v>
      </c>
      <c r="Y27" s="2">
        <v>-6.9887037306677557E-2</v>
      </c>
    </row>
    <row r="28" spans="2:25" x14ac:dyDescent="0.2">
      <c r="B28" t="s">
        <v>54</v>
      </c>
      <c r="C28">
        <v>528</v>
      </c>
      <c r="D28">
        <v>525.9</v>
      </c>
      <c r="E28">
        <v>518.15639599999997</v>
      </c>
      <c r="F28">
        <v>527.30758079458349</v>
      </c>
      <c r="G28">
        <v>529.81356839053569</v>
      </c>
      <c r="H28">
        <v>530.02024802050994</v>
      </c>
      <c r="I28">
        <v>527.29468796797232</v>
      </c>
      <c r="J28">
        <v>527.30742041275289</v>
      </c>
      <c r="K28">
        <v>530.01635257882765</v>
      </c>
      <c r="L28">
        <v>529.90168327864649</v>
      </c>
      <c r="M28">
        <v>527.47106847462351</v>
      </c>
      <c r="N28">
        <v>536.54031447861962</v>
      </c>
      <c r="O28" s="2">
        <v>-3.9772727272727737E-3</v>
      </c>
      <c r="P28" s="2">
        <v>-1.86431893939395E-2</v>
      </c>
      <c r="Q28" s="2">
        <v>-1.3114000102585339E-3</v>
      </c>
      <c r="R28" s="2">
        <v>3.4347886184387111E-3</v>
      </c>
      <c r="S28" s="2">
        <v>3.8262273115718952E-3</v>
      </c>
      <c r="T28" s="2">
        <v>-1.3358182424766381E-3</v>
      </c>
      <c r="U28" s="2">
        <v>-1.31170376372558E-3</v>
      </c>
      <c r="V28" s="2">
        <v>3.8188495811128931E-3</v>
      </c>
      <c r="W28" s="2">
        <v>3.6016728762244821E-3</v>
      </c>
      <c r="X28" s="2">
        <v>-1.001764252607007E-3</v>
      </c>
      <c r="Y28" s="2">
        <v>1.6174838027688709E-2</v>
      </c>
    </row>
    <row r="29" spans="2:25" x14ac:dyDescent="0.2">
      <c r="B29" t="s">
        <v>55</v>
      </c>
      <c r="C29">
        <v>588</v>
      </c>
      <c r="D29">
        <v>556.6</v>
      </c>
      <c r="E29">
        <v>563.13854430000004</v>
      </c>
      <c r="F29">
        <v>578.10573472783869</v>
      </c>
      <c r="G29">
        <v>553.34610834805972</v>
      </c>
      <c r="H29">
        <v>565.72446198800685</v>
      </c>
      <c r="I29">
        <v>578.08377000705741</v>
      </c>
      <c r="J29">
        <v>578.10544216397489</v>
      </c>
      <c r="K29">
        <v>565.70699843493992</v>
      </c>
      <c r="L29">
        <v>565.23972938201655</v>
      </c>
      <c r="M29">
        <v>575.30881057079114</v>
      </c>
      <c r="N29">
        <v>543.97158032211155</v>
      </c>
      <c r="O29" s="2">
        <v>-5.3401360544217617E-2</v>
      </c>
      <c r="P29" s="2">
        <v>-4.2281387244897939E-2</v>
      </c>
      <c r="Q29" s="2">
        <v>-1.6826981755376339E-2</v>
      </c>
      <c r="R29" s="2">
        <v>-5.893518988425217E-2</v>
      </c>
      <c r="S29" s="2">
        <v>-3.7883568047607397E-2</v>
      </c>
      <c r="T29" s="2">
        <v>-1.6864336722691501E-2</v>
      </c>
      <c r="U29" s="2">
        <v>-1.6827479312967911E-2</v>
      </c>
      <c r="V29" s="2">
        <v>-3.7913267967789273E-2</v>
      </c>
      <c r="W29" s="2">
        <v>-3.8707943227862973E-2</v>
      </c>
      <c r="X29" s="2">
        <v>-2.158365549185182E-2</v>
      </c>
      <c r="Y29" s="2">
        <v>-7.4878264758313717E-2</v>
      </c>
    </row>
    <row r="30" spans="2:25" x14ac:dyDescent="0.2">
      <c r="B30" t="s">
        <v>71</v>
      </c>
      <c r="C30">
        <v>579.70000000000005</v>
      </c>
      <c r="D30">
        <v>579.70000000000005</v>
      </c>
      <c r="E30">
        <v>567.76526030000002</v>
      </c>
      <c r="F30">
        <v>585.36751886391687</v>
      </c>
      <c r="G30">
        <v>576.9985802158194</v>
      </c>
      <c r="H30">
        <v>583.34257221831172</v>
      </c>
      <c r="I30">
        <v>585.34875393476841</v>
      </c>
      <c r="J30">
        <v>585.36725586900673</v>
      </c>
      <c r="K30">
        <v>583.33025166005496</v>
      </c>
      <c r="L30">
        <v>583.05272207754592</v>
      </c>
      <c r="M30">
        <v>586.56966782036761</v>
      </c>
      <c r="N30">
        <v>572.78937339695949</v>
      </c>
      <c r="O30" s="2">
        <v>0</v>
      </c>
      <c r="P30" s="2">
        <v>-2.0587786268759789E-2</v>
      </c>
      <c r="Q30" s="2">
        <v>9.7766411314763602E-3</v>
      </c>
      <c r="R30" s="2">
        <v>-4.6600306782484946E-3</v>
      </c>
      <c r="S30" s="2">
        <v>6.2835470386608527E-3</v>
      </c>
      <c r="T30" s="2">
        <v>9.7442710622190898E-3</v>
      </c>
      <c r="U30" s="2">
        <v>9.7761874573170093E-3</v>
      </c>
      <c r="V30" s="2">
        <v>6.2622937037344339E-3</v>
      </c>
      <c r="W30" s="2">
        <v>5.7835467958355924E-3</v>
      </c>
      <c r="X30" s="2">
        <v>1.185038437186048E-2</v>
      </c>
      <c r="Y30" s="2">
        <v>-1.1921039508436371E-2</v>
      </c>
    </row>
    <row r="31" spans="2:25" x14ac:dyDescent="0.2">
      <c r="C31" s="110" t="s">
        <v>148</v>
      </c>
      <c r="D31" s="110"/>
      <c r="E31" s="110"/>
      <c r="F31">
        <f t="shared" ref="F31:F36" si="0">F$30/(1+Q31)</f>
        <v>596.58019320749281</v>
      </c>
      <c r="M31" s="109" t="s">
        <v>141</v>
      </c>
      <c r="N31" s="109"/>
      <c r="O31" s="109"/>
      <c r="P31" s="109"/>
      <c r="Q31" s="3">
        <f>AVERAGE(Q21:Q29)</f>
        <v>-1.8794915539001391E-2</v>
      </c>
    </row>
    <row r="32" spans="2:25" x14ac:dyDescent="0.2">
      <c r="C32" s="95" t="s">
        <v>149</v>
      </c>
      <c r="D32" s="95"/>
      <c r="E32" s="95"/>
      <c r="F32">
        <f t="shared" si="0"/>
        <v>591.89971435932989</v>
      </c>
      <c r="I32" s="3"/>
      <c r="M32" s="95" t="s">
        <v>143</v>
      </c>
      <c r="N32" s="95"/>
      <c r="O32" s="95"/>
      <c r="P32" s="95"/>
      <c r="Q32" s="1">
        <f>MEDIAN(Q21:Q29)</f>
        <v>-1.1035983523802639E-2</v>
      </c>
    </row>
    <row r="33" spans="1:17" x14ac:dyDescent="0.2">
      <c r="C33" s="96" t="s">
        <v>150</v>
      </c>
      <c r="D33" s="96"/>
      <c r="E33" s="96"/>
      <c r="F33">
        <f t="shared" si="0"/>
        <v>605.46468874392633</v>
      </c>
      <c r="M33" s="96" t="s">
        <v>142</v>
      </c>
      <c r="N33" s="96"/>
      <c r="O33" s="96"/>
      <c r="P33" s="96"/>
      <c r="Q33" s="1">
        <f>AVERAGE(Q26:Q29,Q23:Q24,Q21)</f>
        <v>-3.3192967738056293E-2</v>
      </c>
    </row>
    <row r="34" spans="1:17" x14ac:dyDescent="0.2">
      <c r="C34" s="97" t="s">
        <v>151</v>
      </c>
      <c r="D34" s="97"/>
      <c r="E34" s="97"/>
      <c r="F34">
        <f t="shared" si="0"/>
        <v>595.38606939096383</v>
      </c>
      <c r="M34" s="97" t="s">
        <v>144</v>
      </c>
      <c r="N34" s="97"/>
      <c r="O34" s="97"/>
      <c r="P34" s="97"/>
      <c r="Q34" s="1">
        <f>MEDIAN(Q26:Q29,Q23:Q24,Q21)</f>
        <v>-1.6826981755376339E-2</v>
      </c>
    </row>
    <row r="35" spans="1:17" x14ac:dyDescent="0.2">
      <c r="C35" s="98" t="s">
        <v>152</v>
      </c>
      <c r="D35" s="98"/>
      <c r="E35" s="98"/>
      <c r="F35">
        <f t="shared" si="0"/>
        <v>567.43747784372454</v>
      </c>
      <c r="I35" s="102"/>
      <c r="M35" s="98" t="s">
        <v>145</v>
      </c>
      <c r="N35" s="98"/>
      <c r="O35" s="98"/>
      <c r="P35" s="98"/>
      <c r="Q35" s="1">
        <f>AVERAGE(Q22,Q25)</f>
        <v>3.1598267157690763E-2</v>
      </c>
    </row>
    <row r="36" spans="1:17" x14ac:dyDescent="0.2">
      <c r="C36" s="99" t="s">
        <v>153</v>
      </c>
      <c r="D36" s="99"/>
      <c r="E36" s="99"/>
      <c r="F36">
        <f t="shared" si="0"/>
        <v>567.43747784372454</v>
      </c>
      <c r="M36" s="99" t="s">
        <v>146</v>
      </c>
      <c r="N36" s="99"/>
      <c r="O36" s="99"/>
      <c r="P36" s="99"/>
      <c r="Q36" s="1">
        <f>MEDIAN(Q22,Q25)</f>
        <v>3.1598267157690763E-2</v>
      </c>
    </row>
    <row r="38" spans="1:17" x14ac:dyDescent="0.2">
      <c r="A38" s="67" t="s">
        <v>103</v>
      </c>
      <c r="B38" t="s">
        <v>154</v>
      </c>
    </row>
    <row r="39" spans="1:17" x14ac:dyDescent="0.2">
      <c r="B39" t="s">
        <v>155</v>
      </c>
    </row>
    <row r="45" spans="1:17" x14ac:dyDescent="0.2">
      <c r="A45" s="67" t="s">
        <v>105</v>
      </c>
      <c r="B45" s="77" t="s">
        <v>156</v>
      </c>
      <c r="C45" s="78">
        <f>F35</f>
        <v>567.43747784372454</v>
      </c>
      <c r="D45" t="s">
        <v>170</v>
      </c>
    </row>
    <row r="47" spans="1:17" x14ac:dyDescent="0.2">
      <c r="B47" s="187" t="s">
        <v>164</v>
      </c>
      <c r="C47" s="187"/>
      <c r="D47" s="2">
        <f>C45/D30-1</f>
        <v>-2.1153220900941072E-2</v>
      </c>
    </row>
    <row r="48" spans="1:17" x14ac:dyDescent="0.2">
      <c r="B48" s="175" t="s">
        <v>163</v>
      </c>
      <c r="C48" s="175"/>
      <c r="D48" s="2">
        <f>'1. Data &amp; Confidence Interval'!O25</f>
        <v>-5.4029447597709834E-2</v>
      </c>
    </row>
  </sheetData>
  <mergeCells count="2">
    <mergeCell ref="B48:C48"/>
    <mergeCell ref="B47:C47"/>
  </mergeCells>
  <conditionalFormatting sqref="P20:W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Q32:Q36 S3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1:Q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2021-10-21T21:29:24Z</dcterms:modified>
</cp:coreProperties>
</file>