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SYK\"/>
    </mc:Choice>
  </mc:AlternateContent>
  <xr:revisionPtr revIDLastSave="0" documentId="13_ncr:1_{B5950E89-21A9-4229-B2DE-6EA735AF9A38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4" l="1"/>
  <c r="F36" i="4"/>
  <c r="F35" i="4"/>
  <c r="P37" i="4"/>
  <c r="P36" i="4"/>
  <c r="E36" i="4" s="1"/>
  <c r="P35" i="4"/>
  <c r="E35" i="4" s="1"/>
  <c r="P34" i="4"/>
  <c r="E34" i="4" s="1"/>
  <c r="P33" i="4"/>
  <c r="E33" i="4" s="1"/>
  <c r="P32" i="4"/>
  <c r="E32" i="4" s="1"/>
  <c r="P15" i="4"/>
  <c r="P16" i="4"/>
  <c r="P17" i="4"/>
  <c r="P18" i="4"/>
  <c r="P19" i="4"/>
  <c r="P20" i="4"/>
  <c r="P14" i="4"/>
  <c r="AK21" i="1" l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O25" i="1"/>
  <c r="D49" i="4" s="1"/>
  <c r="L25" i="1"/>
  <c r="O24" i="1"/>
  <c r="L24" i="1"/>
  <c r="E37" i="4"/>
  <c r="C2" i="4"/>
  <c r="J23" i="2"/>
  <c r="AO23" i="1"/>
  <c r="AO22" i="1"/>
  <c r="R23" i="2"/>
  <c r="H41" i="2"/>
  <c r="L20" i="1"/>
  <c r="AO20" i="1" l="1"/>
  <c r="D48" i="4"/>
  <c r="AL20" i="1"/>
  <c r="AM20" i="1"/>
  <c r="AL22" i="1"/>
  <c r="AM22" i="1"/>
  <c r="L22" i="1"/>
  <c r="M22" i="1"/>
  <c r="N22" i="1"/>
  <c r="O23" i="1" s="1"/>
  <c r="O22" i="1"/>
  <c r="P22" i="1"/>
  <c r="M20" i="1"/>
  <c r="N20" i="1"/>
  <c r="O20" i="1"/>
  <c r="P20" i="1"/>
  <c r="R22" i="1"/>
  <c r="E18" i="1"/>
  <c r="D18" i="1"/>
  <c r="C18" i="1"/>
  <c r="B18" i="1"/>
  <c r="B17" i="1"/>
  <c r="C17" i="1"/>
  <c r="D17" i="1"/>
  <c r="E17" i="1"/>
  <c r="F13" i="1"/>
  <c r="G13" i="1"/>
  <c r="H13" i="1"/>
  <c r="I13" i="1"/>
  <c r="M23" i="2"/>
  <c r="L23" i="2"/>
  <c r="K23" i="2"/>
  <c r="Q23" i="2" s="1"/>
  <c r="N23" i="2"/>
  <c r="O23" i="2"/>
  <c r="O21" i="1" l="1"/>
  <c r="P21" i="1"/>
  <c r="P23" i="1"/>
  <c r="P23" i="2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J13" i="1"/>
  <c r="K13" i="1"/>
  <c r="L13" i="1"/>
  <c r="M13" i="1"/>
  <c r="J17" i="1"/>
  <c r="I17" i="1"/>
  <c r="H17" i="1"/>
  <c r="G17" i="1"/>
  <c r="F17" i="1"/>
  <c r="I18" i="1"/>
  <c r="H18" i="1"/>
  <c r="G18" i="1"/>
  <c r="F18" i="1"/>
  <c r="J18" i="1"/>
  <c r="J39" i="2" l="1"/>
  <c r="J42" i="2"/>
  <c r="L18" i="1"/>
  <c r="K18" i="1"/>
  <c r="Q22" i="1"/>
  <c r="S22" i="1"/>
  <c r="T22" i="1"/>
  <c r="J41" i="2"/>
  <c r="J40" i="2"/>
  <c r="G40" i="2"/>
  <c r="R24" i="2"/>
  <c r="U22" i="1"/>
  <c r="V22" i="1"/>
  <c r="H39" i="2"/>
  <c r="H40" i="2"/>
  <c r="G44" i="2"/>
  <c r="G43" i="2"/>
  <c r="G42" i="2"/>
  <c r="G41" i="2"/>
  <c r="G39" i="2"/>
  <c r="G37" i="2"/>
  <c r="G36" i="2"/>
  <c r="E41" i="2"/>
  <c r="E40" i="2"/>
  <c r="E39" i="2"/>
  <c r="E38" i="2"/>
  <c r="E37" i="2"/>
  <c r="E36" i="2"/>
  <c r="E35" i="2"/>
  <c r="E34" i="2"/>
  <c r="E33" i="2"/>
  <c r="E32" i="2"/>
  <c r="E31" i="2"/>
  <c r="AN18" i="1"/>
  <c r="AO18" i="1"/>
  <c r="N17" i="1"/>
  <c r="M17" i="1"/>
  <c r="L17" i="1"/>
  <c r="K17" i="1"/>
  <c r="V17" i="1"/>
  <c r="U17" i="1"/>
  <c r="T17" i="1"/>
  <c r="S17" i="1"/>
  <c r="Q18" i="1"/>
  <c r="P18" i="1"/>
  <c r="N18" i="1"/>
  <c r="M18" i="1"/>
  <c r="W22" i="1"/>
  <c r="AO25" i="1" l="1"/>
  <c r="AO26" i="1"/>
  <c r="Q21" i="1"/>
  <c r="S21" i="1"/>
  <c r="R21" i="1"/>
  <c r="R23" i="1"/>
  <c r="S23" i="1"/>
  <c r="Q23" i="1"/>
  <c r="W23" i="1"/>
  <c r="U23" i="1"/>
  <c r="T23" i="1"/>
  <c r="V23" i="1"/>
  <c r="J24" i="2"/>
  <c r="A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N13" i="1"/>
  <c r="Q31" i="2"/>
  <c r="P31" i="2"/>
  <c r="O31" i="2"/>
  <c r="N31" i="2"/>
  <c r="M31" i="2"/>
  <c r="L31" i="2"/>
  <c r="K31" i="2"/>
  <c r="R31" i="2"/>
  <c r="A30" i="2"/>
  <c r="B30" i="2"/>
  <c r="C30" i="2"/>
  <c r="D30" i="2"/>
  <c r="E30" i="2"/>
  <c r="F30" i="2"/>
  <c r="G30" i="2"/>
  <c r="H30" i="2"/>
  <c r="I30" i="2"/>
  <c r="J30" i="2"/>
  <c r="Q24" i="2"/>
  <c r="P24" i="2"/>
  <c r="O24" i="2"/>
  <c r="N24" i="2"/>
  <c r="M24" i="2"/>
  <c r="L24" i="2"/>
  <c r="K24" i="2"/>
  <c r="I24" i="2"/>
  <c r="H24" i="2"/>
  <c r="G24" i="2"/>
  <c r="F24" i="2"/>
  <c r="E24" i="2"/>
  <c r="AN17" i="1"/>
  <c r="AO24" i="1" s="1"/>
  <c r="AM17" i="1"/>
  <c r="AL17" i="1"/>
  <c r="AK17" i="1"/>
  <c r="AJ17" i="1"/>
  <c r="AK20" i="1"/>
  <c r="AJ20" i="1"/>
  <c r="AI20" i="1"/>
  <c r="AH20" i="1"/>
  <c r="AG20" i="1"/>
  <c r="AF20" i="1"/>
  <c r="AE20" i="1"/>
  <c r="AD20" i="1"/>
  <c r="AM18" i="1"/>
  <c r="AL18" i="1"/>
  <c r="W18" i="1"/>
  <c r="V18" i="1"/>
  <c r="U18" i="1"/>
  <c r="T18" i="1"/>
  <c r="S18" i="1"/>
  <c r="R18" i="1"/>
  <c r="O18" i="1"/>
  <c r="P17" i="1"/>
  <c r="O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5" i="3"/>
  <c r="E25" i="3"/>
  <c r="AI17" i="1"/>
  <c r="AH17" i="1"/>
  <c r="AG17" i="1"/>
  <c r="AF17" i="1"/>
  <c r="AN10" i="1" l="1"/>
  <c r="N10" i="1"/>
  <c r="C7" i="1"/>
  <c r="AM21" i="1"/>
  <c r="AL21" i="1"/>
  <c r="AK22" i="1"/>
  <c r="AJ22" i="1"/>
  <c r="AI22" i="1"/>
  <c r="AL23" i="1" s="1"/>
  <c r="AH22" i="1"/>
  <c r="AG22" i="1"/>
  <c r="AF22" i="1"/>
  <c r="AE22" i="1"/>
  <c r="AD22" i="1"/>
  <c r="AC22" i="1"/>
  <c r="AB22" i="1"/>
  <c r="AA22" i="1"/>
  <c r="Z22" i="1"/>
  <c r="Y22" i="1"/>
  <c r="X22" i="1"/>
  <c r="AG18" i="1"/>
  <c r="AF18" i="1"/>
  <c r="AE18" i="1"/>
  <c r="AD18" i="1"/>
  <c r="AC18" i="1"/>
  <c r="AB18" i="1"/>
  <c r="AA18" i="1"/>
  <c r="Z18" i="1"/>
  <c r="Y18" i="1"/>
  <c r="X18" i="1"/>
  <c r="Q17" i="1"/>
  <c r="R17" i="1"/>
  <c r="W17" i="1"/>
  <c r="X17" i="1"/>
  <c r="Y17" i="1"/>
  <c r="Z17" i="1"/>
  <c r="AA17" i="1"/>
  <c r="AB17" i="1"/>
  <c r="AC17" i="1"/>
  <c r="AD17" i="1"/>
  <c r="AE17" i="1"/>
  <c r="F21" i="3"/>
  <c r="AM23" i="1" l="1"/>
  <c r="Y23" i="1"/>
  <c r="X23" i="1"/>
  <c r="B7" i="1"/>
  <c r="R44" i="2"/>
  <c r="R43" i="2"/>
  <c r="R42" i="2"/>
  <c r="R41" i="2"/>
  <c r="R39" i="2"/>
  <c r="R38" i="2"/>
  <c r="R37" i="2"/>
  <c r="R36" i="2"/>
  <c r="R35" i="2"/>
  <c r="R34" i="2"/>
  <c r="R33" i="2"/>
  <c r="R32" i="2"/>
  <c r="R2" i="1" l="1"/>
  <c r="Q2" i="1"/>
  <c r="R3" i="1"/>
  <c r="Q3" i="1"/>
  <c r="H21" i="3"/>
  <c r="S2" i="1" l="1"/>
  <c r="T2" i="1" s="1"/>
  <c r="S3" i="1"/>
  <c r="T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E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I41" i="2"/>
  <c r="E42" i="2"/>
  <c r="F42" i="2"/>
  <c r="H42" i="2"/>
  <c r="I42" i="2"/>
  <c r="E43" i="2"/>
  <c r="F43" i="2"/>
  <c r="H43" i="2"/>
  <c r="I43" i="2"/>
  <c r="J43" i="2"/>
  <c r="F44" i="2"/>
  <c r="H44" i="2"/>
  <c r="I44" i="2"/>
  <c r="J44" i="2"/>
  <c r="H46" i="2" l="1" a="1"/>
  <c r="H46" i="2" s="1"/>
  <c r="H45" i="2" a="1"/>
  <c r="H45" i="2" s="1"/>
  <c r="Q46" i="2" a="1"/>
  <c r="Q46" i="2" s="1"/>
  <c r="Q45" i="2" a="1"/>
  <c r="Q45" i="2" s="1"/>
  <c r="P45" i="2" a="1"/>
  <c r="P45" i="2" s="1"/>
  <c r="P46" i="2" a="1"/>
  <c r="P46" i="2" s="1"/>
  <c r="F45" i="2" a="1"/>
  <c r="F45" i="2" s="1"/>
  <c r="F46" i="2" a="1"/>
  <c r="F46" i="2" s="1"/>
  <c r="N46" i="2" a="1"/>
  <c r="N46" i="2" s="1"/>
  <c r="N45" i="2" a="1"/>
  <c r="N45" i="2" s="1"/>
  <c r="M46" i="2" a="1"/>
  <c r="M46" i="2" s="1"/>
  <c r="M45" i="2" a="1"/>
  <c r="M45" i="2" s="1"/>
  <c r="O46" i="2" a="1"/>
  <c r="O46" i="2" s="1"/>
  <c r="O45" i="2" a="1"/>
  <c r="O45" i="2" s="1"/>
  <c r="L45" i="2" a="1"/>
  <c r="L45" i="2" s="1"/>
  <c r="L46" i="2" a="1"/>
  <c r="L46" i="2" s="1"/>
  <c r="E46" i="2" a="1"/>
  <c r="E46" i="2" s="1"/>
  <c r="E45" i="2" a="1"/>
  <c r="E45" i="2" s="1"/>
  <c r="J45" i="2" a="1"/>
  <c r="J45" i="2" s="1"/>
  <c r="J46" i="2" a="1"/>
  <c r="J46" i="2" s="1"/>
  <c r="K46" i="2" a="1"/>
  <c r="K46" i="2" s="1"/>
  <c r="K45" i="2" a="1"/>
  <c r="K45" i="2" s="1"/>
  <c r="G46" i="2" a="1"/>
  <c r="G46" i="2" s="1"/>
  <c r="G45" i="2" a="1"/>
  <c r="G45" i="2" s="1"/>
  <c r="I45" i="2" a="1"/>
  <c r="I45" i="2" s="1"/>
  <c r="I46" i="2" a="1"/>
  <c r="I46" i="2" s="1"/>
  <c r="R46" i="2" a="1"/>
  <c r="R46" i="2" s="1"/>
  <c r="R45" i="2" a="1"/>
  <c r="R45" i="2" s="1"/>
  <c r="AC23" i="1"/>
  <c r="AB23" i="1"/>
  <c r="AH23" i="1"/>
  <c r="AA23" i="1"/>
  <c r="Z23" i="1"/>
  <c r="AI23" i="1"/>
  <c r="AE23" i="1"/>
  <c r="AG23" i="1"/>
  <c r="AD23" i="1"/>
  <c r="AF23" i="1"/>
  <c r="AK23" i="1"/>
  <c r="AJ23" i="1"/>
  <c r="AO21" i="1" l="1"/>
  <c r="S4" i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<sst xmlns="http://schemas.openxmlformats.org/spreadsheetml/2006/main" count="317" uniqueCount="174">
  <si>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</si>
  <si>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</si>
  <si>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</si>
  <si>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</si>
  <si>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</si>
  <si>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</si>
  <si>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</si>
  <si>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</si>
  <si>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</si>
  <si>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</si>
  <si>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</si>
  <si>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</si>
  <si>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</si>
  <si>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</si>
  <si>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</si>
  <si>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</si>
  <si>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</si>
  <si>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</si>
  <si>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</si>
  <si>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</si>
  <si>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</si>
  <si>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</si>
  <si>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</si>
  <si>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</si>
  <si>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</si>
  <si>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</si>
  <si>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</si>
  <si>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</si>
  <si>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</si>
  <si>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</si>
  <si>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</si>
  <si>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</si>
  <si>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</si>
  <si>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</si>
  <si>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</si>
  <si>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</si>
  <si>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</si>
  <si>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</si>
  <si>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</si>
  <si>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</si>
  <si>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</si>
  <si>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</si>
  <si>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</si>
  <si>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</si>
  <si>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</si>
  <si>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</si>
  <si>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</si>
  <si>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</si>
  <si>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</si>
  <si>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</si>
  <si>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</si>
  <si>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</si>
  <si>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</si>
  <si>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</si>
  <si>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</si>
  <si>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</si>
  <si>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</si>
  <si>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</si>
  <si>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</si>
  <si>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</si>
  <si>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</si>
  <si>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</si>
  <si>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</si>
  <si>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</si>
  <si>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</si>
  <si>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</si>
  <si>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</si>
  <si>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</si>
  <si>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</si>
  <si>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</si>
  <si>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</si>
  <si>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</si>
  <si>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</si>
  <si>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</si>
  <si>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</si>
  <si>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</si>
  <si>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</si>
  <si>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</si>
  <si>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</si>
  <si>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</si>
  <si>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</si>
  <si>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</si>
  <si>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</si>
  <si>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</si>
  <si>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</si>
  <si>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</si>
  <si>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</si>
  <si>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</si>
  <si>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</si>
  <si>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</si>
  <si>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</si>
  <si>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</si>
  <si>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</si>
  <si>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</si>
  <si>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</si>
  <si>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</si>
  <si>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</si>
  <si>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</si>
  <si>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</si>
  <si>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</si>
  <si>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</si>
  <si>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</si>
  <si>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</si>
  <si>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</si>
  <si>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</si>
  <si>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</si>
  <si>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</si>
  <si>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</si>
  <si>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</si>
  <si>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</si>
  <si>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</si>
  <si>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</si>
  <si>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</si>
  <si>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</si>
  <si>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</si>
  <si>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</si>
  <si>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</si>
  <si>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</si>
  <si>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</si>
  <si>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</si>
  <si>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</si>
  <si>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</si>
  <si>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</si>
  <si>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</si>
  <si>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</si>
  <si>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</si>
  <si>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</si>
  <si>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</si>
  <si>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</si>
  <si>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</si>
  <si>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</si>
  <si>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</si>
  <si>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</si>
  <si>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</si>
  <si>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</si>
  <si>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</si>
  <si>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</si>
  <si>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</si>
  <si>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</si>
  <si>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</si>
  <si>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</si>
  <si>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</si>
  <si>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</si>
  <si>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</si>
  <si>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</si>
  <si>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</si>
  <si>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</si>
  <si>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</si>
  <si>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</si>
  <si>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</si>
  <si>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</si>
  <si>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</si>
  <si>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</si>
  <si>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</si>
  <si>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</si>
  <si>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</si>
  <si>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</si>
  <si>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</si>
  <si>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</si>
  <si>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</si>
  <si>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</si>
  <si>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</si>
  <si>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</si>
  <si>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</si>
  <si>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</si>
  <si>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</si>
  <si>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</si>
  <si>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</si>
  <si>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2017Q2</t>
  </si>
  <si>
    <t>2017Q3</t>
  </si>
  <si>
    <t>If this value is unsatisfactory, use confidence interval.</t>
  </si>
  <si>
    <t>SYK_TEE</t>
  </si>
  <si>
    <t>SYK_TE</t>
  </si>
  <si>
    <t>TRAUMA &amp; EXTREMITIES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</si>
</sst>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7" fontId="4" fillId="0" borderId="3" xfId="0" applyNumberFormat="1" applyFont="1" applyBorder="1"/>
    <xf numFmtId="167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P29"/>
  <sheetViews>
    <sheetView topLeftCell="B1" zoomScale="70" zoomScaleNormal="70" workbookViewId="0">
      <selection sqref="A1:C3"/>
    </sheetView>
  </sheetViews>
  <sheetFormatPr defaultRowHeight="12.75" x14ac:dyDescent="0.2"/>
  <cols>
    <col min="1" max="1" width="17.85546875" bestFit="1" customWidth="1"/>
    <col min="2" max="5" width="17.85546875" customWidth="1"/>
    <col min="6" max="39" width="10.7109375" customWidth="1"/>
    <col min="40" max="40" width="17.85546875" customWidth="1"/>
    <col min="41" max="42" width="10.7109375" customWidth="1"/>
  </cols>
  <sheetData>
    <row r="1" spans="1:41" x14ac:dyDescent="0.2">
      <c r="A1" s="113" t="s">
        <v>171</v>
      </c>
      <c r="B1" s="114"/>
      <c r="C1" s="115"/>
      <c r="O1" s="122" t="s">
        <v>35</v>
      </c>
      <c r="P1" s="123"/>
      <c r="Q1" s="61" t="s">
        <v>31</v>
      </c>
      <c r="R1" s="61" t="s">
        <v>32</v>
      </c>
      <c r="S1" s="4" t="s">
        <v>39</v>
      </c>
      <c r="T1" s="124" t="s">
        <v>41</v>
      </c>
      <c r="U1" s="125"/>
    </row>
    <row r="2" spans="1:41" x14ac:dyDescent="0.2">
      <c r="A2" s="116"/>
      <c r="B2" s="117"/>
      <c r="C2" s="118"/>
      <c r="O2" s="59" t="s">
        <v>37</v>
      </c>
      <c r="P2" s="60"/>
      <c r="Q2" s="62">
        <f>$B$7*($AO$25-2*$AO$26)</f>
        <v>427.71878009345613</v>
      </c>
      <c r="R2" s="62">
        <f>$B$7*($AO$25+2*$AO$26)</f>
        <v>482.32314126024056</v>
      </c>
      <c r="S2" s="64">
        <f>AVERAGE(Q2:R2)</f>
        <v>455.02096067684835</v>
      </c>
      <c r="T2" s="126">
        <f>$S$2/AJ14-1</f>
        <v>0.59042628688167875</v>
      </c>
      <c r="U2" s="127"/>
    </row>
    <row r="3" spans="1:41" x14ac:dyDescent="0.2">
      <c r="A3" s="119"/>
      <c r="B3" s="120"/>
      <c r="C3" s="121"/>
      <c r="O3" s="45" t="s">
        <v>38</v>
      </c>
      <c r="P3" s="19"/>
      <c r="Q3" s="63">
        <f>$C$7*($AO$25-2*$AO$26)</f>
        <v>431.64280559890068</v>
      </c>
      <c r="R3" s="63">
        <f>$C$7*($AO$25+2*$AO$26)</f>
        <v>486.74812420758224</v>
      </c>
      <c r="S3" s="65">
        <f>AVERAGE(Q3:R3)</f>
        <v>459.19546490324149</v>
      </c>
      <c r="T3" s="128">
        <f>$S$3/AJ15-1</f>
        <v>0.61121215755523339</v>
      </c>
      <c r="U3" s="129"/>
    </row>
    <row r="4" spans="1:41" x14ac:dyDescent="0.2">
      <c r="A4" s="50"/>
      <c r="B4" s="50"/>
      <c r="C4" s="50"/>
      <c r="R4" s="4" t="s">
        <v>40</v>
      </c>
      <c r="S4" s="65">
        <f>AVERAGE(S2:S3)</f>
        <v>457.10821279004494</v>
      </c>
      <c r="T4" s="128">
        <f>$S$4/AJ15-1</f>
        <v>0.60388846592998235</v>
      </c>
      <c r="U4" s="129"/>
    </row>
    <row r="5" spans="1:41" x14ac:dyDescent="0.2">
      <c r="A5" s="58" t="s">
        <v>34</v>
      </c>
      <c r="B5" s="48" t="s">
        <v>31</v>
      </c>
      <c r="C5" s="49" t="s">
        <v>32</v>
      </c>
      <c r="H5" s="86"/>
      <c r="I5" s="86"/>
    </row>
    <row r="6" spans="1:41" ht="15.75" x14ac:dyDescent="0.25">
      <c r="A6" s="52" t="s">
        <v>33</v>
      </c>
      <c r="B6" s="56">
        <v>16223.560000000001</v>
      </c>
      <c r="C6" s="57">
        <v>16372.400000000001</v>
      </c>
    </row>
    <row r="7" spans="1:41" ht="14.25" x14ac:dyDescent="0.2">
      <c r="A7" s="53" t="s">
        <v>36</v>
      </c>
      <c r="B7" s="54">
        <f>B6*$AO$24</f>
        <v>1808.9046323080006</v>
      </c>
      <c r="C7" s="55">
        <f>C6*$AO$24</f>
        <v>1825.5000876502759</v>
      </c>
    </row>
    <row r="8" spans="1:41" x14ac:dyDescent="0.2">
      <c r="J8" s="50"/>
      <c r="K8" s="50"/>
      <c r="L8" s="50"/>
    </row>
    <row r="9" spans="1:41" x14ac:dyDescent="0.2">
      <c r="J9" s="50"/>
      <c r="K9" s="50"/>
      <c r="L9" s="50"/>
    </row>
    <row r="10" spans="1:41" x14ac:dyDescent="0.2">
      <c r="L10" s="112" t="s">
        <v>15</v>
      </c>
      <c r="M10" s="112"/>
      <c r="N10" s="35">
        <f>AVERAGE(F13:AN13)</f>
        <v>1.1738873945865498</v>
      </c>
      <c r="AK10" s="112" t="s">
        <v>16</v>
      </c>
      <c r="AL10" s="112"/>
      <c r="AM10" s="112"/>
      <c r="AN10" s="79">
        <f>AVERAGE(AJ13:AN13)</f>
        <v>1.6185015823558508</v>
      </c>
    </row>
    <row r="11" spans="1:41" x14ac:dyDescent="0.2">
      <c r="A11" s="51" t="s">
        <v>6</v>
      </c>
      <c r="B11" s="157">
        <v>2012</v>
      </c>
      <c r="C11" s="158"/>
      <c r="D11" s="158"/>
      <c r="E11" s="159"/>
      <c r="F11" s="160">
        <v>2013</v>
      </c>
      <c r="G11" s="161"/>
      <c r="H11" s="161"/>
      <c r="I11" s="162"/>
      <c r="J11" s="138">
        <v>2014</v>
      </c>
      <c r="K11" s="138"/>
      <c r="L11" s="138"/>
      <c r="M11" s="139"/>
      <c r="N11" s="140">
        <v>2015</v>
      </c>
      <c r="O11" s="141"/>
      <c r="P11" s="141"/>
      <c r="Q11" s="142"/>
      <c r="R11" s="140">
        <v>2016</v>
      </c>
      <c r="S11" s="141"/>
      <c r="T11" s="141"/>
      <c r="U11" s="142"/>
      <c r="V11" s="143">
        <v>2017</v>
      </c>
      <c r="W11" s="144"/>
      <c r="X11" s="144"/>
      <c r="Y11" s="145"/>
      <c r="Z11" s="153">
        <v>2018</v>
      </c>
      <c r="AA11" s="154"/>
      <c r="AB11" s="154"/>
      <c r="AC11" s="155"/>
      <c r="AD11" s="146">
        <v>2019</v>
      </c>
      <c r="AE11" s="147"/>
      <c r="AF11" s="147"/>
      <c r="AG11" s="148"/>
      <c r="AH11" s="149">
        <v>2020</v>
      </c>
      <c r="AI11" s="138"/>
      <c r="AJ11" s="138"/>
      <c r="AK11" s="139"/>
      <c r="AL11" s="140">
        <v>2021</v>
      </c>
      <c r="AM11" s="141"/>
      <c r="AN11" s="141"/>
      <c r="AO11" s="142"/>
    </row>
    <row r="12" spans="1:41" x14ac:dyDescent="0.2">
      <c r="A12" s="14" t="s">
        <v>19</v>
      </c>
      <c r="B12" s="105" t="s">
        <v>20</v>
      </c>
      <c r="C12" s="105" t="s">
        <v>3</v>
      </c>
      <c r="D12" s="105" t="s">
        <v>4</v>
      </c>
      <c r="E12" s="108" t="s">
        <v>5</v>
      </c>
      <c r="F12" s="80" t="s">
        <v>20</v>
      </c>
      <c r="G12" s="81" t="s">
        <v>3</v>
      </c>
      <c r="H12" s="81" t="s">
        <v>4</v>
      </c>
      <c r="I12" s="82" t="s">
        <v>5</v>
      </c>
      <c r="J12" s="20" t="s">
        <v>20</v>
      </c>
      <c r="K12" s="20" t="s">
        <v>3</v>
      </c>
      <c r="L12" s="20" t="s">
        <v>4</v>
      </c>
      <c r="M12" s="20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1" t="s">
        <v>20</v>
      </c>
      <c r="S12" s="22" t="s">
        <v>3</v>
      </c>
      <c r="T12" s="22" t="s">
        <v>4</v>
      </c>
      <c r="U12" s="22" t="s">
        <v>5</v>
      </c>
      <c r="V12" s="23" t="s">
        <v>20</v>
      </c>
      <c r="W12" s="24" t="s">
        <v>3</v>
      </c>
      <c r="X12" s="24" t="s">
        <v>4</v>
      </c>
      <c r="Y12" s="24" t="s">
        <v>5</v>
      </c>
      <c r="Z12" s="25" t="s">
        <v>20</v>
      </c>
      <c r="AA12" s="26" t="s">
        <v>3</v>
      </c>
      <c r="AB12" s="26" t="s">
        <v>4</v>
      </c>
      <c r="AC12" s="26" t="s">
        <v>5</v>
      </c>
      <c r="AD12" s="27" t="s">
        <v>20</v>
      </c>
      <c r="AE12" s="28" t="s">
        <v>3</v>
      </c>
      <c r="AF12" s="28" t="s">
        <v>4</v>
      </c>
      <c r="AG12" s="28" t="s">
        <v>5</v>
      </c>
      <c r="AH12" s="29" t="s">
        <v>20</v>
      </c>
      <c r="AI12" s="20" t="s">
        <v>3</v>
      </c>
      <c r="AJ12" s="20" t="s">
        <v>4</v>
      </c>
      <c r="AK12" s="20" t="s">
        <v>5</v>
      </c>
      <c r="AL12" s="37" t="s">
        <v>20</v>
      </c>
      <c r="AM12" s="38" t="s">
        <v>3</v>
      </c>
      <c r="AN12" s="39" t="s">
        <v>21</v>
      </c>
      <c r="AO12" s="30" t="s">
        <v>22</v>
      </c>
    </row>
    <row r="13" spans="1:41" x14ac:dyDescent="0.2">
      <c r="A13" s="34" t="s">
        <v>2</v>
      </c>
      <c r="F13" s="85">
        <f t="shared" ref="F13" si="0">F15/B15</f>
        <v>1.2597173144876324</v>
      </c>
      <c r="G13" s="85">
        <f t="shared" ref="G13" si="1">G15/C15</f>
        <v>1.2041493775933609</v>
      </c>
      <c r="H13" s="85">
        <f t="shared" ref="H13" si="2">H15/D15</f>
        <v>1.2644956314535345</v>
      </c>
      <c r="I13" s="85">
        <f t="shared" ref="I13" si="3">I15/E15</f>
        <v>1.0833902939166096</v>
      </c>
      <c r="J13" s="85">
        <f t="shared" ref="J13:M13" si="4">J15/F15</f>
        <v>1.1297335203366059</v>
      </c>
      <c r="K13" s="85">
        <f t="shared" si="4"/>
        <v>1.1247415575465196</v>
      </c>
      <c r="L13" s="85">
        <f t="shared" si="4"/>
        <v>1.1375628140703518</v>
      </c>
      <c r="M13" s="85">
        <f t="shared" si="4"/>
        <v>1.1829652996845426</v>
      </c>
      <c r="N13" s="85">
        <f>N15/J15</f>
        <v>1.1694599627560522</v>
      </c>
      <c r="O13" s="85">
        <f t="shared" ref="O13:AM13" si="5">O15/K15</f>
        <v>1.1685049019607843</v>
      </c>
      <c r="P13" s="85">
        <f t="shared" si="5"/>
        <v>1.1347321921590281</v>
      </c>
      <c r="Q13" s="85">
        <f t="shared" si="5"/>
        <v>1.1333333333333333</v>
      </c>
      <c r="R13" s="85">
        <f t="shared" si="5"/>
        <v>1.1104033970276008</v>
      </c>
      <c r="S13" s="85">
        <f t="shared" si="5"/>
        <v>1.0933403251179865</v>
      </c>
      <c r="T13" s="85">
        <f t="shared" si="5"/>
        <v>1.0515815085158151</v>
      </c>
      <c r="U13" s="85">
        <f t="shared" si="5"/>
        <v>1.0823529411764705</v>
      </c>
      <c r="V13" s="85">
        <f t="shared" si="5"/>
        <v>1.089866156787763</v>
      </c>
      <c r="W13" s="85">
        <f t="shared" si="5"/>
        <v>1.0935251798561152</v>
      </c>
      <c r="X13" s="85">
        <f t="shared" si="5"/>
        <v>1.096714484035169</v>
      </c>
      <c r="Y13" s="85">
        <f t="shared" si="5"/>
        <v>1.1173913043478261</v>
      </c>
      <c r="Z13" s="85">
        <f t="shared" si="5"/>
        <v>1.0745614035087718</v>
      </c>
      <c r="AA13" s="85">
        <f t="shared" si="5"/>
        <v>1.0614035087719298</v>
      </c>
      <c r="AB13" s="85">
        <f t="shared" si="5"/>
        <v>1.0210970464135021</v>
      </c>
      <c r="AC13" s="85">
        <f t="shared" si="5"/>
        <v>1.0583657587548638</v>
      </c>
      <c r="AD13" s="85">
        <f t="shared" si="5"/>
        <v>1.036734693877551</v>
      </c>
      <c r="AE13" s="85">
        <f t="shared" si="5"/>
        <v>1.0413223140495869</v>
      </c>
      <c r="AF13" s="85">
        <f t="shared" si="5"/>
        <v>1.0826446280991735</v>
      </c>
      <c r="AG13" s="85">
        <f t="shared" si="5"/>
        <v>1.0404411764705883</v>
      </c>
      <c r="AH13" s="85">
        <f t="shared" si="5"/>
        <v>1.0236220472440944</v>
      </c>
      <c r="AI13" s="85">
        <f t="shared" si="5"/>
        <v>0.82539682539682535</v>
      </c>
      <c r="AJ13" s="85">
        <f t="shared" si="5"/>
        <v>1.0877862595419847</v>
      </c>
      <c r="AK13" s="85">
        <f t="shared" si="5"/>
        <v>1.3639575971731448</v>
      </c>
      <c r="AL13" s="85">
        <f t="shared" si="5"/>
        <v>1.6923076923076923</v>
      </c>
      <c r="AM13" s="85">
        <f t="shared" si="5"/>
        <v>2.2836538461538463</v>
      </c>
      <c r="AN13" s="85">
        <f>AN14/AJ14</f>
        <v>1.6648025166025864</v>
      </c>
      <c r="AO13" s="31"/>
    </row>
    <row r="14" spans="1:41" x14ac:dyDescent="0.2">
      <c r="A14" s="15" t="s">
        <v>0</v>
      </c>
      <c r="B14" s="6">
        <v>113.2</v>
      </c>
      <c r="C14" s="6">
        <v>120.5</v>
      </c>
      <c r="D14" s="6">
        <v>125.9</v>
      </c>
      <c r="E14" s="6">
        <v>146.30000000000001</v>
      </c>
      <c r="F14" s="7">
        <v>142.6</v>
      </c>
      <c r="G14" s="7">
        <v>145.1</v>
      </c>
      <c r="H14" s="7">
        <v>159.19999999999999</v>
      </c>
      <c r="I14" s="7">
        <v>158.5</v>
      </c>
      <c r="J14" s="7">
        <v>161.1</v>
      </c>
      <c r="K14" s="7">
        <v>163.19999999999999</v>
      </c>
      <c r="L14" s="7">
        <v>181.1</v>
      </c>
      <c r="M14" s="7">
        <v>187.5</v>
      </c>
      <c r="N14" s="9">
        <v>188.4</v>
      </c>
      <c r="O14" s="6">
        <v>190.7</v>
      </c>
      <c r="P14" s="6">
        <v>205.5</v>
      </c>
      <c r="Q14" s="6">
        <v>212.5</v>
      </c>
      <c r="R14" s="9">
        <v>209.2</v>
      </c>
      <c r="S14" s="6">
        <v>208.5</v>
      </c>
      <c r="T14" s="6">
        <v>216.1</v>
      </c>
      <c r="U14" s="6">
        <v>230</v>
      </c>
      <c r="V14" s="9">
        <v>228.9</v>
      </c>
      <c r="W14" s="6">
        <v>231.1</v>
      </c>
      <c r="X14" s="6">
        <v>238.3</v>
      </c>
      <c r="Y14" s="6">
        <v>257</v>
      </c>
      <c r="Z14" s="9">
        <v>249.2</v>
      </c>
      <c r="AA14" s="6">
        <v>243.9</v>
      </c>
      <c r="AB14" s="6">
        <v>245</v>
      </c>
      <c r="AC14" s="6">
        <v>273.3</v>
      </c>
      <c r="AD14" s="9">
        <v>257.5</v>
      </c>
      <c r="AE14" s="6">
        <v>254.6</v>
      </c>
      <c r="AF14" s="6">
        <v>268</v>
      </c>
      <c r="AG14" s="6">
        <v>283.3</v>
      </c>
      <c r="AH14" s="9">
        <v>264.3</v>
      </c>
      <c r="AI14" s="6">
        <v>209.5</v>
      </c>
      <c r="AJ14" s="6">
        <v>286.10000000000002</v>
      </c>
      <c r="AK14" s="6">
        <v>382.5</v>
      </c>
      <c r="AL14" s="6">
        <v>447.2</v>
      </c>
      <c r="AM14" s="6">
        <v>470.9</v>
      </c>
      <c r="AN14" s="107">
        <v>476.3</v>
      </c>
      <c r="AO14" s="107">
        <v>506.7</v>
      </c>
    </row>
    <row r="15" spans="1:41" x14ac:dyDescent="0.2">
      <c r="A15" s="15" t="s">
        <v>1</v>
      </c>
      <c r="B15" s="6">
        <v>113.2</v>
      </c>
      <c r="C15" s="6">
        <v>120.5</v>
      </c>
      <c r="D15" s="6">
        <v>125.9</v>
      </c>
      <c r="E15" s="6">
        <v>146.30000000000001</v>
      </c>
      <c r="F15" s="6">
        <v>142.6</v>
      </c>
      <c r="G15" s="6">
        <v>145.1</v>
      </c>
      <c r="H15" s="6">
        <v>159.19999999999999</v>
      </c>
      <c r="I15" s="6">
        <v>158.5</v>
      </c>
      <c r="J15" s="6">
        <v>161.1</v>
      </c>
      <c r="K15" s="6">
        <v>163.19999999999999</v>
      </c>
      <c r="L15" s="6">
        <v>181.1</v>
      </c>
      <c r="M15" s="6">
        <v>187.5</v>
      </c>
      <c r="N15" s="9">
        <v>188.4</v>
      </c>
      <c r="O15" s="6">
        <v>190.7</v>
      </c>
      <c r="P15" s="6">
        <v>205.5</v>
      </c>
      <c r="Q15" s="6">
        <v>212.5</v>
      </c>
      <c r="R15" s="9">
        <v>209.2</v>
      </c>
      <c r="S15" s="6">
        <v>208.5</v>
      </c>
      <c r="T15" s="6">
        <v>216.1</v>
      </c>
      <c r="U15" s="6">
        <v>230</v>
      </c>
      <c r="V15" s="9">
        <v>228</v>
      </c>
      <c r="W15" s="6">
        <v>228</v>
      </c>
      <c r="X15" s="6">
        <v>237</v>
      </c>
      <c r="Y15" s="6">
        <v>257</v>
      </c>
      <c r="Z15" s="9">
        <v>245</v>
      </c>
      <c r="AA15" s="6">
        <v>242</v>
      </c>
      <c r="AB15" s="6">
        <v>242</v>
      </c>
      <c r="AC15" s="6">
        <v>272</v>
      </c>
      <c r="AD15" s="9">
        <v>254</v>
      </c>
      <c r="AE15" s="6">
        <v>252</v>
      </c>
      <c r="AF15" s="6">
        <v>262</v>
      </c>
      <c r="AG15" s="6">
        <v>283</v>
      </c>
      <c r="AH15" s="9">
        <v>260</v>
      </c>
      <c r="AI15" s="6">
        <v>208</v>
      </c>
      <c r="AJ15" s="6">
        <v>285</v>
      </c>
      <c r="AK15" s="6">
        <v>386</v>
      </c>
      <c r="AL15" s="9">
        <v>440</v>
      </c>
      <c r="AM15" s="6">
        <v>475</v>
      </c>
      <c r="AN15" s="9"/>
      <c r="AO15" s="10"/>
    </row>
    <row r="16" spans="1:41" x14ac:dyDescent="0.2">
      <c r="A16" s="15" t="s">
        <v>157</v>
      </c>
      <c r="B16" s="9">
        <v>2161</v>
      </c>
      <c r="C16" s="9">
        <v>2106</v>
      </c>
      <c r="D16" s="9">
        <v>2052</v>
      </c>
      <c r="E16" s="9">
        <v>2337</v>
      </c>
      <c r="F16" s="9">
        <v>2190</v>
      </c>
      <c r="G16" s="6">
        <v>2212</v>
      </c>
      <c r="H16" s="6">
        <v>2151</v>
      </c>
      <c r="I16" s="10">
        <v>2468</v>
      </c>
      <c r="J16" s="9">
        <v>2305</v>
      </c>
      <c r="K16" s="6">
        <v>2363</v>
      </c>
      <c r="L16" s="6">
        <v>2389</v>
      </c>
      <c r="M16" s="10">
        <v>2618</v>
      </c>
      <c r="N16" s="9">
        <v>2379</v>
      </c>
      <c r="O16" s="6">
        <v>2432</v>
      </c>
      <c r="P16" s="6">
        <v>2420</v>
      </c>
      <c r="Q16" s="10">
        <v>2715</v>
      </c>
      <c r="R16" s="9">
        <v>2495</v>
      </c>
      <c r="S16" s="6">
        <v>2840</v>
      </c>
      <c r="T16" s="6">
        <v>2833</v>
      </c>
      <c r="U16" s="10">
        <v>3157</v>
      </c>
      <c r="V16" s="9">
        <v>2955</v>
      </c>
      <c r="W16" s="6">
        <v>3012</v>
      </c>
      <c r="X16" s="6">
        <v>3006</v>
      </c>
      <c r="Y16" s="10">
        <v>3471</v>
      </c>
      <c r="Z16" s="9">
        <v>3241</v>
      </c>
      <c r="AA16" s="6">
        <v>3322</v>
      </c>
      <c r="AB16" s="6">
        <v>3242</v>
      </c>
      <c r="AC16" s="10">
        <v>3796</v>
      </c>
      <c r="AD16" s="9">
        <v>3516</v>
      </c>
      <c r="AE16" s="6">
        <v>3650</v>
      </c>
      <c r="AF16" s="6">
        <v>3587</v>
      </c>
      <c r="AG16" s="10">
        <v>4131</v>
      </c>
      <c r="AH16" s="9">
        <v>3588</v>
      </c>
      <c r="AI16" s="6">
        <v>2764</v>
      </c>
      <c r="AJ16" s="6">
        <v>3737</v>
      </c>
      <c r="AK16" s="10">
        <v>4262</v>
      </c>
      <c r="AL16" s="9">
        <v>3953</v>
      </c>
      <c r="AM16">
        <v>4294</v>
      </c>
      <c r="AN16" s="106">
        <v>4231.2</v>
      </c>
      <c r="AO16" s="10"/>
    </row>
    <row r="17" spans="1:42" x14ac:dyDescent="0.2">
      <c r="A17" s="87" t="s">
        <v>18</v>
      </c>
      <c r="B17" s="88">
        <f t="shared" ref="B17:E17" si="6">B15/B16</f>
        <v>5.2383155946321147E-2</v>
      </c>
      <c r="C17" s="88">
        <f t="shared" si="6"/>
        <v>5.721747388414055E-2</v>
      </c>
      <c r="D17" s="88">
        <f t="shared" si="6"/>
        <v>6.1354775828460044E-2</v>
      </c>
      <c r="E17" s="88">
        <f t="shared" si="6"/>
        <v>6.2601626016260167E-2</v>
      </c>
      <c r="F17" s="88">
        <f>F15/F16</f>
        <v>6.5114155251141545E-2</v>
      </c>
      <c r="G17" s="88">
        <f>G15/G16</f>
        <v>6.5596745027124773E-2</v>
      </c>
      <c r="H17" s="88">
        <f>H15/H16</f>
        <v>7.4012087401208737E-2</v>
      </c>
      <c r="I17" s="88">
        <f>I15/I16</f>
        <v>6.4222042139384122E-2</v>
      </c>
      <c r="J17" s="88">
        <f>J15/J16</f>
        <v>6.9891540130151836E-2</v>
      </c>
      <c r="K17" s="88">
        <f t="shared" ref="K17:P17" si="7">K15/K16</f>
        <v>6.9064748201438847E-2</v>
      </c>
      <c r="L17" s="88">
        <f t="shared" si="7"/>
        <v>7.5805776475512759E-2</v>
      </c>
      <c r="M17" s="88">
        <f t="shared" si="7"/>
        <v>7.1619556913674567E-2</v>
      </c>
      <c r="N17" s="88">
        <f t="shared" si="7"/>
        <v>7.9192938209331654E-2</v>
      </c>
      <c r="O17" s="88">
        <f t="shared" si="7"/>
        <v>7.841282894736841E-2</v>
      </c>
      <c r="P17" s="88">
        <f t="shared" si="7"/>
        <v>8.4917355371900829E-2</v>
      </c>
      <c r="Q17" s="88">
        <f t="shared" ref="Q17:AE17" si="8">Q15/Q16</f>
        <v>7.8268876611418042E-2</v>
      </c>
      <c r="R17" s="88">
        <f t="shared" si="8"/>
        <v>8.384769539078156E-2</v>
      </c>
      <c r="S17" s="88">
        <f>S15/S16</f>
        <v>7.3415492957746478E-2</v>
      </c>
      <c r="T17" s="88">
        <f>T15/T16</f>
        <v>7.6279562301447223E-2</v>
      </c>
      <c r="U17" s="88">
        <f>U15/U16</f>
        <v>7.2853975292999681E-2</v>
      </c>
      <c r="V17" s="88">
        <f>V15/V16</f>
        <v>7.7157360406091377E-2</v>
      </c>
      <c r="W17" s="88">
        <f t="shared" si="8"/>
        <v>7.5697211155378488E-2</v>
      </c>
      <c r="X17" s="88">
        <f t="shared" si="8"/>
        <v>7.8842315369261479E-2</v>
      </c>
      <c r="Y17" s="88">
        <f t="shared" si="8"/>
        <v>7.4042062806107756E-2</v>
      </c>
      <c r="Z17" s="88">
        <f t="shared" si="8"/>
        <v>7.5593952483801297E-2</v>
      </c>
      <c r="AA17" s="88">
        <f t="shared" si="8"/>
        <v>7.2847682119205295E-2</v>
      </c>
      <c r="AB17" s="88">
        <f t="shared" si="8"/>
        <v>7.4645280690931529E-2</v>
      </c>
      <c r="AC17" s="88">
        <f t="shared" si="8"/>
        <v>7.1654373024236037E-2</v>
      </c>
      <c r="AD17" s="88">
        <f t="shared" si="8"/>
        <v>7.2241183162684866E-2</v>
      </c>
      <c r="AE17" s="88">
        <f t="shared" si="8"/>
        <v>6.9041095890410964E-2</v>
      </c>
      <c r="AF17" s="88">
        <f t="shared" ref="AF17:AI17" si="9">AF15/AF16</f>
        <v>7.3041538890437685E-2</v>
      </c>
      <c r="AG17" s="88">
        <f t="shared" si="9"/>
        <v>6.8506414911643665E-2</v>
      </c>
      <c r="AH17" s="88">
        <f t="shared" si="9"/>
        <v>7.2463768115942032E-2</v>
      </c>
      <c r="AI17" s="88">
        <f t="shared" si="9"/>
        <v>7.5253256150506515E-2</v>
      </c>
      <c r="AJ17" s="88">
        <f>AJ15/AJ16</f>
        <v>7.6264383195076266E-2</v>
      </c>
      <c r="AK17" s="88">
        <f>AK15/AK16</f>
        <v>9.0567808540591266E-2</v>
      </c>
      <c r="AL17" s="88">
        <f>AL15/AL16</f>
        <v>0.11130786744244878</v>
      </c>
      <c r="AM17" s="88">
        <f>AM15/AM16</f>
        <v>0.11061946902654868</v>
      </c>
      <c r="AN17" s="109">
        <f>AN14/AN16</f>
        <v>0.11256853847608245</v>
      </c>
      <c r="AO17" s="89"/>
    </row>
    <row r="18" spans="1:42" x14ac:dyDescent="0.2">
      <c r="A18" s="87" t="s">
        <v>24</v>
      </c>
      <c r="B18" s="88">
        <f>B15/SUM(B15:E15)</f>
        <v>0.22375963629175724</v>
      </c>
      <c r="C18" s="88">
        <f>C15/SUM(B15:E15)</f>
        <v>0.23818936548725042</v>
      </c>
      <c r="D18" s="88">
        <f>D15/SUM(B15:E15)</f>
        <v>0.24886341174145088</v>
      </c>
      <c r="E18" s="90">
        <f>E15/SUM(B15:E15)</f>
        <v>0.2891875864795414</v>
      </c>
      <c r="F18" s="88">
        <f>F15/SUM(F15:I15)</f>
        <v>0.23554674595308886</v>
      </c>
      <c r="G18" s="88">
        <f>G15/SUM(F15:I15)</f>
        <v>0.23967624710934918</v>
      </c>
      <c r="H18" s="88">
        <f>H15/SUM(F15:I15)</f>
        <v>0.26296663363065742</v>
      </c>
      <c r="I18" s="90">
        <f>I15/SUM(F15:I15)</f>
        <v>0.26181037330690454</v>
      </c>
      <c r="J18" s="88">
        <f>J15/SUM(J15:M15)</f>
        <v>0.23250108240727377</v>
      </c>
      <c r="K18" s="88">
        <f>K15/SUM(J15:M15)</f>
        <v>0.23553182277384904</v>
      </c>
      <c r="L18" s="88">
        <f>L15/SUM(J15:M15)</f>
        <v>0.26136527637465723</v>
      </c>
      <c r="M18" s="90">
        <f>M15/SUM(J15:M15)</f>
        <v>0.27060181844421993</v>
      </c>
      <c r="N18" s="88">
        <f>N15/SUM(N15:Q15)</f>
        <v>0.23635679337598794</v>
      </c>
      <c r="O18" s="88">
        <f>O15/SUM(N15:Q15)</f>
        <v>0.23924225316773301</v>
      </c>
      <c r="P18" s="88">
        <f>P15/SUM(N15:Q15)</f>
        <v>0.2578095596537448</v>
      </c>
      <c r="Q18" s="90">
        <f>Q15/SUM(N15:Q15)</f>
        <v>0.26659139380253416</v>
      </c>
      <c r="R18" s="88">
        <f>R15/SUM(R15:U15)</f>
        <v>0.24218569113220653</v>
      </c>
      <c r="S18" s="88">
        <f>S15/SUM(R15:U15)</f>
        <v>0.24137531836073167</v>
      </c>
      <c r="T18" s="88">
        <f>T15/SUM(R15:U15)</f>
        <v>0.25017365130817321</v>
      </c>
      <c r="U18" s="90">
        <f>U15/SUM(R15:U15)</f>
        <v>0.26626533919888867</v>
      </c>
      <c r="V18" s="88">
        <f>V15/SUM(V15:Y15)</f>
        <v>0.24</v>
      </c>
      <c r="W18" s="88">
        <f>W15/SUM(V15:Y15)</f>
        <v>0.24</v>
      </c>
      <c r="X18" s="88">
        <f>X15/SUM(V15:Y15)</f>
        <v>0.24947368421052632</v>
      </c>
      <c r="Y18" s="90">
        <f>Y15/SUM(V15:Y15)</f>
        <v>0.27052631578947367</v>
      </c>
      <c r="Z18" s="88">
        <f>Z15/SUM(Z15:AC15)</f>
        <v>0.24475524475524477</v>
      </c>
      <c r="AA18" s="88">
        <f>AA15/SUM(Z15:AC15)</f>
        <v>0.24175824175824176</v>
      </c>
      <c r="AB18" s="88">
        <f>AB15/SUM(Z15:AC15)</f>
        <v>0.24175824175824176</v>
      </c>
      <c r="AC18" s="90">
        <f>AC15/SUM(Z15:AC15)</f>
        <v>0.27172827172827174</v>
      </c>
      <c r="AD18" s="88">
        <f>AD15/SUM(AD15:AG15)</f>
        <v>0.241674595623216</v>
      </c>
      <c r="AE18" s="88">
        <f>AE15/SUM(AD15:AG15)</f>
        <v>0.23977164605137963</v>
      </c>
      <c r="AF18" s="88">
        <f>AF15/SUM(AD15:AG15)</f>
        <v>0.24928639391056137</v>
      </c>
      <c r="AG18" s="90">
        <f>AG15/SUM(AD15:AG15)</f>
        <v>0.269267364414843</v>
      </c>
      <c r="AH18" s="88"/>
      <c r="AI18" s="88"/>
      <c r="AJ18" s="88"/>
      <c r="AK18" s="90"/>
      <c r="AL18" s="88">
        <f>AL15/SUM(AL15:AM15,AN14:AO14)</f>
        <v>0.23182297154899895</v>
      </c>
      <c r="AM18" s="88">
        <f>AM15/SUM(AL15:AM15,AN14:AO14)</f>
        <v>0.25026343519494204</v>
      </c>
      <c r="AN18" s="88">
        <f>AN14/SUM(AL15:AM15,AN14:AO14)</f>
        <v>0.25094836670179138</v>
      </c>
      <c r="AO18" s="90">
        <f>AO14/SUM(AL15:AM15,AN14:AO14)</f>
        <v>0.26696522655426763</v>
      </c>
      <c r="AP18" s="3"/>
    </row>
    <row r="19" spans="1:42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>
        <v>164.4</v>
      </c>
      <c r="M19" s="12">
        <v>163.19999999999999</v>
      </c>
      <c r="N19" s="11">
        <v>165.6</v>
      </c>
      <c r="O19" s="12">
        <v>188.7</v>
      </c>
      <c r="P19" s="12">
        <v>201.7</v>
      </c>
      <c r="Q19" s="6">
        <v>206.5</v>
      </c>
      <c r="R19" s="9">
        <v>218.9</v>
      </c>
      <c r="S19" s="12">
        <v>218.3</v>
      </c>
      <c r="T19" s="12">
        <v>224.7</v>
      </c>
      <c r="U19" s="6">
        <v>224.2</v>
      </c>
      <c r="V19" s="83">
        <v>236</v>
      </c>
      <c r="W19" s="83">
        <v>228</v>
      </c>
      <c r="X19" s="83">
        <v>242.3</v>
      </c>
      <c r="Y19" s="83">
        <v>254.4</v>
      </c>
      <c r="Z19" s="83">
        <v>251</v>
      </c>
      <c r="AA19" s="63">
        <v>258.2</v>
      </c>
      <c r="AB19" s="63">
        <v>259.60000000000002</v>
      </c>
      <c r="AC19" s="63">
        <v>270.60000000000002</v>
      </c>
      <c r="AD19" s="83">
        <v>267.3</v>
      </c>
      <c r="AE19" s="63">
        <v>261.60000000000002</v>
      </c>
      <c r="AF19" s="63">
        <v>265.5</v>
      </c>
      <c r="AG19" s="63">
        <v>290.5</v>
      </c>
      <c r="AH19" s="83">
        <v>260</v>
      </c>
      <c r="AI19" s="63">
        <v>170.2</v>
      </c>
      <c r="AJ19" s="63">
        <v>252.1</v>
      </c>
      <c r="AK19" s="63">
        <v>366</v>
      </c>
      <c r="AL19" s="83">
        <v>434</v>
      </c>
      <c r="AM19" s="63">
        <v>451.7</v>
      </c>
      <c r="AN19" s="84"/>
      <c r="AO19" s="13"/>
    </row>
    <row r="20" spans="1:42" x14ac:dyDescent="0.2">
      <c r="J20" s="132" t="s">
        <v>7</v>
      </c>
      <c r="K20" s="150"/>
      <c r="L20" s="7">
        <f>IF(L15&gt;L19,1,0)</f>
        <v>1</v>
      </c>
      <c r="M20" s="7">
        <f t="shared" ref="M20:P20" si="10">IF(M15&gt;M19,1,0)</f>
        <v>1</v>
      </c>
      <c r="N20" s="7">
        <f t="shared" si="10"/>
        <v>1</v>
      </c>
      <c r="O20" s="7">
        <f t="shared" si="10"/>
        <v>1</v>
      </c>
      <c r="P20" s="7">
        <f t="shared" si="10"/>
        <v>1</v>
      </c>
      <c r="Q20" s="7">
        <f t="shared" ref="Q20:AC20" si="11">IF(Q15&gt;Q19,1,0)</f>
        <v>1</v>
      </c>
      <c r="R20" s="7">
        <f t="shared" si="11"/>
        <v>0</v>
      </c>
      <c r="S20" s="7">
        <f t="shared" si="11"/>
        <v>0</v>
      </c>
      <c r="T20" s="7">
        <f t="shared" si="11"/>
        <v>0</v>
      </c>
      <c r="U20" s="7">
        <f t="shared" si="11"/>
        <v>1</v>
      </c>
      <c r="V20" s="7">
        <f t="shared" si="11"/>
        <v>0</v>
      </c>
      <c r="W20" s="7">
        <f t="shared" si="11"/>
        <v>0</v>
      </c>
      <c r="X20" s="7">
        <f t="shared" si="11"/>
        <v>0</v>
      </c>
      <c r="Y20" s="7">
        <f t="shared" si="11"/>
        <v>1</v>
      </c>
      <c r="Z20" s="7">
        <f t="shared" si="11"/>
        <v>0</v>
      </c>
      <c r="AA20" s="7">
        <f t="shared" si="11"/>
        <v>0</v>
      </c>
      <c r="AB20" s="7">
        <f t="shared" si="11"/>
        <v>0</v>
      </c>
      <c r="AC20" s="7">
        <f t="shared" si="11"/>
        <v>1</v>
      </c>
      <c r="AD20" s="7">
        <f t="shared" ref="AD20:AM20" si="12">IF(AD15&gt;AD19,1,0)</f>
        <v>0</v>
      </c>
      <c r="AE20" s="7">
        <f t="shared" si="12"/>
        <v>0</v>
      </c>
      <c r="AF20" s="7">
        <f t="shared" si="12"/>
        <v>0</v>
      </c>
      <c r="AG20" s="7">
        <f t="shared" si="12"/>
        <v>0</v>
      </c>
      <c r="AH20" s="7">
        <f t="shared" si="12"/>
        <v>0</v>
      </c>
      <c r="AI20" s="7">
        <f t="shared" si="12"/>
        <v>1</v>
      </c>
      <c r="AJ20" s="7">
        <f t="shared" si="12"/>
        <v>1</v>
      </c>
      <c r="AK20" s="7">
        <f t="shared" si="12"/>
        <v>1</v>
      </c>
      <c r="AL20" s="7">
        <f>IF(AL15&gt;AL19,1,0)</f>
        <v>1</v>
      </c>
      <c r="AM20" s="8">
        <f t="shared" si="12"/>
        <v>1</v>
      </c>
      <c r="AN20" s="45" t="s">
        <v>8</v>
      </c>
      <c r="AO20" s="42">
        <f>AVERAGE(L20:AM20)</f>
        <v>0.5</v>
      </c>
    </row>
    <row r="21" spans="1:42" x14ac:dyDescent="0.2">
      <c r="J21" s="151" t="s">
        <v>9</v>
      </c>
      <c r="K21" s="152"/>
      <c r="M21" s="6"/>
      <c r="N21" s="6"/>
      <c r="O21" s="6">
        <f>AVERAGE(L20:O20)</f>
        <v>1</v>
      </c>
      <c r="P21" s="6">
        <f t="shared" ref="P21" si="13">AVERAGE(M20:P20)</f>
        <v>1</v>
      </c>
      <c r="Q21" s="6">
        <f t="shared" ref="Q21" si="14">AVERAGE(N20:Q20)</f>
        <v>1</v>
      </c>
      <c r="R21" s="6">
        <f t="shared" ref="R21" si="15">AVERAGE(O20:R20)</f>
        <v>0.75</v>
      </c>
      <c r="S21" s="6">
        <f t="shared" ref="S21" si="16">AVERAGE(P20:S20)</f>
        <v>0.5</v>
      </c>
      <c r="T21" s="6">
        <f t="shared" ref="T21:AL21" si="17">AVERAGE(Q20:T20)</f>
        <v>0.25</v>
      </c>
      <c r="U21" s="6">
        <f t="shared" si="17"/>
        <v>0.25</v>
      </c>
      <c r="V21" s="6">
        <f t="shared" si="17"/>
        <v>0.25</v>
      </c>
      <c r="W21" s="6">
        <f t="shared" si="17"/>
        <v>0.25</v>
      </c>
      <c r="X21" s="6">
        <f t="shared" si="17"/>
        <v>0.25</v>
      </c>
      <c r="Y21" s="6">
        <f t="shared" si="17"/>
        <v>0.25</v>
      </c>
      <c r="Z21" s="6">
        <f t="shared" si="17"/>
        <v>0.25</v>
      </c>
      <c r="AA21" s="6">
        <f t="shared" si="17"/>
        <v>0.25</v>
      </c>
      <c r="AB21" s="6">
        <f t="shared" si="17"/>
        <v>0.25</v>
      </c>
      <c r="AC21" s="6">
        <f t="shared" si="17"/>
        <v>0.25</v>
      </c>
      <c r="AD21" s="6">
        <f t="shared" si="17"/>
        <v>0.25</v>
      </c>
      <c r="AE21" s="6">
        <f t="shared" si="17"/>
        <v>0.25</v>
      </c>
      <c r="AF21" s="6">
        <f t="shared" si="17"/>
        <v>0.25</v>
      </c>
      <c r="AG21" s="6">
        <f t="shared" si="17"/>
        <v>0</v>
      </c>
      <c r="AH21" s="6">
        <f t="shared" si="17"/>
        <v>0</v>
      </c>
      <c r="AI21" s="6">
        <f t="shared" si="17"/>
        <v>0.25</v>
      </c>
      <c r="AJ21" s="6">
        <f t="shared" si="17"/>
        <v>0.5</v>
      </c>
      <c r="AK21" s="6">
        <f t="shared" si="17"/>
        <v>0.75</v>
      </c>
      <c r="AL21" s="6">
        <f t="shared" si="17"/>
        <v>1</v>
      </c>
      <c r="AM21" s="10">
        <f t="shared" ref="AM21" si="18">AVERAGE(AJ20:AM20)</f>
        <v>1</v>
      </c>
      <c r="AN21" s="41" t="s">
        <v>10</v>
      </c>
      <c r="AO21" s="42">
        <f>AVERAGE(O21:AM21)</f>
        <v>0.44</v>
      </c>
    </row>
    <row r="22" spans="1:42" x14ac:dyDescent="0.2">
      <c r="J22" s="136" t="s">
        <v>11</v>
      </c>
      <c r="K22" s="137"/>
      <c r="L22" s="18">
        <f t="shared" ref="L22:P22" si="19">L15/L19-1</f>
        <v>0.10158150851581493</v>
      </c>
      <c r="M22" s="18">
        <f t="shared" si="19"/>
        <v>0.14889705882352944</v>
      </c>
      <c r="N22" s="18">
        <f t="shared" si="19"/>
        <v>0.13768115942029002</v>
      </c>
      <c r="O22" s="18">
        <f t="shared" si="19"/>
        <v>1.0598834128245915E-2</v>
      </c>
      <c r="P22" s="18">
        <f t="shared" si="19"/>
        <v>1.8839861179970274E-2</v>
      </c>
      <c r="Q22" s="18">
        <f t="shared" ref="Q22:T22" si="20">Q15/Q19-1</f>
        <v>2.9055690072639306E-2</v>
      </c>
      <c r="R22" s="18">
        <f>R15/R19-1</f>
        <v>-4.431247144814987E-2</v>
      </c>
      <c r="S22" s="18">
        <f t="shared" si="20"/>
        <v>-4.4892349977095791E-2</v>
      </c>
      <c r="T22" s="18">
        <f t="shared" si="20"/>
        <v>-3.8273253226524195E-2</v>
      </c>
      <c r="U22" s="18">
        <f t="shared" ref="U22:AM22" si="21">U15/U19-1</f>
        <v>2.5869759143621884E-2</v>
      </c>
      <c r="V22" s="18">
        <f t="shared" si="21"/>
        <v>-3.3898305084745783E-2</v>
      </c>
      <c r="W22" s="18">
        <f t="shared" si="21"/>
        <v>0</v>
      </c>
      <c r="X22" s="18">
        <f t="shared" si="21"/>
        <v>-2.1873710276516745E-2</v>
      </c>
      <c r="Y22" s="18">
        <f t="shared" si="21"/>
        <v>1.0220125786163603E-2</v>
      </c>
      <c r="Z22" s="18">
        <f t="shared" si="21"/>
        <v>-2.3904382470119501E-2</v>
      </c>
      <c r="AA22" s="18">
        <f t="shared" si="21"/>
        <v>-6.2742060418280343E-2</v>
      </c>
      <c r="AB22" s="18">
        <f t="shared" si="21"/>
        <v>-6.7796610169491567E-2</v>
      </c>
      <c r="AC22" s="18">
        <f t="shared" si="21"/>
        <v>5.1736881005173263E-3</v>
      </c>
      <c r="AD22" s="18">
        <f t="shared" si="21"/>
        <v>-4.9756827534605308E-2</v>
      </c>
      <c r="AE22" s="18">
        <f t="shared" si="21"/>
        <v>-3.6697247706422131E-2</v>
      </c>
      <c r="AF22" s="18">
        <f t="shared" si="21"/>
        <v>-1.3182674199623379E-2</v>
      </c>
      <c r="AG22" s="18">
        <f t="shared" si="21"/>
        <v>-2.5817555938037917E-2</v>
      </c>
      <c r="AH22" s="18">
        <f t="shared" si="21"/>
        <v>0</v>
      </c>
      <c r="AI22" s="18">
        <f t="shared" si="21"/>
        <v>0.22209165687426569</v>
      </c>
      <c r="AJ22" s="18">
        <f t="shared" si="21"/>
        <v>0.1305037683458945</v>
      </c>
      <c r="AK22" s="18">
        <f t="shared" si="21"/>
        <v>5.464480874316946E-2</v>
      </c>
      <c r="AL22" s="18">
        <f t="shared" si="21"/>
        <v>1.3824884792626779E-2</v>
      </c>
      <c r="AM22" s="40">
        <f t="shared" si="21"/>
        <v>5.1582909010405187E-2</v>
      </c>
      <c r="AN22" s="41" t="s">
        <v>13</v>
      </c>
      <c r="AO22" s="43">
        <f>MEDIAN(L22:AM22)</f>
        <v>2.5868440502586632E-3</v>
      </c>
    </row>
    <row r="23" spans="1:42" x14ac:dyDescent="0.2">
      <c r="J23" s="151" t="s">
        <v>12</v>
      </c>
      <c r="K23" s="152"/>
      <c r="M23" s="32"/>
      <c r="N23" s="32"/>
      <c r="O23" s="32">
        <f t="shared" ref="O23" si="22">AVERAGE(L22:O22)</f>
        <v>9.9689640221970077E-2</v>
      </c>
      <c r="P23" s="32">
        <f t="shared" ref="P23" si="23">AVERAGE(M22:P22)</f>
        <v>7.9004228388008912E-2</v>
      </c>
      <c r="Q23" s="32">
        <f t="shared" ref="Q23" si="24">AVERAGE(N22:Q22)</f>
        <v>4.904388620028638E-2</v>
      </c>
      <c r="R23" s="32">
        <f t="shared" ref="R23" si="25">AVERAGE(O22:R22)</f>
        <v>3.5454784831764063E-3</v>
      </c>
      <c r="S23" s="32">
        <f t="shared" ref="S23" si="26">AVERAGE(P22:S22)</f>
        <v>-1.032731754315902E-2</v>
      </c>
      <c r="T23" s="32">
        <f t="shared" ref="T23" si="27">AVERAGE(Q22:T22)</f>
        <v>-2.4605596144782638E-2</v>
      </c>
      <c r="U23" s="32">
        <f t="shared" ref="U23" si="28">AVERAGE(R22:U22)</f>
        <v>-2.5402078877036993E-2</v>
      </c>
      <c r="V23" s="32">
        <f t="shared" ref="V23" si="29">AVERAGE(S22:V22)</f>
        <v>-2.2798537286185971E-2</v>
      </c>
      <c r="W23" s="32">
        <f t="shared" ref="W23" si="30">AVERAGE(T22:W22)</f>
        <v>-1.1575449791912024E-2</v>
      </c>
      <c r="X23" s="32">
        <f t="shared" ref="X23" si="31">AVERAGE(U22:X22)</f>
        <v>-7.4755640544101609E-3</v>
      </c>
      <c r="Y23" s="32">
        <f t="shared" ref="Y23" si="32">AVERAGE(V22:Y22)</f>
        <v>-1.1387972393774731E-2</v>
      </c>
      <c r="Z23" s="32">
        <f t="shared" ref="Z23:AM23" si="33">AVERAGE(W22:Z22)</f>
        <v>-8.8894917401181606E-3</v>
      </c>
      <c r="AA23" s="32">
        <f t="shared" si="33"/>
        <v>-2.4575006844688246E-2</v>
      </c>
      <c r="AB23" s="32">
        <f t="shared" si="33"/>
        <v>-3.6055731817931952E-2</v>
      </c>
      <c r="AC23" s="32">
        <f t="shared" si="33"/>
        <v>-3.7317341239343521E-2</v>
      </c>
      <c r="AD23" s="32">
        <f t="shared" si="33"/>
        <v>-4.3780452505464973E-2</v>
      </c>
      <c r="AE23" s="32">
        <f t="shared" si="33"/>
        <v>-3.726924932750042E-2</v>
      </c>
      <c r="AF23" s="32">
        <f t="shared" si="33"/>
        <v>-2.3615765335033373E-2</v>
      </c>
      <c r="AG23" s="32">
        <f t="shared" si="33"/>
        <v>-3.1363576344672184E-2</v>
      </c>
      <c r="AH23" s="32">
        <f t="shared" si="33"/>
        <v>-1.8924369461020857E-2</v>
      </c>
      <c r="AI23" s="32">
        <f t="shared" si="33"/>
        <v>4.5772856684151098E-2</v>
      </c>
      <c r="AJ23" s="32">
        <f t="shared" si="33"/>
        <v>8.1694467320530567E-2</v>
      </c>
      <c r="AK23" s="32">
        <f t="shared" si="33"/>
        <v>0.10181005849083241</v>
      </c>
      <c r="AL23" s="32">
        <f t="shared" si="33"/>
        <v>0.10526627968898911</v>
      </c>
      <c r="AM23" s="33">
        <f t="shared" si="33"/>
        <v>6.2639092723023981E-2</v>
      </c>
      <c r="AN23" s="19" t="s">
        <v>14</v>
      </c>
      <c r="AO23" s="33">
        <f>MEDIAN(O23:AM23)</f>
        <v>-1.1387972393774731E-2</v>
      </c>
    </row>
    <row r="24" spans="1:42" x14ac:dyDescent="0.2">
      <c r="J24" s="132" t="s">
        <v>25</v>
      </c>
      <c r="K24" s="150"/>
      <c r="L24" s="100">
        <f>AVERAGE(L22:Q22,U22,Y22,AC22,AI22:AM22)</f>
        <v>6.8611836638368159E-2</v>
      </c>
      <c r="M24" s="132" t="s">
        <v>29</v>
      </c>
      <c r="N24" s="133"/>
      <c r="O24" s="46">
        <f>MEDIAN(L22:Q22,U22,Y22,AC22,AI22:AM22)</f>
        <v>4.0319299541522247E-2</v>
      </c>
      <c r="AJ24" s="3"/>
      <c r="AK24" s="163" t="s">
        <v>23</v>
      </c>
      <c r="AL24" s="164"/>
      <c r="AM24" s="164"/>
      <c r="AN24" s="165"/>
      <c r="AO24" s="44">
        <f>AVERAGE(AL17:AN17)</f>
        <v>0.11149862498169331</v>
      </c>
    </row>
    <row r="25" spans="1:42" x14ac:dyDescent="0.2">
      <c r="J25" s="134" t="s">
        <v>26</v>
      </c>
      <c r="K25" s="156"/>
      <c r="L25" s="99">
        <f>AVERAGE(R22:T22,V22,X22,Z22:AB22,AD22:AG22)</f>
        <v>-3.859562070413438E-2</v>
      </c>
      <c r="M25" s="134" t="s">
        <v>30</v>
      </c>
      <c r="N25" s="135"/>
      <c r="O25" s="33">
        <f>MEDIAN(R22:T22,V22,X22,Z22:AB22,AD22:AG22)</f>
        <v>-3.7485250466473163E-2</v>
      </c>
      <c r="AK25" s="166" t="s">
        <v>27</v>
      </c>
      <c r="AL25" s="167"/>
      <c r="AM25" s="167"/>
      <c r="AN25" s="167"/>
      <c r="AO25" s="46">
        <f>AVERAGE(AN18,T18,P18,L18,AB18,X18,AF18)</f>
        <v>0.25154502484538516</v>
      </c>
    </row>
    <row r="26" spans="1:42" x14ac:dyDescent="0.2">
      <c r="AK26" s="130" t="s">
        <v>28</v>
      </c>
      <c r="AL26" s="131"/>
      <c r="AM26" s="131"/>
      <c r="AN26" s="131"/>
      <c r="AO26" s="47">
        <f>_xlfn.STDEV.S(AN18,AB18,T18,H18,P18,X18,L18)</f>
        <v>7.54660585631788E-3</v>
      </c>
    </row>
    <row r="29" spans="1:42" ht="18" customHeight="1" x14ac:dyDescent="0.2"/>
  </sheetData>
  <mergeCells count="29">
    <mergeCell ref="B11:E11"/>
    <mergeCell ref="F11:I11"/>
    <mergeCell ref="J23:K23"/>
    <mergeCell ref="AK24:AN24"/>
    <mergeCell ref="AK25:AN25"/>
    <mergeCell ref="AK26:AN26"/>
    <mergeCell ref="M24:N24"/>
    <mergeCell ref="M25:N25"/>
    <mergeCell ref="J22:K22"/>
    <mergeCell ref="J11:M11"/>
    <mergeCell ref="N11:Q11"/>
    <mergeCell ref="R11:U11"/>
    <mergeCell ref="V11:Y11"/>
    <mergeCell ref="AD11:AG11"/>
    <mergeCell ref="AH11:AK11"/>
    <mergeCell ref="AL11:AO11"/>
    <mergeCell ref="J20:K20"/>
    <mergeCell ref="J21:K21"/>
    <mergeCell ref="Z11:AC11"/>
    <mergeCell ref="J24:K24"/>
    <mergeCell ref="J25:K25"/>
    <mergeCell ref="AK10:AM10"/>
    <mergeCell ref="A1:C3"/>
    <mergeCell ref="O1:P1"/>
    <mergeCell ref="T1:U1"/>
    <mergeCell ref="T2:U2"/>
    <mergeCell ref="T3:U3"/>
    <mergeCell ref="T4:U4"/>
    <mergeCell ref="L10:M10"/>
  </mergeCells>
  <conditionalFormatting sqref="L20:AM20 AO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AM21 AO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2:AM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M23:AM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O22:AO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O20:AO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O20:AO21 AO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L22:AM22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M23:AM23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AO22:AO23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 AO24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48"/>
  <sheetViews>
    <sheetView topLeftCell="A4" zoomScale="85" zoomScaleNormal="85" workbookViewId="0">
      <selection activeCell="H25" sqref="H25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70" t="s">
        <v>76</v>
      </c>
      <c r="B4" s="170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172</v>
      </c>
      <c r="B6" t="s">
        <v>173</v>
      </c>
      <c r="C6" t="s">
        <v>168</v>
      </c>
      <c r="D6">
        <v>20170720</v>
      </c>
      <c r="E6">
        <v>213.20401799999999</v>
      </c>
      <c r="F6">
        <v>212.999146</v>
      </c>
      <c r="G6">
        <v>203.42874499999999</v>
      </c>
      <c r="H6">
        <v>223.398346</v>
      </c>
      <c r="I6">
        <v>188.087829</v>
      </c>
      <c r="J6">
        <v>213.25756374999997</v>
      </c>
      <c r="R6">
        <v>228</v>
      </c>
      <c r="S6">
        <v>228</v>
      </c>
      <c r="T6" s="92"/>
      <c r="U6" s="91"/>
    </row>
    <row r="7" spans="1:21" x14ac:dyDescent="0.2">
      <c r="A7" t="s">
        <v>172</v>
      </c>
      <c r="B7" t="s">
        <v>173</v>
      </c>
      <c r="C7" t="s">
        <v>169</v>
      </c>
      <c r="D7">
        <v>20171019</v>
      </c>
      <c r="E7">
        <v>261.81191100000001</v>
      </c>
      <c r="F7">
        <v>253.712774</v>
      </c>
      <c r="G7">
        <v>228.285539</v>
      </c>
      <c r="H7">
        <v>237.13945100000001</v>
      </c>
      <c r="I7">
        <v>189.557367</v>
      </c>
      <c r="J7">
        <v>245.23741874999999</v>
      </c>
      <c r="K7">
        <v>279.9811948572189</v>
      </c>
      <c r="L7">
        <v>271.58095963445788</v>
      </c>
      <c r="M7">
        <v>255.85913579715591</v>
      </c>
      <c r="N7">
        <v>242.02415011613382</v>
      </c>
      <c r="O7">
        <v>229.78137344548756</v>
      </c>
      <c r="P7">
        <v>262.19061350877882</v>
      </c>
      <c r="Q7">
        <v>256.90290455987218</v>
      </c>
      <c r="R7">
        <v>242.3</v>
      </c>
      <c r="S7">
        <v>237</v>
      </c>
      <c r="T7" s="92"/>
      <c r="U7" s="91"/>
    </row>
    <row r="8" spans="1:21" x14ac:dyDescent="0.2">
      <c r="A8" t="s">
        <v>172</v>
      </c>
      <c r="B8" t="s">
        <v>173</v>
      </c>
      <c r="C8" t="s">
        <v>167</v>
      </c>
      <c r="D8">
        <v>20180125</v>
      </c>
      <c r="E8">
        <v>265.98778299999998</v>
      </c>
      <c r="F8">
        <v>266.74710700000003</v>
      </c>
      <c r="G8">
        <v>247.008679</v>
      </c>
      <c r="H8">
        <v>233.271861</v>
      </c>
      <c r="I8">
        <v>185.31169499999999</v>
      </c>
      <c r="J8">
        <v>253.25385749999998</v>
      </c>
      <c r="K8">
        <v>240.7801246712568</v>
      </c>
      <c r="L8">
        <v>249.17572482574334</v>
      </c>
      <c r="M8">
        <v>256.43786802895124</v>
      </c>
      <c r="N8">
        <v>233.1346843549874</v>
      </c>
      <c r="O8">
        <v>231.69171639211467</v>
      </c>
      <c r="P8">
        <v>244.74717004213292</v>
      </c>
      <c r="Q8">
        <v>242.66121471919772</v>
      </c>
      <c r="R8">
        <v>254.4</v>
      </c>
      <c r="S8">
        <v>257</v>
      </c>
      <c r="T8" s="92"/>
      <c r="U8" s="91"/>
    </row>
    <row r="9" spans="1:21" x14ac:dyDescent="0.2">
      <c r="A9" t="s">
        <v>172</v>
      </c>
      <c r="B9" t="s">
        <v>173</v>
      </c>
      <c r="C9" t="s">
        <v>42</v>
      </c>
      <c r="D9">
        <v>20180419</v>
      </c>
      <c r="E9">
        <v>259.442519</v>
      </c>
      <c r="F9">
        <v>259.42248999999998</v>
      </c>
      <c r="G9">
        <v>228.58111199999999</v>
      </c>
      <c r="H9">
        <v>244.39395400000001</v>
      </c>
      <c r="I9">
        <v>190.278279</v>
      </c>
      <c r="J9">
        <v>247.96001874999999</v>
      </c>
      <c r="K9">
        <v>250.675901843958</v>
      </c>
      <c r="L9">
        <v>249.94302911034004</v>
      </c>
      <c r="M9">
        <v>237.82705134826458</v>
      </c>
      <c r="N9">
        <v>269.25341920258444</v>
      </c>
      <c r="O9">
        <v>263.88791977214396</v>
      </c>
      <c r="P9">
        <v>251.62785454807931</v>
      </c>
      <c r="Q9">
        <v>253.86919597089505</v>
      </c>
      <c r="R9">
        <v>251</v>
      </c>
      <c r="S9">
        <v>245</v>
      </c>
      <c r="T9" s="9"/>
      <c r="U9" s="62"/>
    </row>
    <row r="10" spans="1:21" x14ac:dyDescent="0.2">
      <c r="A10" t="s">
        <v>172</v>
      </c>
      <c r="B10" t="s">
        <v>173</v>
      </c>
      <c r="C10" t="s">
        <v>43</v>
      </c>
      <c r="D10">
        <v>20180719</v>
      </c>
      <c r="E10">
        <v>268.08976200000001</v>
      </c>
      <c r="F10">
        <v>268.503286</v>
      </c>
      <c r="G10">
        <v>239.598366</v>
      </c>
      <c r="H10">
        <v>240.89906099999999</v>
      </c>
      <c r="I10">
        <v>183.324884</v>
      </c>
      <c r="J10">
        <v>254.27261874999996</v>
      </c>
      <c r="K10">
        <v>253.16587251452026</v>
      </c>
      <c r="L10">
        <v>253.57595276338611</v>
      </c>
      <c r="M10">
        <v>256.80861885911202</v>
      </c>
      <c r="N10">
        <v>241.49644039475703</v>
      </c>
      <c r="O10">
        <v>236.04689308757096</v>
      </c>
      <c r="P10">
        <v>251.23724343866624</v>
      </c>
      <c r="Q10">
        <v>248.72183684300208</v>
      </c>
      <c r="R10">
        <v>258.2</v>
      </c>
      <c r="S10">
        <v>242</v>
      </c>
      <c r="T10" s="9"/>
      <c r="U10" s="62"/>
    </row>
    <row r="11" spans="1:21" x14ac:dyDescent="0.2">
      <c r="A11" t="s">
        <v>172</v>
      </c>
      <c r="B11" t="s">
        <v>173</v>
      </c>
      <c r="C11" t="s">
        <v>44</v>
      </c>
      <c r="D11">
        <v>20181018</v>
      </c>
      <c r="E11">
        <v>249.15887000000001</v>
      </c>
      <c r="F11">
        <v>248.72980699999999</v>
      </c>
      <c r="G11">
        <v>223.715611</v>
      </c>
      <c r="H11">
        <v>228.42643699999999</v>
      </c>
      <c r="I11">
        <v>166.56731500000001</v>
      </c>
      <c r="J11">
        <v>237.50768124999999</v>
      </c>
      <c r="K11">
        <v>224.91141060433333</v>
      </c>
      <c r="L11">
        <v>224.17831152353196</v>
      </c>
      <c r="M11">
        <v>225.95804289416563</v>
      </c>
      <c r="N11">
        <v>229.47037453998212</v>
      </c>
      <c r="O11">
        <v>219.87898942295254</v>
      </c>
      <c r="P11">
        <v>226.04423215152025</v>
      </c>
      <c r="Q11">
        <v>225.07356018941428</v>
      </c>
      <c r="R11">
        <v>259.60000000000002</v>
      </c>
      <c r="S11">
        <v>242</v>
      </c>
      <c r="T11" s="9"/>
      <c r="U11" s="62"/>
    </row>
    <row r="12" spans="1:21" x14ac:dyDescent="0.2">
      <c r="A12" t="s">
        <v>172</v>
      </c>
      <c r="B12" t="s">
        <v>173</v>
      </c>
      <c r="C12" t="s">
        <v>45</v>
      </c>
      <c r="D12">
        <v>20190124</v>
      </c>
      <c r="E12">
        <v>287.39146599999998</v>
      </c>
      <c r="F12">
        <v>286.73655500000001</v>
      </c>
      <c r="G12">
        <v>268.66537</v>
      </c>
      <c r="H12">
        <v>261.01734599999997</v>
      </c>
      <c r="I12">
        <v>184.63251399999999</v>
      </c>
      <c r="J12">
        <v>275.95268424999995</v>
      </c>
      <c r="K12">
        <v>279.13409132093108</v>
      </c>
      <c r="L12">
        <v>278.97841093890287</v>
      </c>
      <c r="M12">
        <v>290.62352532921813</v>
      </c>
      <c r="N12">
        <v>276.52752703050737</v>
      </c>
      <c r="O12">
        <v>268.2463146386192</v>
      </c>
      <c r="P12">
        <v>281.17216772541747</v>
      </c>
      <c r="Q12">
        <v>279.11367283059934</v>
      </c>
      <c r="R12">
        <v>270.60000000000002</v>
      </c>
      <c r="S12">
        <v>272</v>
      </c>
      <c r="T12" s="9"/>
      <c r="U12" s="62"/>
    </row>
    <row r="13" spans="1:21" x14ac:dyDescent="0.2">
      <c r="A13" t="s">
        <v>172</v>
      </c>
      <c r="B13" t="s">
        <v>173</v>
      </c>
      <c r="C13" t="s">
        <v>46</v>
      </c>
      <c r="D13">
        <v>20190418</v>
      </c>
      <c r="E13">
        <v>280.42094100000003</v>
      </c>
      <c r="F13">
        <v>281.06141400000001</v>
      </c>
      <c r="G13">
        <v>266.38282199999998</v>
      </c>
      <c r="H13">
        <v>267.17908399999999</v>
      </c>
      <c r="I13">
        <v>194.08178699999999</v>
      </c>
      <c r="J13">
        <v>273.76106525</v>
      </c>
      <c r="K13">
        <v>265.40278670626918</v>
      </c>
      <c r="L13">
        <v>266.61652752297317</v>
      </c>
      <c r="M13">
        <v>269.68912139290592</v>
      </c>
      <c r="N13">
        <v>278.42100136900484</v>
      </c>
      <c r="O13">
        <v>285.92063727193789</v>
      </c>
      <c r="P13">
        <v>269.83977325815783</v>
      </c>
      <c r="Q13">
        <v>272.6483079202082</v>
      </c>
      <c r="R13">
        <v>267.3</v>
      </c>
      <c r="S13">
        <v>254</v>
      </c>
      <c r="T13" s="9"/>
      <c r="U13" s="62"/>
    </row>
    <row r="14" spans="1:21" x14ac:dyDescent="0.2">
      <c r="A14" t="s">
        <v>172</v>
      </c>
      <c r="B14" t="s">
        <v>173</v>
      </c>
      <c r="C14" t="s">
        <v>47</v>
      </c>
      <c r="D14">
        <v>20190718</v>
      </c>
      <c r="E14">
        <v>262.28887400000002</v>
      </c>
      <c r="F14">
        <v>256.82246600000002</v>
      </c>
      <c r="G14">
        <v>256.09407299999998</v>
      </c>
      <c r="H14">
        <v>234.574949</v>
      </c>
      <c r="I14">
        <v>173.280677</v>
      </c>
      <c r="J14">
        <v>252.44509049999999</v>
      </c>
      <c r="K14">
        <v>237.57631565753857</v>
      </c>
      <c r="L14">
        <v>232.09484872227961</v>
      </c>
      <c r="M14">
        <v>244.1895241353063</v>
      </c>
      <c r="N14">
        <v>223.00412200679602</v>
      </c>
      <c r="O14">
        <v>226.77703373578274</v>
      </c>
      <c r="P14">
        <v>234.22268951373462</v>
      </c>
      <c r="Q14">
        <v>232.97742229523965</v>
      </c>
      <c r="R14">
        <v>261.60000000000002</v>
      </c>
      <c r="S14">
        <v>252</v>
      </c>
      <c r="T14" s="9"/>
      <c r="U14" s="62"/>
    </row>
    <row r="15" spans="1:21" x14ac:dyDescent="0.2">
      <c r="A15" t="s">
        <v>172</v>
      </c>
      <c r="B15" t="s">
        <v>173</v>
      </c>
      <c r="C15" t="s">
        <v>48</v>
      </c>
      <c r="D15">
        <v>20191024</v>
      </c>
      <c r="E15">
        <v>273.00110100000001</v>
      </c>
      <c r="F15">
        <v>274.00903399999999</v>
      </c>
      <c r="G15">
        <v>258.87479400000001</v>
      </c>
      <c r="H15">
        <v>261.80832900000001</v>
      </c>
      <c r="I15">
        <v>190.38942299999999</v>
      </c>
      <c r="J15">
        <v>266.9233145</v>
      </c>
      <c r="K15">
        <v>262.29201568039059</v>
      </c>
      <c r="L15">
        <v>268.8638484142582</v>
      </c>
      <c r="M15">
        <v>254.73626673117113</v>
      </c>
      <c r="N15">
        <v>281.25637110550969</v>
      </c>
      <c r="O15">
        <v>276.88104309518599</v>
      </c>
      <c r="P15">
        <v>266.45269718168674</v>
      </c>
      <c r="Q15">
        <v>268.41370703470039</v>
      </c>
      <c r="R15">
        <v>265.5</v>
      </c>
      <c r="S15">
        <v>262</v>
      </c>
      <c r="T15" s="9"/>
      <c r="U15" s="62"/>
    </row>
    <row r="16" spans="1:21" x14ac:dyDescent="0.2">
      <c r="A16" t="s">
        <v>172</v>
      </c>
      <c r="B16" t="s">
        <v>173</v>
      </c>
      <c r="C16" t="s">
        <v>49</v>
      </c>
      <c r="D16">
        <v>20200123</v>
      </c>
      <c r="E16">
        <v>299.28355199999999</v>
      </c>
      <c r="F16">
        <v>295.00002799999999</v>
      </c>
      <c r="G16">
        <v>297.44005800000002</v>
      </c>
      <c r="H16">
        <v>284.31480299999998</v>
      </c>
      <c r="I16">
        <v>201.721484</v>
      </c>
      <c r="J16">
        <v>294.00961025000004</v>
      </c>
      <c r="K16">
        <v>287.22334941792047</v>
      </c>
      <c r="L16">
        <v>282.07101863656072</v>
      </c>
      <c r="M16">
        <v>301.03083421864545</v>
      </c>
      <c r="N16">
        <v>284.52295108609775</v>
      </c>
      <c r="O16">
        <v>277.59435358969495</v>
      </c>
      <c r="P16">
        <v>288.58669775547094</v>
      </c>
      <c r="Q16">
        <v>286.83820078406507</v>
      </c>
      <c r="R16">
        <v>290.5</v>
      </c>
      <c r="S16">
        <v>283</v>
      </c>
      <c r="T16" s="9"/>
      <c r="U16" s="62"/>
    </row>
    <row r="17" spans="1:22" x14ac:dyDescent="0.2">
      <c r="A17" t="s">
        <v>172</v>
      </c>
      <c r="B17" t="s">
        <v>173</v>
      </c>
      <c r="C17" t="s">
        <v>50</v>
      </c>
      <c r="D17">
        <v>20200423</v>
      </c>
      <c r="E17">
        <v>282.74610999999999</v>
      </c>
      <c r="F17">
        <v>284.32426700000002</v>
      </c>
      <c r="G17">
        <v>272.82505099999997</v>
      </c>
      <c r="H17">
        <v>268.91901000000001</v>
      </c>
      <c r="I17">
        <v>192.35042000000001</v>
      </c>
      <c r="J17">
        <v>277.20360950000003</v>
      </c>
      <c r="K17">
        <v>267.3623344660117</v>
      </c>
      <c r="L17">
        <v>272.75850821614165</v>
      </c>
      <c r="M17">
        <v>259.57999723426622</v>
      </c>
      <c r="N17">
        <v>267.67540425955241</v>
      </c>
      <c r="O17">
        <v>269.85310528451197</v>
      </c>
      <c r="P17">
        <v>266.82332397840389</v>
      </c>
      <c r="Q17">
        <v>267.34211223981464</v>
      </c>
      <c r="R17">
        <v>260</v>
      </c>
      <c r="S17">
        <v>260</v>
      </c>
      <c r="T17" s="9"/>
      <c r="U17" s="62"/>
    </row>
    <row r="18" spans="1:22" x14ac:dyDescent="0.2">
      <c r="A18" t="s">
        <v>172</v>
      </c>
      <c r="B18" t="s">
        <v>173</v>
      </c>
      <c r="C18" t="s">
        <v>51</v>
      </c>
      <c r="D18">
        <v>20200723</v>
      </c>
      <c r="E18">
        <v>241.95070000000001</v>
      </c>
      <c r="F18">
        <v>241.531814</v>
      </c>
      <c r="G18">
        <v>210.55342999999999</v>
      </c>
      <c r="H18">
        <v>245.00360499999999</v>
      </c>
      <c r="I18">
        <v>174.059349</v>
      </c>
      <c r="J18">
        <v>234.75988724999999</v>
      </c>
      <c r="K18">
        <v>222.48646320898987</v>
      </c>
      <c r="L18">
        <v>220.86849041274411</v>
      </c>
      <c r="M18">
        <v>200.6556641310772</v>
      </c>
      <c r="N18">
        <v>236.87777706752675</v>
      </c>
      <c r="O18">
        <v>235.27596529292731</v>
      </c>
      <c r="P18">
        <v>220.1903892777413</v>
      </c>
      <c r="Q18">
        <v>222.72579156516778</v>
      </c>
      <c r="R18">
        <v>170.2</v>
      </c>
      <c r="S18">
        <v>208</v>
      </c>
      <c r="T18" s="9"/>
      <c r="U18" s="62"/>
    </row>
    <row r="19" spans="1:22" x14ac:dyDescent="0.2">
      <c r="A19" t="s">
        <v>172</v>
      </c>
      <c r="B19" t="s">
        <v>173</v>
      </c>
      <c r="C19" t="s">
        <v>52</v>
      </c>
      <c r="D19">
        <v>20201022</v>
      </c>
      <c r="E19">
        <v>263.69813211399997</v>
      </c>
      <c r="F19">
        <v>265.37795650510839</v>
      </c>
      <c r="G19">
        <v>269.16788847265559</v>
      </c>
      <c r="H19">
        <v>260.42347350099999</v>
      </c>
      <c r="I19">
        <v>184.34834672321799</v>
      </c>
      <c r="J19">
        <v>264.666862648191</v>
      </c>
      <c r="K19">
        <v>226.69581646059294</v>
      </c>
      <c r="L19">
        <v>228.53558725420143</v>
      </c>
      <c r="M19">
        <v>265.9036274180495</v>
      </c>
      <c r="N19">
        <v>221.09096104201404</v>
      </c>
      <c r="O19">
        <v>220.29529777472248</v>
      </c>
      <c r="P19">
        <v>234.49792924887225</v>
      </c>
      <c r="Q19">
        <v>232.83653653307545</v>
      </c>
      <c r="R19">
        <v>252.1</v>
      </c>
      <c r="S19">
        <v>285</v>
      </c>
      <c r="T19" s="9"/>
      <c r="U19" s="62"/>
    </row>
    <row r="20" spans="1:22" x14ac:dyDescent="0.2">
      <c r="A20" t="s">
        <v>172</v>
      </c>
      <c r="B20" t="s">
        <v>173</v>
      </c>
      <c r="C20" t="s">
        <v>53</v>
      </c>
      <c r="D20">
        <v>20210121</v>
      </c>
      <c r="E20">
        <v>354.561577</v>
      </c>
      <c r="F20">
        <v>349.22700200000003</v>
      </c>
      <c r="G20">
        <v>393.64087000000001</v>
      </c>
      <c r="H20">
        <v>351.83779700000002</v>
      </c>
      <c r="I20">
        <v>246.04975400000001</v>
      </c>
      <c r="J20">
        <v>362.31681149999997</v>
      </c>
      <c r="K20">
        <v>383.20350862900619</v>
      </c>
      <c r="L20">
        <v>375.04884309441172</v>
      </c>
      <c r="M20">
        <v>416.794323374116</v>
      </c>
      <c r="N20">
        <v>385.04122073548399</v>
      </c>
      <c r="O20">
        <v>380.38952416147777</v>
      </c>
      <c r="P20">
        <v>390.15194514456067</v>
      </c>
      <c r="Q20">
        <v>388.43822752317601</v>
      </c>
      <c r="R20">
        <v>366</v>
      </c>
      <c r="S20">
        <v>386</v>
      </c>
    </row>
    <row r="21" spans="1:22" x14ac:dyDescent="0.2">
      <c r="A21" t="s">
        <v>172</v>
      </c>
      <c r="B21" t="s">
        <v>173</v>
      </c>
      <c r="C21" t="s">
        <v>54</v>
      </c>
      <c r="D21">
        <v>20210422</v>
      </c>
      <c r="E21">
        <v>395.15548200000001</v>
      </c>
      <c r="F21">
        <v>384.14085799999998</v>
      </c>
      <c r="G21">
        <v>403.95690100000002</v>
      </c>
      <c r="H21">
        <v>398.16192899999999</v>
      </c>
      <c r="I21">
        <v>268.40677499999998</v>
      </c>
      <c r="J21">
        <v>395.35379249999994</v>
      </c>
      <c r="K21">
        <v>430.19330335390515</v>
      </c>
      <c r="L21">
        <v>424.5902245210695</v>
      </c>
      <c r="M21">
        <v>396.11578895758458</v>
      </c>
      <c r="N21">
        <v>436.82204102136302</v>
      </c>
      <c r="O21">
        <v>421.07343521261964</v>
      </c>
      <c r="P21">
        <v>421.1964751875721</v>
      </c>
      <c r="Q21">
        <v>421.66521137568566</v>
      </c>
      <c r="R21">
        <v>434</v>
      </c>
      <c r="S21">
        <v>440</v>
      </c>
    </row>
    <row r="22" spans="1:22" x14ac:dyDescent="0.2">
      <c r="A22" t="s">
        <v>172</v>
      </c>
      <c r="B22" t="s">
        <v>173</v>
      </c>
      <c r="C22" t="s">
        <v>55</v>
      </c>
      <c r="D22">
        <v>20210722</v>
      </c>
      <c r="E22">
        <v>482.41854000000001</v>
      </c>
      <c r="F22">
        <v>469.17357600000003</v>
      </c>
      <c r="G22">
        <v>443.110523</v>
      </c>
      <c r="H22">
        <v>457.43502699999999</v>
      </c>
      <c r="I22">
        <v>300.758532</v>
      </c>
      <c r="J22">
        <v>463.03441650000002</v>
      </c>
      <c r="K22">
        <v>537.1661719727831</v>
      </c>
      <c r="L22">
        <v>537.39759554553825</v>
      </c>
      <c r="M22">
        <v>482.64710823692553</v>
      </c>
      <c r="N22">
        <v>505.50139835192533</v>
      </c>
      <c r="O22">
        <v>493.03432851126803</v>
      </c>
      <c r="P22">
        <v>515.32360919492135</v>
      </c>
      <c r="Q22">
        <v>511.8450353022269</v>
      </c>
      <c r="R22">
        <v>451.7</v>
      </c>
      <c r="S22">
        <v>475</v>
      </c>
    </row>
    <row r="23" spans="1:22" x14ac:dyDescent="0.2">
      <c r="A23" t="s">
        <v>172</v>
      </c>
      <c r="B23" t="s">
        <v>173</v>
      </c>
      <c r="C23" t="s">
        <v>71</v>
      </c>
      <c r="D23" s="12">
        <v>20211021</v>
      </c>
      <c r="E23">
        <v>495.49889651900003</v>
      </c>
      <c r="F23">
        <v>473.63641649633888</v>
      </c>
      <c r="G23">
        <v>416.94564223287102</v>
      </c>
      <c r="H23">
        <v>472.65591710299998</v>
      </c>
      <c r="I23">
        <v>296.79615411611979</v>
      </c>
      <c r="J23">
        <f>AVERAGE(E23:H23)</f>
        <v>464.68421808780249</v>
      </c>
      <c r="K23" s="93">
        <f>(E23/E22)*$S21</f>
        <v>451.93021492988225</v>
      </c>
      <c r="L23" s="93">
        <f>(F23/F22)*$S21</f>
        <v>444.18533762095137</v>
      </c>
      <c r="M23" s="93">
        <f>(G23/G22)*$S21</f>
        <v>414.01879003099918</v>
      </c>
      <c r="N23" s="93">
        <f t="shared" ref="N23:O23" si="0">(H23/H22)*$S21</f>
        <v>454.64074950543738</v>
      </c>
      <c r="O23" s="93">
        <f t="shared" si="0"/>
        <v>434.20316937540014</v>
      </c>
      <c r="P23" s="93">
        <f>(J23/J22)*$S21</f>
        <v>441.56772946624602</v>
      </c>
      <c r="Q23" s="93">
        <f>(K23/K22)*$S21</f>
        <v>370.18208693011928</v>
      </c>
      <c r="R23" s="106">
        <f>'1. Data &amp; Confidence Interval'!AN14</f>
        <v>476.3</v>
      </c>
      <c r="S23" s="10"/>
    </row>
    <row r="24" spans="1:22" x14ac:dyDescent="0.2">
      <c r="A24" s="168" t="s">
        <v>75</v>
      </c>
      <c r="B24" s="169"/>
      <c r="C24" s="169"/>
      <c r="D24" s="169"/>
      <c r="E24" s="101">
        <f t="shared" ref="E24:Q24" si="1">CORREL(E$8:E$22,$S$8:$S$22)</f>
        <v>0.96773168514716668</v>
      </c>
      <c r="F24" s="101">
        <f t="shared" si="1"/>
        <v>0.96568271016042262</v>
      </c>
      <c r="G24" s="102">
        <f t="shared" si="1"/>
        <v>0.98275674053162598</v>
      </c>
      <c r="H24" s="101">
        <f t="shared" si="1"/>
        <v>0.97349024515763194</v>
      </c>
      <c r="I24" s="102">
        <f t="shared" si="1"/>
        <v>0.97353723541171877</v>
      </c>
      <c r="J24" s="102">
        <f>CORREL(J$8:J$22,$S$8:$S$22)</f>
        <v>0.98176976183812026</v>
      </c>
      <c r="K24" s="101">
        <f t="shared" si="1"/>
        <v>0.96482557074630115</v>
      </c>
      <c r="L24" s="101">
        <f t="shared" si="1"/>
        <v>0.96101240791972442</v>
      </c>
      <c r="M24" s="101">
        <f t="shared" si="1"/>
        <v>0.97150537130997205</v>
      </c>
      <c r="N24" s="101">
        <f t="shared" si="1"/>
        <v>0.95390978225885825</v>
      </c>
      <c r="O24" s="101">
        <f t="shared" si="1"/>
        <v>0.949782346924681</v>
      </c>
      <c r="P24" s="101">
        <f t="shared" si="1"/>
        <v>0.9706899456389454</v>
      </c>
      <c r="Q24" s="101">
        <f t="shared" si="1"/>
        <v>0.96904984548632322</v>
      </c>
      <c r="R24" s="102">
        <f>CORREL(R$8:R$22,$S$8:$S$22)</f>
        <v>0.97500847957407399</v>
      </c>
      <c r="S24" s="5"/>
    </row>
    <row r="26" spans="1:22" x14ac:dyDescent="0.2">
      <c r="A26" s="171" t="s">
        <v>77</v>
      </c>
      <c r="B26" s="172"/>
    </row>
    <row r="27" spans="1:22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2" x14ac:dyDescent="0.2">
      <c r="A28" s="9" t="str">
        <f t="shared" ref="A28:D28" si="2">A6</f>
        <v>SYK_TE</v>
      </c>
      <c r="B28" s="9" t="str">
        <f t="shared" si="2"/>
        <v>TRAUMA &amp; EXTREMITIES</v>
      </c>
      <c r="C28" s="9" t="str">
        <f t="shared" si="2"/>
        <v>2017Q2</v>
      </c>
      <c r="D28" s="9">
        <f t="shared" si="2"/>
        <v>20170720</v>
      </c>
      <c r="E28" s="18">
        <f t="shared" ref="E28:R28" si="3">$S6/E6-1</f>
        <v>6.9398232447945851E-2</v>
      </c>
      <c r="F28" s="18">
        <f t="shared" si="3"/>
        <v>7.042682696953162E-2</v>
      </c>
      <c r="G28" s="18">
        <f t="shared" si="3"/>
        <v>0.1207855605656909</v>
      </c>
      <c r="H28" s="18">
        <f t="shared" si="3"/>
        <v>2.0598424663359038E-2</v>
      </c>
      <c r="I28" s="18">
        <f t="shared" si="3"/>
        <v>0.21219964743173247</v>
      </c>
      <c r="J28" s="18">
        <f t="shared" si="3"/>
        <v>6.9129722720092879E-2</v>
      </c>
      <c r="K28" s="18"/>
      <c r="L28" s="18"/>
      <c r="M28" s="18"/>
      <c r="N28" s="18"/>
      <c r="O28" s="18"/>
      <c r="P28" s="18"/>
      <c r="Q28" s="18"/>
      <c r="R28" s="40">
        <f t="shared" si="3"/>
        <v>0</v>
      </c>
    </row>
    <row r="29" spans="1:22" x14ac:dyDescent="0.2">
      <c r="A29" s="9" t="str">
        <f t="shared" ref="A29:D29" si="4">A7</f>
        <v>SYK_TE</v>
      </c>
      <c r="B29" s="9" t="str">
        <f t="shared" si="4"/>
        <v>TRAUMA &amp; EXTREMITIES</v>
      </c>
      <c r="C29" s="9" t="str">
        <f t="shared" si="4"/>
        <v>2017Q3</v>
      </c>
      <c r="D29" s="9">
        <f t="shared" si="4"/>
        <v>20171019</v>
      </c>
      <c r="E29" s="18">
        <f t="shared" ref="E29:R29" si="5">$S7/E7-1</f>
        <v>-9.4769985464870699E-2</v>
      </c>
      <c r="F29" s="18">
        <f t="shared" si="5"/>
        <v>-6.5872812537219771E-2</v>
      </c>
      <c r="G29" s="18">
        <f t="shared" si="5"/>
        <v>3.817351304061356E-2</v>
      </c>
      <c r="H29" s="18">
        <f t="shared" si="5"/>
        <v>-5.8805483192259089E-4</v>
      </c>
      <c r="I29" s="18">
        <f t="shared" si="5"/>
        <v>0.25028113520905793</v>
      </c>
      <c r="J29" s="18">
        <f t="shared" si="5"/>
        <v>-3.358956717122108E-2</v>
      </c>
      <c r="K29" s="18">
        <f t="shared" si="5"/>
        <v>-0.15351457757417553</v>
      </c>
      <c r="L29" s="18">
        <f t="shared" si="5"/>
        <v>-0.12733204743441184</v>
      </c>
      <c r="M29" s="18">
        <f t="shared" si="5"/>
        <v>-7.370905767503011E-2</v>
      </c>
      <c r="N29" s="18">
        <f t="shared" si="5"/>
        <v>-2.0758879284249132E-2</v>
      </c>
      <c r="O29" s="18">
        <f t="shared" si="5"/>
        <v>3.1415194566347004E-2</v>
      </c>
      <c r="P29" s="18">
        <f t="shared" si="5"/>
        <v>-9.6077480317331765E-2</v>
      </c>
      <c r="Q29" s="18">
        <f t="shared" si="5"/>
        <v>-7.7472477759525482E-2</v>
      </c>
      <c r="R29" s="40">
        <f t="shared" si="5"/>
        <v>-2.1873710276516745E-2</v>
      </c>
    </row>
    <row r="30" spans="1:22" x14ac:dyDescent="0.2">
      <c r="A30" s="9" t="str">
        <f>A8</f>
        <v>SYK_TE</v>
      </c>
      <c r="B30" s="9" t="str">
        <f t="shared" ref="B30:D31" si="6">B8</f>
        <v>TRAUMA &amp; EXTREMITIES</v>
      </c>
      <c r="C30" s="9" t="str">
        <f t="shared" si="6"/>
        <v>2017Q4</v>
      </c>
      <c r="D30" s="9">
        <f t="shared" si="6"/>
        <v>20180125</v>
      </c>
      <c r="E30" s="18">
        <f t="shared" ref="E30:R31" si="7">$S8/E8-1</f>
        <v>-3.3790209830802609E-2</v>
      </c>
      <c r="F30" s="18">
        <f t="shared" si="7"/>
        <v>-3.654062872366981E-2</v>
      </c>
      <c r="G30" s="18">
        <f t="shared" si="7"/>
        <v>4.0449271015290833E-2</v>
      </c>
      <c r="H30" s="18">
        <f t="shared" si="7"/>
        <v>0.10171882240010088</v>
      </c>
      <c r="I30" s="18">
        <f t="shared" si="7"/>
        <v>0.38685256750794927</v>
      </c>
      <c r="J30" s="18">
        <f t="shared" si="7"/>
        <v>1.4792045171513335E-2</v>
      </c>
      <c r="K30" s="18">
        <f t="shared" si="7"/>
        <v>6.7363846375977365E-2</v>
      </c>
      <c r="L30" s="18">
        <f t="shared" si="7"/>
        <v>3.140063174182961E-2</v>
      </c>
      <c r="M30" s="18">
        <f t="shared" si="7"/>
        <v>2.1920786324167718E-3</v>
      </c>
      <c r="N30" s="18">
        <f t="shared" si="7"/>
        <v>0.10236707468492146</v>
      </c>
      <c r="O30" s="18">
        <f t="shared" si="7"/>
        <v>0.10923257854007007</v>
      </c>
      <c r="P30" s="18">
        <f t="shared" si="7"/>
        <v>5.0063214033313486E-2</v>
      </c>
      <c r="Q30" s="18">
        <f t="shared" si="7"/>
        <v>5.9089728440512523E-2</v>
      </c>
      <c r="R30" s="40">
        <f t="shared" si="7"/>
        <v>1.0220125786163603E-2</v>
      </c>
      <c r="V30" s="106"/>
    </row>
    <row r="31" spans="1:22" x14ac:dyDescent="0.2">
      <c r="A31" s="9" t="str">
        <f>A9</f>
        <v>SYK_TE</v>
      </c>
      <c r="B31" s="9" t="str">
        <f t="shared" si="6"/>
        <v>TRAUMA &amp; EXTREMITIES</v>
      </c>
      <c r="C31" s="9" t="str">
        <f t="shared" si="6"/>
        <v>2018Q1</v>
      </c>
      <c r="D31" s="9">
        <f t="shared" si="6"/>
        <v>20180419</v>
      </c>
      <c r="E31" s="18">
        <f t="shared" ref="E31:E41" si="8">$S9/E9-1</f>
        <v>-5.5667509919605784E-2</v>
      </c>
      <c r="F31" s="18">
        <f t="shared" si="7"/>
        <v>-5.5594601686229983E-2</v>
      </c>
      <c r="G31" s="18">
        <f t="shared" si="7"/>
        <v>7.1829591939337467E-2</v>
      </c>
      <c r="H31" s="18">
        <f t="shared" si="7"/>
        <v>2.47979129630993E-3</v>
      </c>
      <c r="I31" s="18">
        <f t="shared" si="7"/>
        <v>0.28758784916275171</v>
      </c>
      <c r="J31" s="18">
        <f t="shared" si="7"/>
        <v>-1.1937483973915808E-2</v>
      </c>
      <c r="K31" s="18">
        <f t="shared" ref="K31:Q31" si="9">$S9/K9-1</f>
        <v>-2.2642391239869442E-2</v>
      </c>
      <c r="L31" s="18">
        <f t="shared" si="9"/>
        <v>-1.9776623208634825E-2</v>
      </c>
      <c r="M31" s="18">
        <f t="shared" si="9"/>
        <v>3.0160356490446683E-2</v>
      </c>
      <c r="N31" s="18">
        <f t="shared" si="9"/>
        <v>-9.0076550464662231E-2</v>
      </c>
      <c r="O31" s="18">
        <f t="shared" si="9"/>
        <v>-7.157553778305914E-2</v>
      </c>
      <c r="P31" s="18">
        <f t="shared" si="9"/>
        <v>-2.633990803594799E-2</v>
      </c>
      <c r="Q31" s="18">
        <f t="shared" si="9"/>
        <v>-3.4936085636446679E-2</v>
      </c>
      <c r="R31" s="40">
        <f>$S9/R9-1</f>
        <v>-2.3904382470119501E-2</v>
      </c>
    </row>
    <row r="32" spans="1:22" x14ac:dyDescent="0.2">
      <c r="A32" s="9" t="str">
        <f t="shared" ref="A32:D32" si="10">A10</f>
        <v>SYK_TE</v>
      </c>
      <c r="B32" s="9" t="str">
        <f t="shared" si="10"/>
        <v>TRAUMA &amp; EXTREMITIES</v>
      </c>
      <c r="C32" s="9" t="str">
        <f t="shared" si="10"/>
        <v>2018Q2</v>
      </c>
      <c r="D32" s="9">
        <f t="shared" si="10"/>
        <v>20180719</v>
      </c>
      <c r="E32" s="18">
        <f t="shared" si="8"/>
        <v>-9.7317263461929593E-2</v>
      </c>
      <c r="F32" s="18">
        <f t="shared" ref="F32:J32" si="11">$S10/F10-1</f>
        <v>-9.8707492168270905E-2</v>
      </c>
      <c r="G32" s="18">
        <f t="shared" si="11"/>
        <v>1.0023582548138066E-2</v>
      </c>
      <c r="H32" s="18">
        <f t="shared" si="11"/>
        <v>4.57012574241622E-3</v>
      </c>
      <c r="I32" s="18">
        <f t="shared" si="11"/>
        <v>0.32006083800385765</v>
      </c>
      <c r="J32" s="18">
        <f t="shared" si="11"/>
        <v>-4.8265593087969738E-2</v>
      </c>
      <c r="K32" s="18">
        <f t="shared" ref="K32:Q32" si="12">$S10/K10-1</f>
        <v>-4.4104967243876247E-2</v>
      </c>
      <c r="L32" s="18">
        <f t="shared" si="12"/>
        <v>-4.565083020387084E-2</v>
      </c>
      <c r="M32" s="18">
        <f t="shared" si="12"/>
        <v>-5.7664025938460317E-2</v>
      </c>
      <c r="N32" s="18">
        <f t="shared" si="12"/>
        <v>2.0851636753727032E-3</v>
      </c>
      <c r="O32" s="18">
        <f t="shared" si="12"/>
        <v>2.5220018084374907E-2</v>
      </c>
      <c r="P32" s="18">
        <f t="shared" si="12"/>
        <v>-3.67670147635627E-2</v>
      </c>
      <c r="Q32" s="18">
        <f t="shared" si="12"/>
        <v>-2.7025519465124548E-2</v>
      </c>
      <c r="R32" s="40">
        <f t="shared" ref="R32:R39" si="13">$S10/R10-1</f>
        <v>-6.2742060418280343E-2</v>
      </c>
    </row>
    <row r="33" spans="1:18" x14ac:dyDescent="0.2">
      <c r="A33" s="9" t="str">
        <f t="shared" ref="A33:D33" si="14">A11</f>
        <v>SYK_TE</v>
      </c>
      <c r="B33" s="9" t="str">
        <f t="shared" si="14"/>
        <v>TRAUMA &amp; EXTREMITIES</v>
      </c>
      <c r="C33" s="9" t="str">
        <f t="shared" si="14"/>
        <v>2018Q3</v>
      </c>
      <c r="D33" s="9">
        <f t="shared" si="14"/>
        <v>20181018</v>
      </c>
      <c r="E33" s="18">
        <f t="shared" si="8"/>
        <v>-2.8732149892957914E-2</v>
      </c>
      <c r="F33" s="18">
        <f t="shared" ref="F33:J33" si="15">$S11/F11-1</f>
        <v>-2.7056696908062894E-2</v>
      </c>
      <c r="G33" s="18">
        <f t="shared" si="15"/>
        <v>8.173050114057534E-2</v>
      </c>
      <c r="H33" s="18">
        <f t="shared" si="15"/>
        <v>5.9422031785226315E-2</v>
      </c>
      <c r="I33" s="18">
        <f t="shared" si="15"/>
        <v>0.45286606799179041</v>
      </c>
      <c r="J33" s="18">
        <f t="shared" si="15"/>
        <v>1.8914414583802053E-2</v>
      </c>
      <c r="K33" s="18">
        <f t="shared" ref="K33:Q33" si="16">$S11/K11-1</f>
        <v>7.5979201543176167E-2</v>
      </c>
      <c r="L33" s="18">
        <f t="shared" si="16"/>
        <v>7.9497826330078736E-2</v>
      </c>
      <c r="M33" s="18">
        <f t="shared" si="16"/>
        <v>7.0995291428276763E-2</v>
      </c>
      <c r="N33" s="18">
        <f t="shared" si="16"/>
        <v>5.4602366362699106E-2</v>
      </c>
      <c r="O33" s="18">
        <f t="shared" si="16"/>
        <v>0.10060538587657475</v>
      </c>
      <c r="P33" s="18">
        <f t="shared" si="16"/>
        <v>7.0586927596473226E-2</v>
      </c>
      <c r="Q33" s="18">
        <f t="shared" si="16"/>
        <v>7.5204034611355608E-2</v>
      </c>
      <c r="R33" s="40">
        <f t="shared" si="13"/>
        <v>-6.7796610169491567E-2</v>
      </c>
    </row>
    <row r="34" spans="1:18" x14ac:dyDescent="0.2">
      <c r="A34" s="9" t="str">
        <f t="shared" ref="A34:D34" si="17">A12</f>
        <v>SYK_TE</v>
      </c>
      <c r="B34" s="9" t="str">
        <f t="shared" si="17"/>
        <v>TRAUMA &amp; EXTREMITIES</v>
      </c>
      <c r="C34" s="9" t="str">
        <f t="shared" si="17"/>
        <v>2018Q4</v>
      </c>
      <c r="D34" s="9">
        <f t="shared" si="17"/>
        <v>20190124</v>
      </c>
      <c r="E34" s="18">
        <f t="shared" si="8"/>
        <v>-5.3555751721590772E-2</v>
      </c>
      <c r="F34" s="18">
        <f t="shared" ref="F34:J34" si="18">$S12/F12-1</f>
        <v>-5.1394057517361258E-2</v>
      </c>
      <c r="G34" s="18">
        <f t="shared" si="18"/>
        <v>1.241183409681712E-2</v>
      </c>
      <c r="H34" s="18">
        <f t="shared" si="18"/>
        <v>4.2076337715885037E-2</v>
      </c>
      <c r="I34" s="18">
        <f t="shared" si="18"/>
        <v>0.47319664401038275</v>
      </c>
      <c r="J34" s="18">
        <f t="shared" si="18"/>
        <v>-1.4323775326711474E-2</v>
      </c>
      <c r="K34" s="18">
        <f t="shared" ref="K34:Q34" si="19">$S12/K12-1</f>
        <v>-2.5557936284925975E-2</v>
      </c>
      <c r="L34" s="18">
        <f t="shared" si="19"/>
        <v>-2.5014161186942774E-2</v>
      </c>
      <c r="M34" s="18">
        <f t="shared" si="19"/>
        <v>-6.408127252644602E-2</v>
      </c>
      <c r="N34" s="18">
        <f t="shared" si="19"/>
        <v>-1.6372789642775332E-2</v>
      </c>
      <c r="O34" s="18">
        <f t="shared" si="19"/>
        <v>1.3993427519918722E-2</v>
      </c>
      <c r="P34" s="18">
        <f t="shared" si="19"/>
        <v>-3.2621179399145439E-2</v>
      </c>
      <c r="Q34" s="18">
        <f t="shared" si="19"/>
        <v>-2.5486651221550138E-2</v>
      </c>
      <c r="R34" s="40">
        <f t="shared" si="13"/>
        <v>5.1736881005173263E-3</v>
      </c>
    </row>
    <row r="35" spans="1:18" x14ac:dyDescent="0.2">
      <c r="A35" s="9" t="str">
        <f t="shared" ref="A35:D35" si="20">A13</f>
        <v>SYK_TE</v>
      </c>
      <c r="B35" s="9" t="str">
        <f t="shared" si="20"/>
        <v>TRAUMA &amp; EXTREMITIES</v>
      </c>
      <c r="C35" s="9" t="str">
        <f t="shared" si="20"/>
        <v>2019Q1</v>
      </c>
      <c r="D35" s="9">
        <f t="shared" si="20"/>
        <v>20190418</v>
      </c>
      <c r="E35" s="18">
        <f t="shared" si="8"/>
        <v>-9.421885864080326E-2</v>
      </c>
      <c r="F35" s="18">
        <f t="shared" ref="F35:J35" si="21">$S13/F13-1</f>
        <v>-9.6282921283531331E-2</v>
      </c>
      <c r="G35" s="18">
        <f t="shared" si="21"/>
        <v>-4.648506201349567E-2</v>
      </c>
      <c r="H35" s="18">
        <f t="shared" si="21"/>
        <v>-4.9326780385248958E-2</v>
      </c>
      <c r="I35" s="18">
        <f t="shared" si="21"/>
        <v>0.30872661431131609</v>
      </c>
      <c r="J35" s="18">
        <f t="shared" si="21"/>
        <v>-7.2183621991513292E-2</v>
      </c>
      <c r="K35" s="18">
        <f t="shared" ref="K35:Q35" si="22">$S13/K13-1</f>
        <v>-4.2964080550100037E-2</v>
      </c>
      <c r="L35" s="18">
        <f t="shared" si="22"/>
        <v>-4.7320875566823406E-2</v>
      </c>
      <c r="M35" s="18">
        <f t="shared" si="22"/>
        <v>-5.817483965194381E-2</v>
      </c>
      <c r="N35" s="18">
        <f t="shared" si="22"/>
        <v>-8.7712497437068326E-2</v>
      </c>
      <c r="O35" s="18">
        <f t="shared" si="22"/>
        <v>-0.11164159948894603</v>
      </c>
      <c r="P35" s="18">
        <f t="shared" si="22"/>
        <v>-5.8700661755314298E-2</v>
      </c>
      <c r="Q35" s="18">
        <f t="shared" si="22"/>
        <v>-6.839693252622614E-2</v>
      </c>
      <c r="R35" s="40">
        <f t="shared" si="13"/>
        <v>-4.9756827534605308E-2</v>
      </c>
    </row>
    <row r="36" spans="1:18" x14ac:dyDescent="0.2">
      <c r="A36" s="9" t="str">
        <f t="shared" ref="A36:D36" si="23">A14</f>
        <v>SYK_TE</v>
      </c>
      <c r="B36" s="9" t="str">
        <f t="shared" si="23"/>
        <v>TRAUMA &amp; EXTREMITIES</v>
      </c>
      <c r="C36" s="9" t="str">
        <f t="shared" si="23"/>
        <v>2019Q2</v>
      </c>
      <c r="D36" s="9">
        <f t="shared" si="23"/>
        <v>20190718</v>
      </c>
      <c r="E36" s="18">
        <f t="shared" si="8"/>
        <v>-3.9227260550899423E-2</v>
      </c>
      <c r="F36" s="18">
        <f t="shared" ref="F36:J36" si="24">$S14/F14-1</f>
        <v>-1.8777430476039525E-2</v>
      </c>
      <c r="G36" s="18">
        <f>$S14/G14-1</f>
        <v>-1.5986598018611575E-2</v>
      </c>
      <c r="H36" s="18">
        <f t="shared" si="24"/>
        <v>7.4283511833993732E-2</v>
      </c>
      <c r="I36" s="18">
        <f t="shared" si="24"/>
        <v>0.45428794694748342</v>
      </c>
      <c r="J36" s="18">
        <f t="shared" si="24"/>
        <v>-1.7631180670554247E-3</v>
      </c>
      <c r="K36" s="18">
        <f t="shared" ref="K36:Q36" si="25">$S14/K14-1</f>
        <v>6.0711794029388422E-2</v>
      </c>
      <c r="L36" s="18">
        <f t="shared" si="25"/>
        <v>8.576300330361275E-2</v>
      </c>
      <c r="M36" s="18">
        <f t="shared" si="25"/>
        <v>3.198530277804168E-2</v>
      </c>
      <c r="N36" s="18">
        <f t="shared" si="25"/>
        <v>0.1300239553075182</v>
      </c>
      <c r="O36" s="18">
        <f t="shared" si="25"/>
        <v>0.11122363604775098</v>
      </c>
      <c r="P36" s="18">
        <f t="shared" si="25"/>
        <v>7.5899181770871627E-2</v>
      </c>
      <c r="Q36" s="18">
        <f t="shared" si="25"/>
        <v>8.1649876272792188E-2</v>
      </c>
      <c r="R36" s="40">
        <f t="shared" si="13"/>
        <v>-3.6697247706422131E-2</v>
      </c>
    </row>
    <row r="37" spans="1:18" x14ac:dyDescent="0.2">
      <c r="A37" s="9" t="str">
        <f t="shared" ref="A37:D37" si="26">A15</f>
        <v>SYK_TE</v>
      </c>
      <c r="B37" s="9" t="str">
        <f t="shared" si="26"/>
        <v>TRAUMA &amp; EXTREMITIES</v>
      </c>
      <c r="C37" s="9" t="str">
        <f t="shared" si="26"/>
        <v>2019Q3</v>
      </c>
      <c r="D37" s="9">
        <f t="shared" si="26"/>
        <v>20191024</v>
      </c>
      <c r="E37" s="18">
        <f t="shared" si="8"/>
        <v>-4.029691074396069E-2</v>
      </c>
      <c r="F37" s="18">
        <f t="shared" ref="F37:J37" si="27">$S15/F15-1</f>
        <v>-4.3827146224675206E-2</v>
      </c>
      <c r="G37" s="18">
        <f>$S15/G15-1</f>
        <v>1.2072268418685805E-2</v>
      </c>
      <c r="H37" s="18">
        <f t="shared" si="27"/>
        <v>7.3210428687309204E-4</v>
      </c>
      <c r="I37" s="18">
        <f t="shared" si="27"/>
        <v>0.37612686603919165</v>
      </c>
      <c r="J37" s="18">
        <f t="shared" si="27"/>
        <v>-1.8444677675392818E-2</v>
      </c>
      <c r="K37" s="18">
        <f t="shared" ref="K37:Q37" si="28">$S15/K15-1</f>
        <v>-1.1133227964759129E-3</v>
      </c>
      <c r="L37" s="18">
        <f t="shared" si="28"/>
        <v>-2.5529086393506373E-2</v>
      </c>
      <c r="M37" s="18">
        <f t="shared" si="28"/>
        <v>2.8514719800359023E-2</v>
      </c>
      <c r="N37" s="18">
        <f t="shared" si="28"/>
        <v>-6.8465546326365367E-2</v>
      </c>
      <c r="O37" s="18">
        <f t="shared" si="28"/>
        <v>-5.3745257995399087E-2</v>
      </c>
      <c r="P37" s="18">
        <f t="shared" si="28"/>
        <v>-1.6711023115110635E-2</v>
      </c>
      <c r="Q37" s="18">
        <f t="shared" si="28"/>
        <v>-2.3894856583725921E-2</v>
      </c>
      <c r="R37" s="40">
        <f t="shared" si="13"/>
        <v>-1.3182674199623379E-2</v>
      </c>
    </row>
    <row r="38" spans="1:18" x14ac:dyDescent="0.2">
      <c r="A38" s="9" t="str">
        <f t="shared" ref="A38:D38" si="29">A16</f>
        <v>SYK_TE</v>
      </c>
      <c r="B38" s="9" t="str">
        <f t="shared" si="29"/>
        <v>TRAUMA &amp; EXTREMITIES</v>
      </c>
      <c r="C38" s="9" t="str">
        <f t="shared" si="29"/>
        <v>2019Q4</v>
      </c>
      <c r="D38" s="9">
        <f t="shared" si="29"/>
        <v>20200123</v>
      </c>
      <c r="E38" s="18">
        <f t="shared" si="8"/>
        <v>-5.4408442733264506E-2</v>
      </c>
      <c r="F38" s="18">
        <f t="shared" ref="F38:J38" si="30">$S16/F16-1</f>
        <v>-4.067805715598094E-2</v>
      </c>
      <c r="G38" s="18">
        <f t="shared" si="30"/>
        <v>-4.8547791770535587E-2</v>
      </c>
      <c r="H38" s="18">
        <f t="shared" si="30"/>
        <v>-4.6244619911682827E-3</v>
      </c>
      <c r="I38" s="18">
        <f t="shared" si="30"/>
        <v>0.40292444011565953</v>
      </c>
      <c r="J38" s="18">
        <f t="shared" si="30"/>
        <v>-3.7446429865467423E-2</v>
      </c>
      <c r="K38" s="18">
        <f t="shared" ref="K38:Q38" si="31">$S16/K16-1</f>
        <v>-1.4704060190368962E-2</v>
      </c>
      <c r="L38" s="18">
        <f t="shared" si="31"/>
        <v>3.2934307392857853E-3</v>
      </c>
      <c r="M38" s="18">
        <f t="shared" si="31"/>
        <v>-5.989696791508492E-2</v>
      </c>
      <c r="N38" s="18">
        <f t="shared" si="31"/>
        <v>-5.3526475818005403E-3</v>
      </c>
      <c r="O38" s="18">
        <f t="shared" si="31"/>
        <v>1.9473185748925648E-2</v>
      </c>
      <c r="P38" s="18">
        <f t="shared" si="31"/>
        <v>-1.9358819373596847E-2</v>
      </c>
      <c r="Q38" s="18">
        <f t="shared" si="31"/>
        <v>-1.3381065609718079E-2</v>
      </c>
      <c r="R38" s="40">
        <f t="shared" si="13"/>
        <v>-2.5817555938037917E-2</v>
      </c>
    </row>
    <row r="39" spans="1:18" x14ac:dyDescent="0.2">
      <c r="A39" s="9" t="str">
        <f t="shared" ref="A39:D39" si="32">A17</f>
        <v>SYK_TE</v>
      </c>
      <c r="B39" s="9" t="str">
        <f t="shared" si="32"/>
        <v>TRAUMA &amp; EXTREMITIES</v>
      </c>
      <c r="C39" s="9" t="str">
        <f t="shared" si="32"/>
        <v>2020Q1</v>
      </c>
      <c r="D39" s="9">
        <f t="shared" si="32"/>
        <v>20200423</v>
      </c>
      <c r="E39" s="18">
        <f t="shared" si="8"/>
        <v>-8.0447119148694846E-2</v>
      </c>
      <c r="F39" s="18">
        <f t="shared" ref="F39:J39" si="33">$S17/F17-1</f>
        <v>-8.5551146430986935E-2</v>
      </c>
      <c r="G39" s="18">
        <f t="shared" ref="G39:G44" si="34">$S17/G17-1</f>
        <v>-4.7008333556583737E-2</v>
      </c>
      <c r="H39" s="18">
        <f t="shared" si="33"/>
        <v>-3.3166156606035502E-2</v>
      </c>
      <c r="I39" s="18">
        <f t="shared" si="33"/>
        <v>0.35169967395964075</v>
      </c>
      <c r="J39" s="18">
        <f t="shared" si="33"/>
        <v>-6.2061275215826606E-2</v>
      </c>
      <c r="K39" s="18">
        <f t="shared" ref="K39:Q39" si="35">$S17/K17-1</f>
        <v>-2.7536917197839794E-2</v>
      </c>
      <c r="L39" s="18">
        <f t="shared" si="35"/>
        <v>-4.6775839549728859E-2</v>
      </c>
      <c r="M39" s="18">
        <f t="shared" si="35"/>
        <v>1.6180089768424999E-3</v>
      </c>
      <c r="N39" s="18">
        <f t="shared" si="35"/>
        <v>-2.8674297815237115E-2</v>
      </c>
      <c r="O39" s="18">
        <f t="shared" si="35"/>
        <v>-3.6512847514293512E-2</v>
      </c>
      <c r="P39" s="18">
        <f t="shared" si="35"/>
        <v>-2.5572442006442264E-2</v>
      </c>
      <c r="Q39" s="18">
        <f t="shared" si="35"/>
        <v>-2.7463358384886671E-2</v>
      </c>
      <c r="R39" s="40">
        <f t="shared" si="13"/>
        <v>0</v>
      </c>
    </row>
    <row r="40" spans="1:18" x14ac:dyDescent="0.2">
      <c r="A40" s="9" t="str">
        <f t="shared" ref="A40:D40" si="36">A18</f>
        <v>SYK_TE</v>
      </c>
      <c r="B40" s="9" t="str">
        <f t="shared" si="36"/>
        <v>TRAUMA &amp; EXTREMITIES</v>
      </c>
      <c r="C40" s="9" t="str">
        <f t="shared" si="36"/>
        <v>2020Q2</v>
      </c>
      <c r="D40" s="9">
        <f t="shared" si="36"/>
        <v>20200723</v>
      </c>
      <c r="E40" s="18">
        <f t="shared" si="8"/>
        <v>-0.14032073476125517</v>
      </c>
      <c r="F40" s="18">
        <f t="shared" ref="F40:J40" si="37">$S18/F18-1</f>
        <v>-0.13882980235473241</v>
      </c>
      <c r="G40" s="18">
        <f t="shared" si="34"/>
        <v>-1.2127230603652395E-2</v>
      </c>
      <c r="H40" s="18">
        <f t="shared" si="37"/>
        <v>-0.15103290010773518</v>
      </c>
      <c r="I40" s="18">
        <f t="shared" si="37"/>
        <v>0.1949947026401897</v>
      </c>
      <c r="J40" s="18">
        <f t="shared" si="37"/>
        <v>-0.11398832894097832</v>
      </c>
      <c r="K40" s="18">
        <f t="shared" ref="K40:Q40" si="38">$S18/K18-1</f>
        <v>-6.5111661177256419E-2</v>
      </c>
      <c r="L40" s="18">
        <f t="shared" si="38"/>
        <v>-5.8263133816400581E-2</v>
      </c>
      <c r="M40" s="18">
        <f t="shared" si="38"/>
        <v>3.6601687277191264E-2</v>
      </c>
      <c r="N40" s="18">
        <f t="shared" si="38"/>
        <v>-0.12191003067077311</v>
      </c>
      <c r="O40" s="18">
        <f t="shared" si="38"/>
        <v>-0.11593179634378603</v>
      </c>
      <c r="P40" s="18">
        <f t="shared" si="38"/>
        <v>-5.5362948935817169E-2</v>
      </c>
      <c r="Q40" s="18">
        <f t="shared" si="38"/>
        <v>-6.6116238544646211E-2</v>
      </c>
      <c r="R40" s="40">
        <f t="shared" ref="R40" si="39">$S18/R18-1</f>
        <v>0.22209165687426569</v>
      </c>
    </row>
    <row r="41" spans="1:18" x14ac:dyDescent="0.2">
      <c r="A41" s="9" t="str">
        <f t="shared" ref="A41:D41" si="40">A19</f>
        <v>SYK_TE</v>
      </c>
      <c r="B41" s="9" t="str">
        <f t="shared" si="40"/>
        <v>TRAUMA &amp; EXTREMITIES</v>
      </c>
      <c r="C41" s="9" t="str">
        <f t="shared" si="40"/>
        <v>2020Q3</v>
      </c>
      <c r="D41" s="9">
        <f t="shared" si="40"/>
        <v>20201022</v>
      </c>
      <c r="E41" s="18">
        <f t="shared" si="8"/>
        <v>8.0781261949898653E-2</v>
      </c>
      <c r="F41" s="18">
        <f t="shared" ref="F41:I41" si="41">$S19/F19-1</f>
        <v>7.3939990168376601E-2</v>
      </c>
      <c r="G41" s="18">
        <f t="shared" si="34"/>
        <v>5.8818723203502676E-2</v>
      </c>
      <c r="H41" s="18">
        <f t="shared" si="41"/>
        <v>9.4371395053624685E-2</v>
      </c>
      <c r="I41" s="18">
        <f t="shared" si="41"/>
        <v>0.54598619985402519</v>
      </c>
      <c r="J41" s="18">
        <f>$S19/J19-1</f>
        <v>7.6825399101197123E-2</v>
      </c>
      <c r="K41" s="18">
        <f t="shared" ref="K41:Q41" si="42">$S19/K19-1</f>
        <v>0.25719126382529534</v>
      </c>
      <c r="L41" s="18">
        <f t="shared" si="42"/>
        <v>0.2470705478486066</v>
      </c>
      <c r="M41" s="18">
        <f t="shared" si="42"/>
        <v>7.1816893839990792E-2</v>
      </c>
      <c r="N41" s="18">
        <f t="shared" si="42"/>
        <v>0.2890621971010443</v>
      </c>
      <c r="O41" s="18">
        <f t="shared" si="42"/>
        <v>0.29371803610372837</v>
      </c>
      <c r="P41" s="18">
        <f t="shared" si="42"/>
        <v>0.2153625446198717</v>
      </c>
      <c r="Q41" s="18">
        <f t="shared" si="42"/>
        <v>0.22403469938024312</v>
      </c>
      <c r="R41" s="40">
        <f>$S19/R19-1</f>
        <v>0.1305037683458945</v>
      </c>
    </row>
    <row r="42" spans="1:18" x14ac:dyDescent="0.2">
      <c r="A42" s="9" t="str">
        <f t="shared" ref="A42:D42" si="43">A20</f>
        <v>SYK_TE</v>
      </c>
      <c r="B42" s="9" t="str">
        <f t="shared" si="43"/>
        <v>TRAUMA &amp; EXTREMITIES</v>
      </c>
      <c r="C42" s="9" t="str">
        <f t="shared" si="43"/>
        <v>2020Q4</v>
      </c>
      <c r="D42" s="9">
        <f t="shared" si="43"/>
        <v>20210121</v>
      </c>
      <c r="E42" s="18">
        <f t="shared" ref="E42:I42" si="44">$S20/E20-1</f>
        <v>8.8668443055802459E-2</v>
      </c>
      <c r="F42" s="18">
        <f t="shared" si="44"/>
        <v>0.10529826671306464</v>
      </c>
      <c r="G42" s="18">
        <f t="shared" si="34"/>
        <v>-1.9410763928044417E-2</v>
      </c>
      <c r="H42" s="18">
        <f t="shared" si="44"/>
        <v>9.7096455501055612E-2</v>
      </c>
      <c r="I42" s="18">
        <f t="shared" si="44"/>
        <v>0.56878840041433243</v>
      </c>
      <c r="J42" s="18">
        <f>$S20/J20-1</f>
        <v>6.5365966326406566E-2</v>
      </c>
      <c r="K42" s="18">
        <f t="shared" ref="K42:Q42" si="45">$S20/K20-1</f>
        <v>7.2976664044619444E-3</v>
      </c>
      <c r="L42" s="18">
        <f t="shared" si="45"/>
        <v>2.9199281926145071E-2</v>
      </c>
      <c r="M42" s="18">
        <f t="shared" si="45"/>
        <v>-7.3883739885955535E-2</v>
      </c>
      <c r="N42" s="18">
        <f t="shared" si="45"/>
        <v>2.4900691481410941E-3</v>
      </c>
      <c r="O42" s="18">
        <f t="shared" si="45"/>
        <v>1.4749291140153886E-2</v>
      </c>
      <c r="P42" s="18">
        <f t="shared" si="45"/>
        <v>-1.0641867088532098E-2</v>
      </c>
      <c r="Q42" s="18">
        <f t="shared" si="45"/>
        <v>-6.2770019797563359E-3</v>
      </c>
      <c r="R42" s="40">
        <f>$S20/R20-1</f>
        <v>5.464480874316946E-2</v>
      </c>
    </row>
    <row r="43" spans="1:18" x14ac:dyDescent="0.2">
      <c r="A43" s="9" t="str">
        <f t="shared" ref="A43:D43" si="46">A21</f>
        <v>SYK_TE</v>
      </c>
      <c r="B43" s="9" t="str">
        <f t="shared" si="46"/>
        <v>TRAUMA &amp; EXTREMITIES</v>
      </c>
      <c r="C43" s="9" t="str">
        <f t="shared" si="46"/>
        <v>2021Q1</v>
      </c>
      <c r="D43" s="9">
        <f t="shared" si="46"/>
        <v>20210422</v>
      </c>
      <c r="E43" s="18">
        <f t="shared" ref="E43:J43" si="47">$S21/E21-1</f>
        <v>0.11348575445044684</v>
      </c>
      <c r="F43" s="18">
        <f t="shared" si="47"/>
        <v>0.14541317549720278</v>
      </c>
      <c r="G43" s="18">
        <f t="shared" si="34"/>
        <v>8.9225110180751743E-2</v>
      </c>
      <c r="H43" s="18">
        <f t="shared" si="47"/>
        <v>0.10507802969781177</v>
      </c>
      <c r="I43" s="18">
        <f t="shared" si="47"/>
        <v>0.6393028827234335</v>
      </c>
      <c r="J43" s="18">
        <f t="shared" si="47"/>
        <v>0.11292722707345737</v>
      </c>
      <c r="K43" s="18">
        <f t="shared" ref="K43:Q43" si="48">$S21/K21-1</f>
        <v>2.2796023484417782E-2</v>
      </c>
      <c r="L43" s="18">
        <f t="shared" si="48"/>
        <v>3.6293288420176095E-2</v>
      </c>
      <c r="M43" s="18">
        <f t="shared" si="48"/>
        <v>0.11078632123677967</v>
      </c>
      <c r="N43" s="18">
        <f t="shared" si="48"/>
        <v>7.2751800051260584E-3</v>
      </c>
      <c r="O43" s="18">
        <f t="shared" si="48"/>
        <v>4.4948370532620796E-2</v>
      </c>
      <c r="P43" s="18">
        <f t="shared" si="48"/>
        <v>4.4643120064226771E-2</v>
      </c>
      <c r="Q43" s="18">
        <f t="shared" si="48"/>
        <v>4.3481862220734246E-2</v>
      </c>
      <c r="R43" s="40">
        <f>$S21/R21-1</f>
        <v>1.3824884792626779E-2</v>
      </c>
    </row>
    <row r="44" spans="1:18" x14ac:dyDescent="0.2">
      <c r="A44" s="9" t="str">
        <f t="shared" ref="A44:D44" si="49">A22</f>
        <v>SYK_TE</v>
      </c>
      <c r="B44" s="9" t="str">
        <f t="shared" si="49"/>
        <v>TRAUMA &amp; EXTREMITIES</v>
      </c>
      <c r="C44" s="9" t="str">
        <f t="shared" si="49"/>
        <v>2021Q2</v>
      </c>
      <c r="D44" s="9">
        <f t="shared" si="49"/>
        <v>20210722</v>
      </c>
      <c r="E44" s="18">
        <f>$S22/E22-1</f>
        <v>-1.5377808655529734E-2</v>
      </c>
      <c r="F44" s="18">
        <f t="shared" ref="F44:J44" si="50">$S22/F22-1</f>
        <v>1.2418482834591682E-2</v>
      </c>
      <c r="G44" s="18">
        <f t="shared" si="34"/>
        <v>7.1967320442082983E-2</v>
      </c>
      <c r="H44" s="18">
        <f t="shared" si="50"/>
        <v>3.8398836912854062E-2</v>
      </c>
      <c r="I44" s="18">
        <f t="shared" si="50"/>
        <v>0.57934006673499794</v>
      </c>
      <c r="J44" s="18">
        <f t="shared" si="50"/>
        <v>2.5841671965651791E-2</v>
      </c>
      <c r="K44" s="18">
        <f t="shared" ref="K44:Q44" si="51">$S22/K22-1</f>
        <v>-0.11572987134404455</v>
      </c>
      <c r="L44" s="18">
        <f t="shared" si="51"/>
        <v>-0.11611067124741303</v>
      </c>
      <c r="M44" s="18">
        <f t="shared" si="51"/>
        <v>-1.5844098320323186E-2</v>
      </c>
      <c r="N44" s="18">
        <f t="shared" si="51"/>
        <v>-6.0338900053230948E-2</v>
      </c>
      <c r="O44" s="18">
        <f t="shared" si="51"/>
        <v>-3.6578241044032844E-2</v>
      </c>
      <c r="P44" s="18">
        <f t="shared" si="51"/>
        <v>-7.8249101099633345E-2</v>
      </c>
      <c r="Q44" s="18">
        <f t="shared" si="51"/>
        <v>-7.198474686869083E-2</v>
      </c>
      <c r="R44" s="40">
        <f>$S22/R22-1</f>
        <v>5.1582909010405187E-2</v>
      </c>
    </row>
    <row r="45" spans="1:18" x14ac:dyDescent="0.2">
      <c r="A45" s="177" t="s">
        <v>78</v>
      </c>
      <c r="B45" s="177"/>
      <c r="C45" s="173"/>
      <c r="D45" s="174"/>
      <c r="E45" s="73" cm="1">
        <f t="array" ref="E45">SUM(ABS(E28:E44))/COUNT(E28:E44)</f>
        <v>6.9439041025309345E-2</v>
      </c>
      <c r="F45" s="73" cm="1">
        <f t="array" ref="F45">SUM(ABS(F28:F44))/COUNT(F28:F44)</f>
        <v>6.8624090332325194E-2</v>
      </c>
      <c r="G45" s="110" cm="1">
        <f t="array" ref="G45">SUM(ABS(G28:G44))/COUNT(G28:G44)</f>
        <v>4.6885473910729995E-2</v>
      </c>
      <c r="H45" s="73" cm="1">
        <f t="array" ref="H45">SUM(ABS(H28:H44))/COUNT(H28:H44)</f>
        <v>5.1739071812448287E-2</v>
      </c>
      <c r="I45" s="73" cm="1">
        <f t="array" ref="I45">SUM(ABS(I28:I44))/COUNT(I28:I44)</f>
        <v>0.40030720841516432</v>
      </c>
      <c r="J45" s="110" cm="1">
        <f t="array" ref="J45">SUM(ABS(J28:J44))/COUNT(J28:J44)</f>
        <v>4.6929430485774887E-2</v>
      </c>
      <c r="K45" s="73" cm="1">
        <f t="array" ref="K45">SUM(ABS(K28:K44))/COUNT(K28:K44)</f>
        <v>6.2769973828853118E-2</v>
      </c>
      <c r="L45" s="73" cm="1">
        <f t="array" ref="L45">SUM(ABS(L28:L44))/COUNT(L28:L44)</f>
        <v>6.4018204932341699E-2</v>
      </c>
      <c r="M45" s="73" cm="1">
        <f t="array" ref="M45">SUM(ABS(M28:M44))/COUNT(M28:M44)</f>
        <v>4.9245291398349315E-2</v>
      </c>
      <c r="N45" s="73" cm="1">
        <f t="array" ref="N45">SUM(ABS(N28:N44))/COUNT(N28:N44)</f>
        <v>6.7973009097561571E-2</v>
      </c>
      <c r="O45" s="73" cm="1">
        <f t="array" ref="O45">SUM(ABS(O28:O44))/COUNT(O28:O44)</f>
        <v>7.4410275270623855E-2</v>
      </c>
      <c r="P45" s="73" cm="1">
        <f t="array" ref="P45">SUM(ABS(P28:P44))/COUNT(P28:P44)</f>
        <v>5.705983962344946E-2</v>
      </c>
      <c r="Q45" s="73" cm="1">
        <f t="array" ref="Q45">SUM(ABS(Q28:Q44))/COUNT(Q28:Q44)</f>
        <v>5.786844596912092E-2</v>
      </c>
      <c r="R45" s="110" cm="1">
        <f t="array" ref="R45">SUM(ABS(R28:R44))/COUNT(R28:R44)</f>
        <v>4.6459582962714081E-2</v>
      </c>
    </row>
    <row r="46" spans="1:18" x14ac:dyDescent="0.2">
      <c r="A46" s="178" t="s">
        <v>79</v>
      </c>
      <c r="B46" s="178"/>
      <c r="C46" s="175"/>
      <c r="D46" s="176"/>
      <c r="E46" s="74" cm="1">
        <f t="array" ref="E46">SQRT(SUM(POWER(E28:E44,2))/COUNT(E28:E44))</f>
        <v>7.6645653946989536E-2</v>
      </c>
      <c r="F46" s="74" cm="1">
        <f t="array" ref="F46">SQRT(SUM(POWER(F28:F44,2))/COUNT(F28:F44))</f>
        <v>7.8398308694763372E-2</v>
      </c>
      <c r="G46" s="111" cm="1">
        <f t="array" ref="G46">SQRT(SUM(POWER(G28:G44,2))/COUNT(G28:G44))</f>
        <v>5.6375397141840408E-2</v>
      </c>
      <c r="H46" s="74" cm="1">
        <f t="array" ref="H46">SQRT(SUM(POWER(H28:H44,2))/COUNT(H28:H44))</f>
        <v>6.8097404270906867E-2</v>
      </c>
      <c r="I46" s="74" cm="1">
        <f t="array" ref="I46">SQRT(SUM(POWER(I28:I44,2))/COUNT(I28:I44))</f>
        <v>0.42041028557937676</v>
      </c>
      <c r="J46" s="111" cm="1">
        <f t="array" ref="J46">SQRT(SUM(POWER(J28:J44,2))/COUNT(J28:J44))</f>
        <v>5.7679207722656729E-2</v>
      </c>
      <c r="K46" s="74" cm="1">
        <f t="array" ref="K46">SQRT(SUM(POWER(K28:K44,2))/COUNT(K28:K44))</f>
        <v>8.9390066458688591E-2</v>
      </c>
      <c r="L46" s="74" cm="1">
        <f t="array" ref="L46">SQRT(SUM(POWER(L28:L44,2))/COUNT(L28:L44))</f>
        <v>8.6297172266652095E-2</v>
      </c>
      <c r="M46" s="74" cm="1">
        <f t="array" ref="M46">SQRT(SUM(POWER(M28:M44,2))/COUNT(M28:M44))</f>
        <v>5.7069521747319309E-2</v>
      </c>
      <c r="N46" s="74" cm="1">
        <f t="array" ref="N46">SQRT(SUM(POWER(N28:N44,2))/COUNT(N28:N44))</f>
        <v>9.8277222010506829E-2</v>
      </c>
      <c r="O46" s="74" cm="1">
        <f t="array" ref="O46">SQRT(SUM(POWER(O28:O44,2))/COUNT(O28:O44))</f>
        <v>0.10053508667034218</v>
      </c>
      <c r="P46" s="74" cm="1">
        <f t="array" ref="P46">SQRT(SUM(POWER(P28:P44,2))/COUNT(P28:P44))</f>
        <v>7.4170055433746884E-2</v>
      </c>
      <c r="Q46" s="74" cm="1">
        <f t="array" ref="Q46">SQRT(SUM(POWER(Q28:Q44,2))/COUNT(Q28:Q44))</f>
        <v>7.5941417401534275E-2</v>
      </c>
      <c r="R46" s="111" cm="1">
        <f t="array" ref="R46">SQRT(SUM(POWER(R28:R44,2))/COUNT(R28:R44))</f>
        <v>7.1361020360480129E-2</v>
      </c>
    </row>
    <row r="47" spans="1:18" x14ac:dyDescent="0.2">
      <c r="I47" s="3"/>
      <c r="J47" s="3"/>
    </row>
    <row r="48" spans="1:18" x14ac:dyDescent="0.2">
      <c r="B48" t="s">
        <v>158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1"/>
  <sheetViews>
    <sheetView zoomScale="85" zoomScaleNormal="85" workbookViewId="0">
      <selection activeCell="C12" sqref="C12"/>
    </sheetView>
  </sheetViews>
  <sheetFormatPr defaultRowHeight="12.75" x14ac:dyDescent="0.2"/>
  <cols>
    <col min="1" max="1" width="9.140625" style="67"/>
    <col min="3" max="3" width="13.140625" bestFit="1" customWidth="1"/>
    <col min="4" max="4" width="8.85546875" customWidth="1"/>
    <col min="5" max="5" width="8.42578125" customWidth="1"/>
    <col min="6" max="6" width="8.7109375" bestFit="1" customWidth="1"/>
    <col min="7" max="7" width="14.7109375" bestFit="1" customWidth="1"/>
    <col min="8" max="8" width="8.42578125" bestFit="1" customWidth="1"/>
    <col min="9" max="9" width="7.7109375" bestFit="1" customWidth="1"/>
    <col min="10" max="10" width="12.140625" bestFit="1" customWidth="1"/>
    <col min="11" max="11" width="12.7109375" bestFit="1" customWidth="1"/>
    <col min="12" max="12" width="7.5703125" bestFit="1" customWidth="1"/>
    <col min="13" max="13" width="8.42578125" bestFit="1" customWidth="1"/>
  </cols>
  <sheetData>
    <row r="1" spans="1:17" x14ac:dyDescent="0.2">
      <c r="A1" s="67" t="s">
        <v>104</v>
      </c>
      <c r="B1" t="s">
        <v>84</v>
      </c>
    </row>
    <row r="2" spans="1:17" x14ac:dyDescent="0.2">
      <c r="A2" s="67" t="s">
        <v>99</v>
      </c>
      <c r="B2" t="s">
        <v>82</v>
      </c>
    </row>
    <row r="3" spans="1:17" x14ac:dyDescent="0.2">
      <c r="A3" s="67" t="s">
        <v>100</v>
      </c>
      <c r="B3" t="s">
        <v>147</v>
      </c>
    </row>
    <row r="4" spans="1:17" x14ac:dyDescent="0.2">
      <c r="A4" s="67" t="s">
        <v>101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102</v>
      </c>
      <c r="B7" s="179" t="s">
        <v>83</v>
      </c>
      <c r="C7" s="179"/>
      <c r="D7" s="179" t="s">
        <v>112</v>
      </c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6"/>
      <c r="P7" s="6"/>
      <c r="Q7" s="6"/>
    </row>
    <row r="8" spans="1:17" ht="15" x14ac:dyDescent="0.2">
      <c r="A8" s="67" t="s">
        <v>60</v>
      </c>
      <c r="C8" s="71" t="s">
        <v>85</v>
      </c>
      <c r="D8" s="71" t="s">
        <v>86</v>
      </c>
      <c r="E8" s="71" t="s">
        <v>87</v>
      </c>
      <c r="F8" s="71" t="s">
        <v>88</v>
      </c>
      <c r="G8" s="71" t="s">
        <v>89</v>
      </c>
      <c r="H8" s="71" t="s">
        <v>90</v>
      </c>
      <c r="I8" s="71" t="s">
        <v>91</v>
      </c>
      <c r="J8" s="71" t="s">
        <v>92</v>
      </c>
      <c r="K8" s="71" t="s">
        <v>93</v>
      </c>
      <c r="L8" s="71" t="s">
        <v>94</v>
      </c>
      <c r="M8" s="71" t="s">
        <v>95</v>
      </c>
      <c r="O8" s="6"/>
      <c r="P8" s="6"/>
      <c r="Q8" s="6"/>
    </row>
    <row r="9" spans="1:17" ht="15" x14ac:dyDescent="0.2">
      <c r="B9" s="71" t="s">
        <v>96</v>
      </c>
      <c r="C9" s="2">
        <v>5.4198982066995298E-2</v>
      </c>
      <c r="D9" s="2">
        <v>4.1395216481460093E-2</v>
      </c>
      <c r="E9" s="2">
        <v>5.7898183852026698E-2</v>
      </c>
      <c r="F9" s="2">
        <v>6.5086469438666056E-2</v>
      </c>
      <c r="G9" s="2">
        <v>4.3337315973051481E-2</v>
      </c>
      <c r="H9" s="2">
        <v>5.795794616012747E-2</v>
      </c>
      <c r="I9" s="2">
        <v>5.8320110018142433E-2</v>
      </c>
      <c r="J9" s="2">
        <v>4.339964333771508E-2</v>
      </c>
      <c r="K9" s="2">
        <v>4.7930487261877923E-2</v>
      </c>
      <c r="L9" s="2">
        <v>6.1091940851424241E-2</v>
      </c>
      <c r="M9" s="2">
        <v>9.8706381492521769E-2</v>
      </c>
      <c r="O9" s="6"/>
      <c r="P9" s="6"/>
      <c r="Q9" s="6"/>
    </row>
    <row r="10" spans="1:17" ht="15" x14ac:dyDescent="0.2">
      <c r="B10" s="71" t="s">
        <v>97</v>
      </c>
      <c r="C10" s="2">
        <v>7.5301219917391207E-2</v>
      </c>
      <c r="D10" s="2">
        <v>4.7608371932119968E-2</v>
      </c>
      <c r="E10" s="2">
        <v>6.9379343432973001E-2</v>
      </c>
      <c r="F10" s="2">
        <v>8.9282172247193606E-2</v>
      </c>
      <c r="G10" s="2">
        <v>5.4589825786402722E-2</v>
      </c>
      <c r="H10" s="2">
        <v>6.9423866401992537E-2</v>
      </c>
      <c r="I10" s="2">
        <v>7.0398744254723769E-2</v>
      </c>
      <c r="J10" s="2">
        <v>5.4597442993884443E-2</v>
      </c>
      <c r="K10" s="2">
        <v>5.7025207219172237E-2</v>
      </c>
      <c r="L10" s="2">
        <v>8.1119050165450096E-2</v>
      </c>
      <c r="M10" s="2">
        <v>0.13108003929227099</v>
      </c>
      <c r="O10" s="6"/>
      <c r="P10" s="6"/>
      <c r="Q10" s="6"/>
    </row>
    <row r="11" spans="1:17" ht="15" x14ac:dyDescent="0.2">
      <c r="B11" s="71" t="s">
        <v>98</v>
      </c>
      <c r="C11" s="2">
        <v>-6.8181818181818343E-3</v>
      </c>
      <c r="D11" s="2">
        <v>1.4261213598900979E-2</v>
      </c>
      <c r="E11" s="2">
        <v>-1.433799376780925E-2</v>
      </c>
      <c r="F11" s="2">
        <v>-3.4331823316521959E-2</v>
      </c>
      <c r="G11" s="2">
        <v>-1.2428450467487809E-2</v>
      </c>
      <c r="H11" s="2">
        <v>-1.4523179383537249E-2</v>
      </c>
      <c r="I11" s="2">
        <v>-1.4553103992873181E-2</v>
      </c>
      <c r="J11" s="2">
        <v>-1.2564670277472319E-2</v>
      </c>
      <c r="K11" s="2">
        <v>-1.7045196275433269E-2</v>
      </c>
      <c r="L11" s="2">
        <v>1.0055273030124431E-2</v>
      </c>
      <c r="M11" s="2">
        <v>1.996138371217171E-2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O15" s="6"/>
      <c r="P15" s="6"/>
      <c r="Q15" s="6"/>
    </row>
    <row r="16" spans="1:17" x14ac:dyDescent="0.2">
      <c r="A16" s="67" t="s">
        <v>103</v>
      </c>
      <c r="B16" t="s">
        <v>139</v>
      </c>
      <c r="O16" s="6"/>
      <c r="P16" s="6"/>
      <c r="Q16" s="6"/>
    </row>
    <row r="17" spans="1:17" x14ac:dyDescent="0.2">
      <c r="B17" t="s">
        <v>140</v>
      </c>
      <c r="H17" s="68" t="s">
        <v>106</v>
      </c>
      <c r="O17" s="6"/>
      <c r="P17" s="6"/>
      <c r="Q17" s="6"/>
    </row>
    <row r="18" spans="1:17" x14ac:dyDescent="0.2">
      <c r="H18" s="68"/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A21" s="67" t="s">
        <v>105</v>
      </c>
      <c r="B21" s="180" t="s">
        <v>108</v>
      </c>
      <c r="C21" s="180"/>
      <c r="D21" s="180"/>
      <c r="E21" s="180"/>
      <c r="F21" s="66" t="e">
        <f>#REF!+#REF!*'2. Past Proj &amp; Candidate Model'!R22</f>
        <v>#REF!</v>
      </c>
      <c r="G21" s="69" t="s">
        <v>109</v>
      </c>
      <c r="H21" s="2" t="e">
        <f>'2. Past Proj &amp; Candidate Model'!S22/'3. Improved Alpha Model'!F21-1</f>
        <v>#REF!</v>
      </c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B25" s="181" t="s">
        <v>159</v>
      </c>
      <c r="C25" s="181"/>
      <c r="D25" s="181"/>
      <c r="E25" s="3">
        <f>C9</f>
        <v>5.4198982066995298E-2</v>
      </c>
      <c r="F25" t="s">
        <v>110</v>
      </c>
      <c r="G25" s="181" t="s">
        <v>111</v>
      </c>
      <c r="H25" s="181"/>
      <c r="I25" s="3" t="e">
        <f>#REF!</f>
        <v>#REF!</v>
      </c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A28" s="67" t="s">
        <v>107</v>
      </c>
      <c r="B28" t="s">
        <v>113</v>
      </c>
      <c r="O28" s="6"/>
      <c r="P28" s="6"/>
      <c r="Q28" s="6"/>
    </row>
    <row r="29" spans="1:17" x14ac:dyDescent="0.2">
      <c r="B29" t="s">
        <v>114</v>
      </c>
      <c r="O29" s="6"/>
      <c r="P29" s="6"/>
      <c r="Q29" s="6"/>
    </row>
    <row r="30" spans="1:17" x14ac:dyDescent="0.2">
      <c r="B30" t="s">
        <v>115</v>
      </c>
      <c r="O30" s="6"/>
      <c r="P30" s="6"/>
      <c r="Q30" s="6"/>
    </row>
    <row r="31" spans="1:17" x14ac:dyDescent="0.2">
      <c r="B31" t="s">
        <v>116</v>
      </c>
      <c r="O31" s="6"/>
      <c r="P31" s="6"/>
      <c r="Q31" s="6"/>
    </row>
    <row r="32" spans="1:17" x14ac:dyDescent="0.2">
      <c r="B32" t="s">
        <v>117</v>
      </c>
      <c r="O32" s="6"/>
      <c r="P32" s="6"/>
      <c r="Q32" s="6"/>
    </row>
    <row r="33" spans="2:17" x14ac:dyDescent="0.2">
      <c r="B33" t="s">
        <v>118</v>
      </c>
      <c r="O33" s="6"/>
      <c r="P33" s="6"/>
      <c r="Q33" s="6"/>
    </row>
    <row r="34" spans="2:17" x14ac:dyDescent="0.2">
      <c r="B34" t="s">
        <v>119</v>
      </c>
      <c r="O34" s="6"/>
      <c r="P34" s="6"/>
      <c r="Q34" s="6"/>
    </row>
    <row r="35" spans="2:17" x14ac:dyDescent="0.2">
      <c r="B35" t="s">
        <v>120</v>
      </c>
      <c r="O35" s="6"/>
      <c r="P35" s="6"/>
      <c r="Q35" s="6"/>
    </row>
    <row r="36" spans="2:17" x14ac:dyDescent="0.2">
      <c r="B36" t="s">
        <v>121</v>
      </c>
      <c r="O36" s="6"/>
      <c r="P36" s="6"/>
      <c r="Q36" s="6"/>
    </row>
    <row r="37" spans="2:17" x14ac:dyDescent="0.2">
      <c r="B37" t="s">
        <v>122</v>
      </c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  <c r="Q39" s="6"/>
    </row>
    <row r="40" spans="2:17" x14ac:dyDescent="0.2">
      <c r="O40" s="6"/>
      <c r="P40" s="6"/>
    </row>
    <row r="41" spans="2:17" x14ac:dyDescent="0.2">
      <c r="O41" s="6"/>
      <c r="P41" s="6"/>
    </row>
  </sheetData>
  <mergeCells count="5">
    <mergeCell ref="D7:N7"/>
    <mergeCell ref="B7:C7"/>
    <mergeCell ref="B21:E21"/>
    <mergeCell ref="B25:D25"/>
    <mergeCell ref="G25:H25"/>
  </mergeCells>
  <conditionalFormatting sqref="C9:K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9"/>
  <sheetViews>
    <sheetView tabSelected="1" zoomScale="85" zoomScaleNormal="85" workbookViewId="0">
      <selection activeCell="M15" sqref="M15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18" max="18" width="10.7109375" customWidth="1"/>
    <col min="19" max="19" width="12" customWidth="1"/>
    <col min="23" max="23" width="16.28515625" customWidth="1"/>
  </cols>
  <sheetData>
    <row r="1" spans="1:25" x14ac:dyDescent="0.2">
      <c r="A1" s="67" t="s">
        <v>124</v>
      </c>
      <c r="B1" t="s">
        <v>84</v>
      </c>
    </row>
    <row r="2" spans="1:25" x14ac:dyDescent="0.2">
      <c r="A2" s="67" t="s">
        <v>99</v>
      </c>
      <c r="B2" s="75" t="s">
        <v>160</v>
      </c>
      <c r="C2" s="76" t="str">
        <f>D5</f>
        <v>PROJ</v>
      </c>
      <c r="D2" t="s">
        <v>161</v>
      </c>
    </row>
    <row r="4" spans="1:25" x14ac:dyDescent="0.2">
      <c r="A4" s="67" t="s">
        <v>100</v>
      </c>
      <c r="B4" t="s">
        <v>123</v>
      </c>
    </row>
    <row r="5" spans="1:25" ht="15" x14ac:dyDescent="0.2">
      <c r="A5" s="67" t="s">
        <v>60</v>
      </c>
      <c r="C5" s="71" t="s">
        <v>85</v>
      </c>
      <c r="D5" s="71" t="s">
        <v>86</v>
      </c>
      <c r="E5" s="71" t="s">
        <v>87</v>
      </c>
      <c r="F5" s="71" t="s">
        <v>88</v>
      </c>
      <c r="G5" s="71" t="s">
        <v>89</v>
      </c>
      <c r="H5" s="71" t="s">
        <v>90</v>
      </c>
      <c r="I5" s="71" t="s">
        <v>91</v>
      </c>
      <c r="J5" s="71" t="s">
        <v>92</v>
      </c>
      <c r="K5" s="71" t="s">
        <v>93</v>
      </c>
      <c r="L5" s="71" t="s">
        <v>94</v>
      </c>
      <c r="M5" s="71" t="s">
        <v>95</v>
      </c>
    </row>
    <row r="6" spans="1:25" ht="15" x14ac:dyDescent="0.2">
      <c r="B6" s="71" t="s">
        <v>96</v>
      </c>
      <c r="C6" s="2">
        <v>4.9271801879086641E-2</v>
      </c>
      <c r="D6" s="2">
        <v>4.8960695869357251E-2</v>
      </c>
      <c r="E6" s="2">
        <v>6.1118758594903969E-2</v>
      </c>
      <c r="F6" s="2">
        <v>6.0975487307463473E-2</v>
      </c>
      <c r="G6" s="2">
        <v>4.2544928386231473E-2</v>
      </c>
      <c r="H6" s="2">
        <v>6.1173091563407618E-2</v>
      </c>
      <c r="I6" s="2">
        <v>6.1502385667240783E-2</v>
      </c>
      <c r="J6" s="2">
        <v>4.2601910441048989E-2</v>
      </c>
      <c r="K6" s="2">
        <v>4.6721056929850353E-2</v>
      </c>
      <c r="L6" s="2">
        <v>6.2961142438821616E-2</v>
      </c>
      <c r="M6" s="2">
        <v>9.7254022128714451E-2</v>
      </c>
    </row>
    <row r="7" spans="1:25" ht="15" x14ac:dyDescent="0.2">
      <c r="B7" s="71" t="s">
        <v>97</v>
      </c>
      <c r="C7" s="2">
        <v>7.1796896115787601E-2</v>
      </c>
      <c r="D7" s="2">
        <v>5.8925678200661087E-2</v>
      </c>
      <c r="E7" s="2">
        <v>7.1886524452505512E-2</v>
      </c>
      <c r="F7" s="2">
        <v>8.5337675521327816E-2</v>
      </c>
      <c r="G7" s="2">
        <v>5.3085786551199179E-2</v>
      </c>
      <c r="H7" s="2">
        <v>7.1925594807636883E-2</v>
      </c>
      <c r="I7" s="2">
        <v>7.2781999576114462E-2</v>
      </c>
      <c r="J7" s="2">
        <v>5.3093116705875743E-2</v>
      </c>
      <c r="K7" s="2">
        <v>5.5364703762196502E-2</v>
      </c>
      <c r="L7" s="2">
        <v>8.1167750682769491E-2</v>
      </c>
      <c r="M7" s="2">
        <v>0.1274448511056942</v>
      </c>
    </row>
    <row r="8" spans="1:25" ht="15" x14ac:dyDescent="0.2">
      <c r="B8" s="71" t="s">
        <v>98</v>
      </c>
      <c r="C8" s="2">
        <v>0</v>
      </c>
      <c r="D8" s="2">
        <v>1.2276105769230661E-2</v>
      </c>
      <c r="E8" s="2">
        <v>-1.6726401839792241E-2</v>
      </c>
      <c r="F8" s="2">
        <v>-2.6599540589177791E-2</v>
      </c>
      <c r="G8" s="2">
        <v>-1.62169047068037E-2</v>
      </c>
      <c r="H8" s="2">
        <v>-1.6828785498950949E-2</v>
      </c>
      <c r="I8" s="2">
        <v>-1.715174256020513E-2</v>
      </c>
      <c r="J8" s="2">
        <v>-1.629622356501792E-2</v>
      </c>
      <c r="K8" s="2">
        <v>-1.8312189325567E-2</v>
      </c>
      <c r="L8" s="2">
        <v>1.882732105678242E-3</v>
      </c>
      <c r="M8" s="2">
        <v>1.4222418019750551E-2</v>
      </c>
    </row>
    <row r="10" spans="1:25" ht="15" x14ac:dyDescent="0.2">
      <c r="A10" s="67" t="s">
        <v>101</v>
      </c>
      <c r="B10" s="72" t="s">
        <v>162</v>
      </c>
    </row>
    <row r="12" spans="1:25" x14ac:dyDescent="0.2">
      <c r="A12" s="67" t="s">
        <v>102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85</v>
      </c>
      <c r="E13" s="71" t="s">
        <v>86</v>
      </c>
      <c r="F13" s="71" t="s">
        <v>87</v>
      </c>
      <c r="G13" s="71" t="s">
        <v>88</v>
      </c>
      <c r="H13" s="71" t="s">
        <v>89</v>
      </c>
      <c r="I13" s="71" t="s">
        <v>90</v>
      </c>
      <c r="J13" s="71" t="s">
        <v>91</v>
      </c>
      <c r="K13" s="71" t="s">
        <v>92</v>
      </c>
      <c r="L13" s="71" t="s">
        <v>93</v>
      </c>
      <c r="M13" s="71" t="s">
        <v>94</v>
      </c>
      <c r="N13" s="71" t="s">
        <v>95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168</v>
      </c>
      <c r="C14">
        <v>228</v>
      </c>
      <c r="D14">
        <v>228</v>
      </c>
      <c r="E14">
        <v>203.42874499999999</v>
      </c>
      <c r="P14" s="2">
        <f>E14/C14-1</f>
        <v>-0.10776866228070181</v>
      </c>
    </row>
    <row r="15" spans="1:25" x14ac:dyDescent="0.2">
      <c r="B15" t="s">
        <v>169</v>
      </c>
      <c r="C15">
        <v>237</v>
      </c>
      <c r="D15">
        <v>242.3</v>
      </c>
      <c r="E15">
        <v>228.285539</v>
      </c>
      <c r="P15" s="2">
        <f t="shared" ref="P15:P20" si="0">E15/C15-1</f>
        <v>-3.6769877637130799E-2</v>
      </c>
    </row>
    <row r="16" spans="1:25" x14ac:dyDescent="0.2">
      <c r="B16" t="s">
        <v>167</v>
      </c>
      <c r="C16">
        <v>257</v>
      </c>
      <c r="D16">
        <v>254.4</v>
      </c>
      <c r="E16">
        <v>247.008679</v>
      </c>
      <c r="P16" s="2">
        <f t="shared" si="0"/>
        <v>-3.8876735408560292E-2</v>
      </c>
    </row>
    <row r="17" spans="2:25" x14ac:dyDescent="0.2">
      <c r="B17" t="s">
        <v>42</v>
      </c>
      <c r="C17">
        <v>245</v>
      </c>
      <c r="D17">
        <v>251</v>
      </c>
      <c r="E17">
        <v>228.58111199999999</v>
      </c>
      <c r="P17" s="2">
        <f t="shared" si="0"/>
        <v>-6.7015869387755167E-2</v>
      </c>
    </row>
    <row r="18" spans="2:25" x14ac:dyDescent="0.2">
      <c r="B18" t="s">
        <v>43</v>
      </c>
      <c r="C18">
        <v>242</v>
      </c>
      <c r="D18">
        <v>258.2</v>
      </c>
      <c r="E18">
        <v>239.598366</v>
      </c>
      <c r="P18" s="2">
        <f t="shared" si="0"/>
        <v>-9.9241074380165273E-3</v>
      </c>
    </row>
    <row r="19" spans="2:25" x14ac:dyDescent="0.2">
      <c r="B19" t="s">
        <v>44</v>
      </c>
      <c r="C19">
        <v>242</v>
      </c>
      <c r="D19">
        <v>259.60000000000002</v>
      </c>
      <c r="E19">
        <v>223.715611</v>
      </c>
      <c r="P19" s="2">
        <f t="shared" si="0"/>
        <v>-7.5555326446281046E-2</v>
      </c>
    </row>
    <row r="20" spans="2:25" x14ac:dyDescent="0.2">
      <c r="B20" t="s">
        <v>45</v>
      </c>
      <c r="C20">
        <v>272</v>
      </c>
      <c r="D20">
        <v>270.60000000000002</v>
      </c>
      <c r="E20">
        <v>268.66537</v>
      </c>
      <c r="P20" s="2">
        <f t="shared" si="0"/>
        <v>-1.2259669117647087E-2</v>
      </c>
    </row>
    <row r="21" spans="2:25" x14ac:dyDescent="0.2">
      <c r="B21" t="s">
        <v>46</v>
      </c>
      <c r="C21">
        <v>254</v>
      </c>
      <c r="D21">
        <v>267.3</v>
      </c>
      <c r="E21">
        <v>266.38282199999998</v>
      </c>
      <c r="F21">
        <v>267.61535869394379</v>
      </c>
      <c r="G21">
        <v>259.46257784314162</v>
      </c>
      <c r="H21">
        <v>267.38081608634508</v>
      </c>
      <c r="I21">
        <v>267.615272955531</v>
      </c>
      <c r="J21">
        <v>266.89266042834419</v>
      </c>
      <c r="K21">
        <v>267.27514303382719</v>
      </c>
      <c r="L21">
        <v>266.71626085168492</v>
      </c>
      <c r="M21">
        <v>269.84502458157249</v>
      </c>
      <c r="N21">
        <v>269.79477910718418</v>
      </c>
      <c r="O21" s="2">
        <v>5.2362204724409438E-2</v>
      </c>
      <c r="P21" s="2">
        <v>4.8751267716535367E-2</v>
      </c>
      <c r="Q21" s="2">
        <v>5.3603774385605478E-2</v>
      </c>
      <c r="R21" s="2">
        <v>2.150621198087244E-2</v>
      </c>
      <c r="S21" s="2">
        <v>5.2680378292697227E-2</v>
      </c>
      <c r="T21" s="2">
        <v>5.3603436832799112E-2</v>
      </c>
      <c r="U21" s="2">
        <v>5.0758505623402561E-2</v>
      </c>
      <c r="V21" s="2">
        <v>5.2264342652863283E-2</v>
      </c>
      <c r="W21" s="2">
        <v>5.006401910112146E-2</v>
      </c>
      <c r="X21" s="2">
        <v>6.238198654162419E-2</v>
      </c>
      <c r="Y21" s="2">
        <v>6.2184169713323863E-2</v>
      </c>
    </row>
    <row r="22" spans="2:25" x14ac:dyDescent="0.2">
      <c r="B22" t="s">
        <v>47</v>
      </c>
      <c r="C22">
        <v>252</v>
      </c>
      <c r="D22">
        <v>261.60000000000002</v>
      </c>
      <c r="E22">
        <v>256.09407299999998</v>
      </c>
      <c r="F22">
        <v>257.04119481604619</v>
      </c>
      <c r="G22">
        <v>253.3891669909444</v>
      </c>
      <c r="H22">
        <v>256.70882486547612</v>
      </c>
      <c r="I22">
        <v>257.01224267772722</v>
      </c>
      <c r="J22">
        <v>256.62220484662771</v>
      </c>
      <c r="K22">
        <v>256.67866224767778</v>
      </c>
      <c r="L22">
        <v>256.53161645724367</v>
      </c>
      <c r="M22">
        <v>256.91808153668939</v>
      </c>
      <c r="N22">
        <v>255.58404934097709</v>
      </c>
      <c r="O22" s="2">
        <v>3.8095238095238182E-2</v>
      </c>
      <c r="P22" s="2">
        <v>1.6246321428571301E-2</v>
      </c>
      <c r="Q22" s="2">
        <v>2.000474133351671E-2</v>
      </c>
      <c r="R22" s="2">
        <v>5.5125674243825529E-3</v>
      </c>
      <c r="S22" s="2">
        <v>1.8685812958238349E-2</v>
      </c>
      <c r="T22" s="2">
        <v>1.9889851895742879E-2</v>
      </c>
      <c r="U22" s="2">
        <v>1.834208272471316E-2</v>
      </c>
      <c r="V22" s="2">
        <v>1.8566120030467651E-2</v>
      </c>
      <c r="W22" s="2">
        <v>1.798260498906212E-2</v>
      </c>
      <c r="X22" s="2">
        <v>1.951619657416415E-2</v>
      </c>
      <c r="Y22" s="2">
        <v>1.4222418019750551E-2</v>
      </c>
    </row>
    <row r="23" spans="2:25" x14ac:dyDescent="0.2">
      <c r="B23" t="s">
        <v>48</v>
      </c>
      <c r="C23">
        <v>262</v>
      </c>
      <c r="D23">
        <v>265.5</v>
      </c>
      <c r="E23">
        <v>258.87479400000001</v>
      </c>
      <c r="F23">
        <v>257.61768271797439</v>
      </c>
      <c r="G23">
        <v>256.34405047834252</v>
      </c>
      <c r="H23">
        <v>257.75117096681743</v>
      </c>
      <c r="I23">
        <v>257.59085819927492</v>
      </c>
      <c r="J23">
        <v>257.50624344922619</v>
      </c>
      <c r="K23">
        <v>257.73038942596531</v>
      </c>
      <c r="L23">
        <v>257.20220639670151</v>
      </c>
      <c r="M23">
        <v>257.61668655610617</v>
      </c>
      <c r="N23">
        <v>256.02414222995372</v>
      </c>
      <c r="O23" s="2">
        <v>1.3358778625954139E-2</v>
      </c>
      <c r="P23" s="2">
        <v>-1.192826717557249E-2</v>
      </c>
      <c r="Q23" s="2">
        <v>-1.6726401839792241E-2</v>
      </c>
      <c r="R23" s="2">
        <v>-2.1587593594112778E-2</v>
      </c>
      <c r="S23" s="2">
        <v>-1.62169047068037E-2</v>
      </c>
      <c r="T23" s="2">
        <v>-1.6828785498950949E-2</v>
      </c>
      <c r="U23" s="2">
        <v>-1.715174256020513E-2</v>
      </c>
      <c r="V23" s="2">
        <v>-1.629622356501792E-2</v>
      </c>
      <c r="W23" s="2">
        <v>-1.8312189325567E-2</v>
      </c>
      <c r="X23" s="2">
        <v>-1.6730203984327341E-2</v>
      </c>
      <c r="Y23" s="2">
        <v>-2.280861744292495E-2</v>
      </c>
    </row>
    <row r="24" spans="2:25" x14ac:dyDescent="0.2">
      <c r="B24" t="s">
        <v>49</v>
      </c>
      <c r="C24">
        <v>283</v>
      </c>
      <c r="D24">
        <v>290.5</v>
      </c>
      <c r="E24">
        <v>297.44005800000002</v>
      </c>
      <c r="F24">
        <v>279.61826724808122</v>
      </c>
      <c r="G24">
        <v>278.42033887993227</v>
      </c>
      <c r="H24">
        <v>280.55488106742729</v>
      </c>
      <c r="I24">
        <v>279.54242676512098</v>
      </c>
      <c r="J24">
        <v>279.61688628457182</v>
      </c>
      <c r="K24">
        <v>280.50022789185073</v>
      </c>
      <c r="L24">
        <v>278.53476848724023</v>
      </c>
      <c r="M24">
        <v>283.53281318590689</v>
      </c>
      <c r="N24">
        <v>304.20183162957937</v>
      </c>
      <c r="O24" s="2">
        <v>2.650176678445226E-2</v>
      </c>
      <c r="P24" s="2">
        <v>5.1024939929328772E-2</v>
      </c>
      <c r="Q24" s="2">
        <v>-1.194958569582627E-2</v>
      </c>
      <c r="R24" s="2">
        <v>-1.6182548127447571E-2</v>
      </c>
      <c r="S24" s="2">
        <v>-8.6399962281719089E-3</v>
      </c>
      <c r="T24" s="2">
        <v>-1.221757326812356E-2</v>
      </c>
      <c r="U24" s="2">
        <v>-1.195446542554124E-2</v>
      </c>
      <c r="V24" s="2">
        <v>-8.8331169899267259E-3</v>
      </c>
      <c r="W24" s="2">
        <v>-1.5778203225299551E-2</v>
      </c>
      <c r="X24" s="2">
        <v>1.882732105678242E-3</v>
      </c>
      <c r="Y24" s="2">
        <v>7.4918132966711459E-2</v>
      </c>
    </row>
    <row r="25" spans="2:25" x14ac:dyDescent="0.2">
      <c r="B25" t="s">
        <v>50</v>
      </c>
      <c r="C25">
        <v>260</v>
      </c>
      <c r="D25">
        <v>260</v>
      </c>
      <c r="E25">
        <v>272.82505099999997</v>
      </c>
      <c r="F25">
        <v>267.00457247775381</v>
      </c>
      <c r="G25">
        <v>253.08411944681379</v>
      </c>
      <c r="H25">
        <v>264.06259547230081</v>
      </c>
      <c r="I25">
        <v>267.00455067091713</v>
      </c>
      <c r="J25">
        <v>266.58867565129151</v>
      </c>
      <c r="K25">
        <v>264.02674643186288</v>
      </c>
      <c r="L25">
        <v>264.63275330284648</v>
      </c>
      <c r="M25">
        <v>266.89121229452383</v>
      </c>
      <c r="N25">
        <v>266.68209084519412</v>
      </c>
      <c r="O25" s="2">
        <v>0</v>
      </c>
      <c r="P25" s="2">
        <v>4.9327119230769163E-2</v>
      </c>
      <c r="Q25" s="2">
        <v>2.6940663375976111E-2</v>
      </c>
      <c r="R25" s="2">
        <v>-2.6599540589177791E-2</v>
      </c>
      <c r="S25" s="2">
        <v>1.5625367201156811E-2</v>
      </c>
      <c r="T25" s="2">
        <v>2.6940579503527129E-2</v>
      </c>
      <c r="U25" s="2">
        <v>2.5341060197275E-2</v>
      </c>
      <c r="V25" s="2">
        <v>1.5487486276395851E-2</v>
      </c>
      <c r="W25" s="2">
        <v>1.7818281934024901E-2</v>
      </c>
      <c r="X25" s="2">
        <v>2.650466267124529E-2</v>
      </c>
      <c r="Y25" s="2">
        <v>2.570034940459287E-2</v>
      </c>
    </row>
    <row r="26" spans="2:25" x14ac:dyDescent="0.2">
      <c r="B26" t="s">
        <v>51</v>
      </c>
      <c r="C26">
        <v>208</v>
      </c>
      <c r="D26">
        <v>170.2</v>
      </c>
      <c r="E26">
        <v>210.55342999999999</v>
      </c>
      <c r="F26">
        <v>231.40626468663751</v>
      </c>
      <c r="G26">
        <v>172.41467888005619</v>
      </c>
      <c r="H26">
        <v>210.20960597471611</v>
      </c>
      <c r="I26">
        <v>231.4062936233145</v>
      </c>
      <c r="J26">
        <v>232.03263236611329</v>
      </c>
      <c r="K26">
        <v>210.37153304614469</v>
      </c>
      <c r="L26">
        <v>216.89189477304819</v>
      </c>
      <c r="M26">
        <v>232.538713159427</v>
      </c>
      <c r="N26">
        <v>232.35255421480821</v>
      </c>
      <c r="O26" s="2">
        <v>-0.18173076923076931</v>
      </c>
      <c r="P26" s="2">
        <v>1.2276105769230661E-2</v>
      </c>
      <c r="Q26" s="2">
        <v>0.1125301186857575</v>
      </c>
      <c r="R26" s="2">
        <v>-0.17108327461511461</v>
      </c>
      <c r="S26" s="2">
        <v>1.0623105647673331E-2</v>
      </c>
      <c r="T26" s="2">
        <v>0.1125302578043965</v>
      </c>
      <c r="U26" s="2">
        <v>0.11554150176016</v>
      </c>
      <c r="V26" s="2">
        <v>1.140160118338818E-2</v>
      </c>
      <c r="W26" s="2">
        <v>4.2749494101192997E-2</v>
      </c>
      <c r="X26" s="2">
        <v>0.1179745824972451</v>
      </c>
      <c r="Y26" s="2">
        <v>0.1170795875711934</v>
      </c>
    </row>
    <row r="27" spans="2:25" x14ac:dyDescent="0.2">
      <c r="B27" t="s">
        <v>52</v>
      </c>
      <c r="C27">
        <v>285</v>
      </c>
      <c r="D27">
        <v>252.1</v>
      </c>
      <c r="E27">
        <v>269.1678885</v>
      </c>
      <c r="F27">
        <v>264.24761453137438</v>
      </c>
      <c r="G27">
        <v>249.29563934147009</v>
      </c>
      <c r="H27">
        <v>257.93021372865212</v>
      </c>
      <c r="I27">
        <v>264.23073425983279</v>
      </c>
      <c r="J27">
        <v>263.90909207097758</v>
      </c>
      <c r="K27">
        <v>257.93020554802041</v>
      </c>
      <c r="L27">
        <v>257.93107878286361</v>
      </c>
      <c r="M27">
        <v>264.5118637299289</v>
      </c>
      <c r="N27">
        <v>263.39030314292512</v>
      </c>
      <c r="O27" s="2">
        <v>-0.1154385964912281</v>
      </c>
      <c r="P27" s="2">
        <v>-5.5551268421052617E-2</v>
      </c>
      <c r="Q27" s="2">
        <v>-7.2815387609212689E-2</v>
      </c>
      <c r="R27" s="2">
        <v>-0.12527845845098201</v>
      </c>
      <c r="S27" s="2">
        <v>-9.4981706215255701E-2</v>
      </c>
      <c r="T27" s="2">
        <v>-7.2874616632165434E-2</v>
      </c>
      <c r="U27" s="2">
        <v>-7.4003185715868169E-2</v>
      </c>
      <c r="V27" s="2">
        <v>-9.498173491922679E-2</v>
      </c>
      <c r="W27" s="2">
        <v>-9.4978670937320708E-2</v>
      </c>
      <c r="X27" s="2">
        <v>-7.1888197438846002E-2</v>
      </c>
      <c r="Y27" s="2">
        <v>-7.5823497744122559E-2</v>
      </c>
    </row>
    <row r="28" spans="2:25" x14ac:dyDescent="0.2">
      <c r="B28" t="s">
        <v>53</v>
      </c>
      <c r="C28">
        <v>386</v>
      </c>
      <c r="D28">
        <v>366</v>
      </c>
      <c r="E28">
        <v>393.64087000000001</v>
      </c>
      <c r="F28">
        <v>353.44591950940179</v>
      </c>
      <c r="G28">
        <v>321.13050186731618</v>
      </c>
      <c r="H28">
        <v>353.96858119095373</v>
      </c>
      <c r="I28">
        <v>353.33667281408611</v>
      </c>
      <c r="J28">
        <v>351.24785484014859</v>
      </c>
      <c r="K28">
        <v>353.88874581902212</v>
      </c>
      <c r="L28">
        <v>351.7702565492051</v>
      </c>
      <c r="M28">
        <v>317.59557282885038</v>
      </c>
      <c r="N28">
        <v>270.9132597747016</v>
      </c>
      <c r="O28" s="2">
        <v>-5.1813471502590643E-2</v>
      </c>
      <c r="P28" s="2">
        <v>1.9795000000000011E-2</v>
      </c>
      <c r="Q28" s="2">
        <v>-8.4336996089632632E-2</v>
      </c>
      <c r="R28" s="2">
        <v>-0.1680556946442586</v>
      </c>
      <c r="S28" s="2">
        <v>-8.2982950282503243E-2</v>
      </c>
      <c r="T28" s="2">
        <v>-8.4620018616357262E-2</v>
      </c>
      <c r="U28" s="2">
        <v>-9.0031464144692652E-2</v>
      </c>
      <c r="V28" s="2">
        <v>-8.3189777670927167E-2</v>
      </c>
      <c r="W28" s="2">
        <v>-8.8678091841437601E-2</v>
      </c>
      <c r="X28" s="2">
        <v>-0.1772135418941698</v>
      </c>
      <c r="Y28" s="2">
        <v>-0.29815217674947769</v>
      </c>
    </row>
    <row r="29" spans="2:25" x14ac:dyDescent="0.2">
      <c r="B29" t="s">
        <v>54</v>
      </c>
      <c r="C29">
        <v>440</v>
      </c>
      <c r="D29">
        <v>434</v>
      </c>
      <c r="E29">
        <v>403.95690100000002</v>
      </c>
      <c r="F29">
        <v>385.07249277042439</v>
      </c>
      <c r="G29">
        <v>421.49179334069891</v>
      </c>
      <c r="H29">
        <v>399.80830602362289</v>
      </c>
      <c r="I29">
        <v>385.07245025817491</v>
      </c>
      <c r="J29">
        <v>385.07173836996571</v>
      </c>
      <c r="K29">
        <v>399.8083100963533</v>
      </c>
      <c r="L29">
        <v>399.80562124661748</v>
      </c>
      <c r="M29">
        <v>396.61622402495652</v>
      </c>
      <c r="N29">
        <v>403.93784615270488</v>
      </c>
      <c r="O29" s="2">
        <v>-1.363636363636367E-2</v>
      </c>
      <c r="P29" s="2">
        <v>-8.1916134090909032E-2</v>
      </c>
      <c r="Q29" s="2">
        <v>-0.1248352437035809</v>
      </c>
      <c r="R29" s="2">
        <v>-4.2064106043866123E-2</v>
      </c>
      <c r="S29" s="2">
        <v>-9.1344759037220724E-2</v>
      </c>
      <c r="T29" s="2">
        <v>-0.1248353403223299</v>
      </c>
      <c r="U29" s="2">
        <v>-0.1248369582500779</v>
      </c>
      <c r="V29" s="2">
        <v>-9.1344749781015255E-2</v>
      </c>
      <c r="W29" s="2">
        <v>-9.1350860803142142E-2</v>
      </c>
      <c r="X29" s="2">
        <v>-9.859949085237163E-2</v>
      </c>
      <c r="Y29" s="2">
        <v>-8.1959440562034414E-2</v>
      </c>
    </row>
    <row r="30" spans="2:25" x14ac:dyDescent="0.2">
      <c r="B30" t="s">
        <v>55</v>
      </c>
      <c r="C30">
        <v>475</v>
      </c>
      <c r="D30">
        <v>451.7</v>
      </c>
      <c r="E30">
        <v>443.110523</v>
      </c>
      <c r="F30">
        <v>448.76151024435092</v>
      </c>
      <c r="G30">
        <v>449.82751801468811</v>
      </c>
      <c r="H30">
        <v>455.24371489862301</v>
      </c>
      <c r="I30">
        <v>448.76147441723111</v>
      </c>
      <c r="J30">
        <v>448.76093645474299</v>
      </c>
      <c r="K30">
        <v>455.22514185373711</v>
      </c>
      <c r="L30">
        <v>455.24358322870989</v>
      </c>
      <c r="M30">
        <v>483.6582116284211</v>
      </c>
      <c r="N30">
        <v>576.7523267567658</v>
      </c>
      <c r="O30" s="2">
        <v>-4.9052631578947348E-2</v>
      </c>
      <c r="P30" s="2">
        <v>-6.7135741052631537E-2</v>
      </c>
      <c r="Q30" s="2">
        <v>-5.5238925801366467E-2</v>
      </c>
      <c r="R30" s="2">
        <v>-5.2994698916446037E-2</v>
      </c>
      <c r="S30" s="2">
        <v>-4.159217916079383E-2</v>
      </c>
      <c r="T30" s="2">
        <v>-5.5239001226881967E-2</v>
      </c>
      <c r="U30" s="2">
        <v>-5.5240133779488443E-2</v>
      </c>
      <c r="V30" s="2">
        <v>-4.1631280307921958E-2</v>
      </c>
      <c r="W30" s="2">
        <v>-4.1592456360610708E-2</v>
      </c>
      <c r="X30" s="2">
        <v>1.822781395457063E-2</v>
      </c>
      <c r="Y30" s="2">
        <v>0.2142154247510859</v>
      </c>
    </row>
    <row r="31" spans="2:25" x14ac:dyDescent="0.2">
      <c r="B31" t="s">
        <v>71</v>
      </c>
      <c r="C31">
        <v>476.3</v>
      </c>
      <c r="D31">
        <v>476.3</v>
      </c>
      <c r="E31">
        <v>416.94564223287102</v>
      </c>
      <c r="F31">
        <v>431.84953778092279</v>
      </c>
      <c r="G31">
        <v>485.76201671362702</v>
      </c>
      <c r="H31">
        <v>459.80999268566171</v>
      </c>
      <c r="I31">
        <v>431.84951893252571</v>
      </c>
      <c r="J31">
        <v>431.84923479003783</v>
      </c>
      <c r="K31">
        <v>459.80831184374898</v>
      </c>
      <c r="L31">
        <v>459.80727725575957</v>
      </c>
      <c r="M31">
        <v>437.40860069561558</v>
      </c>
      <c r="N31">
        <v>436.89549690990748</v>
      </c>
      <c r="O31" s="2">
        <v>0</v>
      </c>
      <c r="P31" s="2">
        <v>-0.1246154897483288</v>
      </c>
      <c r="Q31" s="2">
        <v>-9.3324506023676701E-2</v>
      </c>
      <c r="R31" s="2">
        <v>1.9865665995437709E-2</v>
      </c>
      <c r="S31" s="2">
        <v>-3.4621052518031381E-2</v>
      </c>
      <c r="T31" s="2">
        <v>-9.3324545596209063E-2</v>
      </c>
      <c r="U31" s="2">
        <v>-9.3325142158224295E-2</v>
      </c>
      <c r="V31" s="2">
        <v>-3.4624581474388072E-2</v>
      </c>
      <c r="W31" s="2">
        <v>-3.4626753609574679E-2</v>
      </c>
      <c r="X31" s="2">
        <v>-8.1653158312795293E-2</v>
      </c>
      <c r="Y31" s="2">
        <v>-8.2730428490641383E-2</v>
      </c>
    </row>
    <row r="32" spans="2:25" x14ac:dyDescent="0.2">
      <c r="B32" s="104" t="s">
        <v>148</v>
      </c>
      <c r="C32" s="104"/>
      <c r="D32" s="104"/>
      <c r="E32">
        <f>E$31/(1+P32)</f>
        <v>426.15256574772144</v>
      </c>
      <c r="L32" s="103" t="s">
        <v>141</v>
      </c>
      <c r="M32" s="103"/>
      <c r="N32" s="103"/>
      <c r="O32" s="103"/>
      <c r="P32" s="3">
        <f>AVERAGE(P14:P30)</f>
        <v>-2.1604759081283714E-2</v>
      </c>
    </row>
    <row r="33" spans="1:16" x14ac:dyDescent="0.2">
      <c r="B33" s="94" t="s">
        <v>149</v>
      </c>
      <c r="C33" s="94"/>
      <c r="D33" s="94"/>
      <c r="E33">
        <f>E$31/(1+P33)</f>
        <v>422.12070237165631</v>
      </c>
      <c r="L33" s="94" t="s">
        <v>143</v>
      </c>
      <c r="M33" s="94"/>
      <c r="N33" s="94"/>
      <c r="O33" s="94"/>
      <c r="P33" s="1">
        <f>MEDIAN(P14:P30)</f>
        <v>-1.2259669117647087E-2</v>
      </c>
    </row>
    <row r="34" spans="1:16" x14ac:dyDescent="0.2">
      <c r="B34" s="95" t="s">
        <v>150</v>
      </c>
      <c r="C34" s="95"/>
      <c r="D34" s="95"/>
      <c r="E34">
        <f>E$31/(1+P34)</f>
        <v>439.50847541203063</v>
      </c>
      <c r="L34" s="95" t="s">
        <v>142</v>
      </c>
      <c r="M34" s="95"/>
      <c r="N34" s="95"/>
      <c r="O34" s="95"/>
      <c r="P34" s="1">
        <f>AVERAGE(P29:P30,P27,P23,P14:P20)</f>
        <v>-5.13365144051144E-2</v>
      </c>
    </row>
    <row r="35" spans="1:16" x14ac:dyDescent="0.2">
      <c r="B35" s="96" t="s">
        <v>151</v>
      </c>
      <c r="C35" s="96"/>
      <c r="D35" s="96"/>
      <c r="E35">
        <f>E$31/(1+P35)</f>
        <v>441.46985250942458</v>
      </c>
      <c r="F35" s="3">
        <f>AVERAGE(P14,P29,P19)</f>
        <v>-8.8413374272630629E-2</v>
      </c>
      <c r="L35" s="96" t="s">
        <v>144</v>
      </c>
      <c r="M35" s="96"/>
      <c r="N35" s="96"/>
      <c r="O35" s="96"/>
      <c r="P35" s="1">
        <f>MEDIAN(P29:P30,P27,P23,P14:P20)</f>
        <v>-5.5551268421052617E-2</v>
      </c>
    </row>
    <row r="36" spans="1:16" x14ac:dyDescent="0.2">
      <c r="B36" s="97" t="s">
        <v>152</v>
      </c>
      <c r="C36" s="97"/>
      <c r="D36" s="97"/>
      <c r="E36">
        <f>E$31/(1+P36)</f>
        <v>403.66370989940037</v>
      </c>
      <c r="F36">
        <f>$E$31/(1+F35)</f>
        <v>457.38455399143612</v>
      </c>
      <c r="L36" s="97" t="s">
        <v>145</v>
      </c>
      <c r="M36" s="97"/>
      <c r="N36" s="97"/>
      <c r="O36" s="97"/>
      <c r="P36" s="1">
        <f>AVERAGE(P28,P24:P26,P21:P22)</f>
        <v>3.2903459012405878E-2</v>
      </c>
    </row>
    <row r="37" spans="1:16" x14ac:dyDescent="0.2">
      <c r="B37" s="98" t="s">
        <v>153</v>
      </c>
      <c r="C37" s="98"/>
      <c r="D37" s="98"/>
      <c r="E37">
        <f t="shared" ref="E33:E37" si="1">E$31/(1+P37)</f>
        <v>403.1291431476044</v>
      </c>
      <c r="L37" s="98" t="s">
        <v>146</v>
      </c>
      <c r="M37" s="98"/>
      <c r="N37" s="98"/>
      <c r="O37" s="98"/>
      <c r="P37" s="1">
        <f>MEDIAN(P28,P24:P26,P21:P22)</f>
        <v>3.427313385826769E-2</v>
      </c>
    </row>
    <row r="39" spans="1:16" x14ac:dyDescent="0.2">
      <c r="A39" s="67" t="s">
        <v>103</v>
      </c>
      <c r="B39" t="s">
        <v>154</v>
      </c>
    </row>
    <row r="40" spans="1:16" x14ac:dyDescent="0.2">
      <c r="B40" t="s">
        <v>155</v>
      </c>
    </row>
    <row r="46" spans="1:16" x14ac:dyDescent="0.2">
      <c r="A46" s="67" t="s">
        <v>105</v>
      </c>
      <c r="B46" s="77" t="s">
        <v>156</v>
      </c>
      <c r="C46" s="78">
        <f>F36</f>
        <v>457.38455399143612</v>
      </c>
      <c r="D46" t="s">
        <v>170</v>
      </c>
    </row>
    <row r="48" spans="1:16" x14ac:dyDescent="0.2">
      <c r="B48" s="182" t="s">
        <v>164</v>
      </c>
      <c r="C48" s="182"/>
      <c r="D48" s="2">
        <f>C46/D31-1</f>
        <v>-3.971330255839578E-2</v>
      </c>
    </row>
    <row r="49" spans="2:4" x14ac:dyDescent="0.2">
      <c r="B49" s="170" t="s">
        <v>163</v>
      </c>
      <c r="C49" s="170"/>
      <c r="D49" s="2">
        <f>'1. Data &amp; Confidence Interval'!O25</f>
        <v>-3.7485250466473163E-2</v>
      </c>
    </row>
  </sheetData>
  <mergeCells count="2">
    <mergeCell ref="B49:C49"/>
    <mergeCell ref="B48:C48"/>
  </mergeCells>
  <conditionalFormatting sqref="P21:W3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3:P37 S3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2:P3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2021-10-21T21:14:14Z</dcterms:modified>
</cp:coreProperties>
</file>