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VAPO\"/>
    </mc:Choice>
  </mc:AlternateContent>
  <xr:revisionPtr revIDLastSave="0" documentId="13_ncr:1_{170506FA-DD30-4B57-9E5D-397568ADB10B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/>
  <c r="C43" i="4"/>
  <c r="G29" i="4"/>
  <c r="Q30" i="4"/>
  <c r="F30" i="4" s="1"/>
  <c r="Q29" i="4"/>
  <c r="F29" i="4" s="1"/>
  <c r="Q28" i="4"/>
  <c r="F28" i="4" s="1"/>
  <c r="Q27" i="4"/>
  <c r="F27" i="4" s="1"/>
  <c r="Q26" i="4"/>
  <c r="F26" i="4" s="1"/>
  <c r="Q25" i="4"/>
  <c r="F25" i="4" s="1"/>
  <c r="G27" i="2"/>
  <c r="J16" i="2"/>
  <c r="U26" i="1"/>
  <c r="U25" i="1"/>
  <c r="U24" i="1"/>
  <c r="U23" i="1"/>
  <c r="U22" i="1"/>
  <c r="U21" i="1"/>
  <c r="U20" i="1"/>
  <c r="P25" i="1"/>
  <c r="M25" i="1"/>
  <c r="P24" i="1"/>
  <c r="M24" i="1"/>
  <c r="T10" i="1"/>
  <c r="H10" i="1"/>
  <c r="J13" i="1"/>
  <c r="K13" i="1"/>
  <c r="G21" i="2"/>
  <c r="H17" i="2" l="1"/>
  <c r="I17" i="2"/>
  <c r="E17" i="2"/>
  <c r="F17" i="2"/>
  <c r="G17" i="2"/>
  <c r="R27" i="2"/>
  <c r="R28" i="2"/>
  <c r="R29" i="2"/>
  <c r="R30" i="2"/>
  <c r="E21" i="2"/>
  <c r="F21" i="2"/>
  <c r="H21" i="2"/>
  <c r="I21" i="2"/>
  <c r="E22" i="2"/>
  <c r="F22" i="2"/>
  <c r="G22" i="2"/>
  <c r="H22" i="2"/>
  <c r="I22" i="2"/>
  <c r="E23" i="2"/>
  <c r="F23" i="2"/>
  <c r="G23" i="2"/>
  <c r="H23" i="2"/>
  <c r="I23" i="2"/>
  <c r="L23" i="2"/>
  <c r="E24" i="2"/>
  <c r="F24" i="2"/>
  <c r="G24" i="2"/>
  <c r="H24" i="2"/>
  <c r="I24" i="2"/>
  <c r="E25" i="2"/>
  <c r="F25" i="2"/>
  <c r="G25" i="2"/>
  <c r="H25" i="2"/>
  <c r="I25" i="2"/>
  <c r="E26" i="2"/>
  <c r="F26" i="2"/>
  <c r="G26" i="2"/>
  <c r="H26" i="2"/>
  <c r="I26" i="2"/>
  <c r="E27" i="2"/>
  <c r="F27" i="2"/>
  <c r="H27" i="2"/>
  <c r="I27" i="2"/>
  <c r="E28" i="2"/>
  <c r="F28" i="2"/>
  <c r="G28" i="2"/>
  <c r="H28" i="2"/>
  <c r="I28" i="2"/>
  <c r="K7" i="2"/>
  <c r="K22" i="2" s="1"/>
  <c r="L7" i="2"/>
  <c r="L22" i="2" s="1"/>
  <c r="M7" i="2"/>
  <c r="M22" i="2" s="1"/>
  <c r="N7" i="2"/>
  <c r="N22" i="2" s="1"/>
  <c r="O7" i="2"/>
  <c r="O22" i="2" s="1"/>
  <c r="K8" i="2"/>
  <c r="K23" i="2" s="1"/>
  <c r="L8" i="2"/>
  <c r="M8" i="2"/>
  <c r="M23" i="2" s="1"/>
  <c r="N8" i="2"/>
  <c r="N23" i="2" s="1"/>
  <c r="O8" i="2"/>
  <c r="O23" i="2" s="1"/>
  <c r="K9" i="2"/>
  <c r="K24" i="2" s="1"/>
  <c r="L9" i="2"/>
  <c r="M9" i="2"/>
  <c r="M24" i="2" s="1"/>
  <c r="N9" i="2"/>
  <c r="N24" i="2" s="1"/>
  <c r="O9" i="2"/>
  <c r="O24" i="2" s="1"/>
  <c r="K10" i="2"/>
  <c r="K25" i="2" s="1"/>
  <c r="L10" i="2"/>
  <c r="L25" i="2" s="1"/>
  <c r="M10" i="2"/>
  <c r="M25" i="2" s="1"/>
  <c r="N10" i="2"/>
  <c r="N25" i="2" s="1"/>
  <c r="O10" i="2"/>
  <c r="O25" i="2" s="1"/>
  <c r="K11" i="2"/>
  <c r="K26" i="2" s="1"/>
  <c r="L11" i="2"/>
  <c r="L26" i="2" s="1"/>
  <c r="M11" i="2"/>
  <c r="M26" i="2" s="1"/>
  <c r="N11" i="2"/>
  <c r="N26" i="2" s="1"/>
  <c r="O11" i="2"/>
  <c r="O26" i="2" s="1"/>
  <c r="K12" i="2"/>
  <c r="K27" i="2" s="1"/>
  <c r="L12" i="2"/>
  <c r="L27" i="2" s="1"/>
  <c r="M12" i="2"/>
  <c r="M27" i="2" s="1"/>
  <c r="N12" i="2"/>
  <c r="N27" i="2" s="1"/>
  <c r="O12" i="2"/>
  <c r="O27" i="2" s="1"/>
  <c r="K13" i="2"/>
  <c r="K28" i="2" s="1"/>
  <c r="L13" i="2"/>
  <c r="L28" i="2" s="1"/>
  <c r="M13" i="2"/>
  <c r="M28" i="2" s="1"/>
  <c r="N13" i="2"/>
  <c r="N28" i="2" s="1"/>
  <c r="O13" i="2"/>
  <c r="O28" i="2" s="1"/>
  <c r="R16" i="2"/>
  <c r="R17" i="2" s="1"/>
  <c r="J6" i="2"/>
  <c r="J21" i="2" s="1"/>
  <c r="J7" i="2"/>
  <c r="J8" i="2"/>
  <c r="J23" i="2" s="1"/>
  <c r="J9" i="2"/>
  <c r="J24" i="2" s="1"/>
  <c r="J10" i="2"/>
  <c r="P10" i="2" s="1"/>
  <c r="P25" i="2" s="1"/>
  <c r="J11" i="2"/>
  <c r="J26" i="2" s="1"/>
  <c r="J12" i="2"/>
  <c r="J27" i="2" s="1"/>
  <c r="J13" i="2"/>
  <c r="J28" i="2" s="1"/>
  <c r="C21" i="2"/>
  <c r="O22" i="1"/>
  <c r="P22" i="1"/>
  <c r="O20" i="1"/>
  <c r="P20" i="1"/>
  <c r="L16" i="2"/>
  <c r="K15" i="2"/>
  <c r="L15" i="2"/>
  <c r="L30" i="2" s="1"/>
  <c r="M15" i="2"/>
  <c r="N15" i="2"/>
  <c r="O15" i="2"/>
  <c r="K16" i="2"/>
  <c r="M16" i="2"/>
  <c r="N16" i="2"/>
  <c r="O16" i="2"/>
  <c r="L14" i="2"/>
  <c r="M14" i="2"/>
  <c r="M29" i="2" s="1"/>
  <c r="N14" i="2"/>
  <c r="O14" i="2"/>
  <c r="K14" i="2"/>
  <c r="J15" i="2"/>
  <c r="J14" i="2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A21" i="2"/>
  <c r="B21" i="2"/>
  <c r="D21" i="2"/>
  <c r="A22" i="2"/>
  <c r="B22" i="2"/>
  <c r="C22" i="2"/>
  <c r="D22" i="2"/>
  <c r="P7" i="2" l="1"/>
  <c r="P22" i="2" s="1"/>
  <c r="K17" i="2"/>
  <c r="P13" i="2"/>
  <c r="P28" i="2" s="1"/>
  <c r="O17" i="2"/>
  <c r="N17" i="2"/>
  <c r="M17" i="2"/>
  <c r="L17" i="2"/>
  <c r="J17" i="2"/>
  <c r="P12" i="2"/>
  <c r="P27" i="2" s="1"/>
  <c r="J22" i="2"/>
  <c r="Q13" i="2"/>
  <c r="Q28" i="2" s="1"/>
  <c r="P11" i="2"/>
  <c r="P26" i="2" s="1"/>
  <c r="P9" i="2"/>
  <c r="P24" i="2" s="1"/>
  <c r="P8" i="2"/>
  <c r="P23" i="2" s="1"/>
  <c r="Q10" i="2"/>
  <c r="Q25" i="2" s="1"/>
  <c r="P16" i="2"/>
  <c r="Q16" i="2" s="1"/>
  <c r="L24" i="2"/>
  <c r="J25" i="2"/>
  <c r="P14" i="2"/>
  <c r="Q14" i="2" s="1"/>
  <c r="P15" i="2"/>
  <c r="Q15" i="2" s="1"/>
  <c r="L29" i="2"/>
  <c r="L32" i="2" s="1" a="1"/>
  <c r="L32" i="2" s="1"/>
  <c r="M30" i="2"/>
  <c r="U18" i="1"/>
  <c r="T18" i="1"/>
  <c r="Q7" i="2" l="1"/>
  <c r="Q12" i="2"/>
  <c r="Q27" i="2" s="1"/>
  <c r="Q8" i="2"/>
  <c r="Q23" i="2" s="1"/>
  <c r="Q22" i="2"/>
  <c r="Q9" i="2"/>
  <c r="Q24" i="2" s="1"/>
  <c r="Q11" i="2"/>
  <c r="Q26" i="2" s="1"/>
  <c r="P17" i="2"/>
  <c r="M32" i="2" a="1"/>
  <c r="M32" i="2" s="1"/>
  <c r="M31" i="2" a="1"/>
  <c r="M31" i="2" s="1"/>
  <c r="L31" i="2" a="1"/>
  <c r="L31" i="2" s="1"/>
  <c r="R20" i="1"/>
  <c r="S20" i="1"/>
  <c r="R22" i="1"/>
  <c r="S22" i="1"/>
  <c r="Q17" i="2" l="1"/>
  <c r="A23" i="2"/>
  <c r="B23" i="2"/>
  <c r="C23" i="2"/>
  <c r="D23" i="2"/>
  <c r="G30" i="2" l="1"/>
  <c r="G34" i="2" s="1"/>
  <c r="G36" i="2" s="1"/>
  <c r="E30" i="2"/>
  <c r="E29" i="2"/>
  <c r="T13" i="1" l="1"/>
  <c r="L13" i="1"/>
  <c r="M13" i="1"/>
  <c r="N13" i="1"/>
  <c r="O13" i="1"/>
  <c r="P13" i="1"/>
  <c r="Q13" i="1"/>
  <c r="R13" i="1"/>
  <c r="S13" i="1"/>
  <c r="A24" i="2"/>
  <c r="B24" i="2"/>
  <c r="C24" i="2"/>
  <c r="D24" i="2"/>
  <c r="Q20" i="1"/>
  <c r="S18" i="1"/>
  <c r="R18" i="1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B25" i="2"/>
  <c r="C25" i="2"/>
  <c r="D25" i="2"/>
  <c r="A25" i="2"/>
  <c r="I27" i="3"/>
  <c r="E27" i="3"/>
  <c r="R21" i="1" l="1"/>
  <c r="S21" i="1"/>
  <c r="E32" i="2" a="1"/>
  <c r="E32" i="2" s="1"/>
  <c r="E31" i="2" a="1"/>
  <c r="E31" i="2" s="1"/>
  <c r="C7" i="1"/>
  <c r="Q22" i="1"/>
  <c r="M18" i="1"/>
  <c r="L18" i="1"/>
  <c r="K18" i="1"/>
  <c r="J18" i="1"/>
  <c r="I18" i="1"/>
  <c r="H18" i="1"/>
  <c r="G18" i="1"/>
  <c r="F18" i="1"/>
  <c r="F17" i="1"/>
  <c r="G17" i="1"/>
  <c r="F23" i="3"/>
  <c r="D46" i="4" l="1"/>
  <c r="R23" i="1"/>
  <c r="S23" i="1"/>
  <c r="B7" i="1"/>
  <c r="R34" i="2" l="1"/>
  <c r="S34" i="2" s="1"/>
  <c r="D45" i="4" s="1"/>
  <c r="R33" i="2"/>
  <c r="S33" i="2" s="1"/>
  <c r="R31" i="2" a="1"/>
  <c r="R31" i="2" s="1"/>
  <c r="R32" i="2" a="1"/>
  <c r="R32" i="2" s="1"/>
  <c r="I2" i="1"/>
  <c r="H2" i="1"/>
  <c r="I3" i="1"/>
  <c r="H3" i="1"/>
  <c r="H23" i="3"/>
  <c r="J2" i="1" l="1"/>
  <c r="K2" i="1" s="1"/>
  <c r="J3" i="1"/>
  <c r="K3" i="1" s="1"/>
  <c r="K29" i="2"/>
  <c r="N29" i="2"/>
  <c r="O29" i="2"/>
  <c r="P29" i="2"/>
  <c r="Q29" i="2"/>
  <c r="K30" i="2"/>
  <c r="N30" i="2"/>
  <c r="O30" i="2"/>
  <c r="P30" i="2"/>
  <c r="Q30" i="2"/>
  <c r="F29" i="2"/>
  <c r="G29" i="2"/>
  <c r="G33" i="2" s="1"/>
  <c r="G35" i="2" s="1"/>
  <c r="H29" i="2"/>
  <c r="I29" i="2"/>
  <c r="J29" i="2"/>
  <c r="F30" i="2"/>
  <c r="H30" i="2"/>
  <c r="I30" i="2"/>
  <c r="J30" i="2"/>
  <c r="G31" i="2" l="1" a="1"/>
  <c r="G31" i="2" s="1"/>
  <c r="G32" i="2" a="1"/>
  <c r="G32" i="2" s="1"/>
  <c r="H32" i="2" a="1"/>
  <c r="H32" i="2" s="1"/>
  <c r="H31" i="2" a="1"/>
  <c r="H31" i="2" s="1"/>
  <c r="K32" i="2" a="1"/>
  <c r="K32" i="2" s="1"/>
  <c r="K31" i="2" a="1"/>
  <c r="K31" i="2" s="1"/>
  <c r="N32" i="2" a="1"/>
  <c r="N32" i="2" s="1"/>
  <c r="N31" i="2" a="1"/>
  <c r="N31" i="2" s="1"/>
  <c r="Q32" i="2" a="1"/>
  <c r="Q32" i="2" s="1"/>
  <c r="Q31" i="2" a="1"/>
  <c r="Q31" i="2" s="1"/>
  <c r="F32" i="2" a="1"/>
  <c r="F32" i="2" s="1"/>
  <c r="F31" i="2" a="1"/>
  <c r="F31" i="2" s="1"/>
  <c r="P32" i="2" a="1"/>
  <c r="P32" i="2" s="1"/>
  <c r="P31" i="2" a="1"/>
  <c r="P31" i="2" s="1"/>
  <c r="J31" i="2" a="1"/>
  <c r="J31" i="2" s="1"/>
  <c r="J32" i="2" a="1"/>
  <c r="J32" i="2" s="1"/>
  <c r="O32" i="2" a="1"/>
  <c r="O32" i="2" s="1"/>
  <c r="O31" i="2" a="1"/>
  <c r="O31" i="2" s="1"/>
  <c r="I31" i="2" a="1"/>
  <c r="I31" i="2" s="1"/>
  <c r="I32" i="2" a="1"/>
  <c r="I32" i="2" s="1"/>
  <c r="J4" i="1"/>
  <c r="K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<sst xmlns="http://schemas.openxmlformats.org/spreadsheetml/2006/main" count="269" uniqueCount="169">
  <si>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</si>
  <si>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</si>
  <si>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</si>
  <si>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</si>
  <si>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</si>
  <si>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</si>
  <si>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</si>
  <si>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</si>
  <si>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</si>
  <si>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</si>
  <si>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</si>
  <si>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</si>
  <si>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</si>
  <si>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</si>
  <si>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</si>
  <si>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</si>
  <si>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</si>
  <si>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</si>
  <si>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</si>
  <si>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</si>
  <si>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</si>
  <si>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</si>
  <si>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</si>
  <si>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</si>
  <si>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</si>
  <si>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</si>
  <si>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</si>
  <si>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</si>
  <si>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</si>
  <si>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</si>
  <si>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</si>
  <si>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</si>
  <si>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</si>
  <si>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</si>
  <si>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</si>
  <si>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</si>
  <si>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</si>
  <si>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</si>
  <si>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</si>
  <si>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</si>
  <si>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</si>
  <si>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</si>
  <si>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</si>
  <si>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</si>
  <si>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</si>
  <si>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</si>
  <si>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</si>
  <si>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</si>
  <si>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</si>
  <si>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</si>
  <si>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</si>
  <si>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</si>
  <si>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</si>
  <si>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</si>
  <si>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</si>
  <si>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</si>
  <si>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</si>
  <si>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</si>
  <si>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</si>
  <si>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</si>
  <si>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</si>
  <si>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</si>
  <si>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</si>
  <si>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</si>
  <si>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</si>
  <si>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</si>
  <si>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</si>
  <si>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</si>
  <si>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</si>
  <si>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</si>
  <si>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</si>
  <si>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</si>
  <si>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</si>
  <si>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</si>
  <si>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</si>
  <si>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</si>
  <si>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</si>
  <si>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</si>
  <si>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</si>
  <si>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</si>
  <si>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</si>
  <si>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</si>
  <si>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</si>
  <si>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</si>
  <si>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</si>
  <si>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</si>
  <si>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</si>
  <si>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</si>
  <si>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</si>
  <si>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</si>
  <si>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</si>
  <si>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</si>
  <si>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</si>
  <si>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</si>
  <si>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</si>
  <si>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</si>
  <si>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</si>
  <si>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</si>
  <si>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</si>
  <si>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</si>
  <si>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</si>
  <si>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</si>
  <si>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</si>
  <si>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</si>
  <si>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</si>
  <si>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</si>
  <si>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</si>
  <si>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</si>
  <si>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</si>
  <si>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</si>
  <si>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</si>
  <si>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</si>
  <si>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</si>
  <si>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</si>
  <si>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</si>
  <si>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</si>
  <si>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</si>
  <si>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</si>
  <si>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</si>
  <si>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</si>
  <si>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</si>
  <si>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</si>
  <si>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</si>
  <si>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</si>
  <si>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</si>
  <si>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</si>
  <si>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</si>
  <si>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</si>
  <si>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</si>
  <si>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</si>
  <si>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</si>
  <si>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</si>
  <si>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</si>
  <si>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</si>
  <si>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</si>
  <si>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</si>
  <si>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</si>
  <si>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</si>
  <si>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</si>
  <si>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</si>
  <si>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</si>
  <si>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</si>
  <si>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</si>
  <si>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</si>
  <si>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</si>
  <si>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</si>
  <si>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</si>
  <si>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</si>
  <si>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</si>
  <si>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</si>
  <si>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</si>
  <si>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</si>
  <si>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</si>
  <si>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</si>
  <si>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</si>
  <si>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</si>
  <si>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</si>
  <si>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</si>
  <si>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</si>
  <si>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</si>
  <si>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</si>
  <si>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</si>
  <si>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</si>
  <si>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If this value is unsatisfactory, use confidence interval.</t>
  </si>
  <si>
    <t>NOT ENOUGH DATA</t>
  </si>
  <si>
    <t>VAPO_DISP</t>
  </si>
  <si>
    <t>VAPO_CAP</t>
  </si>
  <si>
    <t>CAPITAL EQUIPMENT</t>
  </si>
  <si>
    <t>NSS_LR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</si>
</sst>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6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5" fontId="6" fillId="0" borderId="11" xfId="0" applyNumberFormat="1" applyFont="1" applyFill="1" applyBorder="1" applyAlignment="1">
      <alignment horizontal="center" vertical="center"/>
    </xf>
    <xf numFmtId="165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5" fontId="0" fillId="0" borderId="0" xfId="0" applyNumberFormat="1" applyBorder="1"/>
    <xf numFmtId="165" fontId="0" fillId="0" borderId="11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5" fontId="0" fillId="2" borderId="0" xfId="0" applyNumberFormat="1" applyFill="1"/>
    <xf numFmtId="164" fontId="0" fillId="0" borderId="1" xfId="0" applyNumberFormat="1" applyBorder="1"/>
    <xf numFmtId="165" fontId="0" fillId="0" borderId="10" xfId="0" applyNumberFormat="1" applyBorder="1"/>
    <xf numFmtId="165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0" fontId="0" fillId="3" borderId="14" xfId="0" applyFill="1" applyBorder="1"/>
    <xf numFmtId="164" fontId="0" fillId="3" borderId="0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6" fontId="4" fillId="0" borderId="3" xfId="0" applyNumberFormat="1" applyFont="1" applyBorder="1"/>
    <xf numFmtId="166" fontId="2" fillId="0" borderId="3" xfId="0" applyNumberFormat="1" applyFont="1" applyBorder="1"/>
    <xf numFmtId="0" fontId="0" fillId="10" borderId="0" xfId="0" applyFill="1" applyAlignment="1"/>
    <xf numFmtId="0" fontId="0" fillId="10" borderId="0" xfId="0" applyFill="1"/>
    <xf numFmtId="0" fontId="0" fillId="5" borderId="2" xfId="0" applyFill="1" applyBorder="1" applyAlignment="1">
      <alignment horizontal="center"/>
    </xf>
    <xf numFmtId="4" fontId="0" fillId="0" borderId="0" xfId="0" applyNumberFormat="1"/>
    <xf numFmtId="0" fontId="0" fillId="5" borderId="1" xfId="0" applyFill="1" applyBorder="1" applyAlignment="1">
      <alignment horizontal="center"/>
    </xf>
    <xf numFmtId="10" fontId="0" fillId="3" borderId="8" xfId="1" applyNumberFormat="1" applyFont="1" applyFill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V29"/>
  <sheetViews>
    <sheetView zoomScale="70" zoomScaleNormal="70" workbookViewId="0">
      <selection activeCell="J22" sqref="J22"/>
    </sheetView>
  </sheetViews>
  <sheetFormatPr defaultRowHeight="12.75" x14ac:dyDescent="0.2"/>
  <cols>
    <col min="1" max="1" width="17.85546875" bestFit="1" customWidth="1"/>
    <col min="2" max="5" width="17.85546875" customWidth="1"/>
    <col min="6" max="19" width="10.7109375" customWidth="1"/>
    <col min="20" max="20" width="17.85546875" customWidth="1"/>
    <col min="21" max="22" width="10.7109375" customWidth="1"/>
  </cols>
  <sheetData>
    <row r="1" spans="1:21" x14ac:dyDescent="0.2">
      <c r="A1" s="128" t="s">
        <v>165</v>
      </c>
      <c r="B1" s="129"/>
      <c r="C1" s="130"/>
      <c r="F1" s="137" t="s">
        <v>35</v>
      </c>
      <c r="G1" s="138"/>
      <c r="H1" s="56" t="s">
        <v>31</v>
      </c>
      <c r="I1" s="56" t="s">
        <v>32</v>
      </c>
      <c r="J1" s="4" t="s">
        <v>39</v>
      </c>
      <c r="K1" s="139" t="s">
        <v>41</v>
      </c>
      <c r="L1" s="140"/>
    </row>
    <row r="2" spans="1:21" x14ac:dyDescent="0.2">
      <c r="A2" s="131"/>
      <c r="B2" s="132"/>
      <c r="C2" s="133"/>
      <c r="F2" s="54" t="s">
        <v>37</v>
      </c>
      <c r="G2" s="55"/>
      <c r="H2" s="57">
        <f>$B$7*($U$25-2*$U$26)</f>
        <v>6.8099206770985417</v>
      </c>
      <c r="I2" s="57">
        <f>$B$7*($U$25+2*$U$26)</f>
        <v>22.387403726700512</v>
      </c>
      <c r="J2" s="59">
        <f>AVERAGE(H2:I2)</f>
        <v>14.598662201899527</v>
      </c>
      <c r="K2" s="141">
        <f>$J$2/P14-1</f>
        <v>1.3795986243022806E-2</v>
      </c>
      <c r="L2" s="142"/>
    </row>
    <row r="3" spans="1:21" x14ac:dyDescent="0.2">
      <c r="A3" s="134"/>
      <c r="B3" s="135"/>
      <c r="C3" s="136"/>
      <c r="F3" s="40" t="s">
        <v>38</v>
      </c>
      <c r="G3" s="18"/>
      <c r="H3" s="58">
        <f>$C$7*($U$25-2*$U$26)</f>
        <v>7.4775599591670252</v>
      </c>
      <c r="I3" s="58">
        <f>$C$7*($U$25+2*$U$26)</f>
        <v>24.582247229318209</v>
      </c>
      <c r="J3" s="60">
        <f>AVERAGE(H3:I3)</f>
        <v>16.029903594242619</v>
      </c>
      <c r="K3" s="101">
        <f>$J$3/P15-1</f>
        <v>0.11318774960018185</v>
      </c>
      <c r="L3" s="102"/>
    </row>
    <row r="4" spans="1:21" x14ac:dyDescent="0.2">
      <c r="A4" s="45"/>
      <c r="B4" s="45"/>
      <c r="C4" s="45"/>
      <c r="I4" s="4" t="s">
        <v>40</v>
      </c>
      <c r="J4" s="60">
        <f>AVERAGE(J2:J3)</f>
        <v>15.314282898071074</v>
      </c>
      <c r="K4" s="101">
        <f>$J$4/P15-1</f>
        <v>6.349186792160233E-2</v>
      </c>
      <c r="L4" s="102"/>
    </row>
    <row r="5" spans="1:21" x14ac:dyDescent="0.2">
      <c r="A5" s="53" t="s">
        <v>34</v>
      </c>
      <c r="B5" s="43" t="s">
        <v>31</v>
      </c>
      <c r="C5" s="44" t="s">
        <v>32</v>
      </c>
    </row>
    <row r="6" spans="1:21" ht="15.75" x14ac:dyDescent="0.25">
      <c r="A6" s="47" t="s">
        <v>33</v>
      </c>
      <c r="B6" s="51">
        <v>102</v>
      </c>
      <c r="C6" s="52">
        <v>112</v>
      </c>
    </row>
    <row r="7" spans="1:21" ht="14.25" x14ac:dyDescent="0.2">
      <c r="A7" s="48" t="s">
        <v>36</v>
      </c>
      <c r="B7" s="49">
        <f>B6*$U$24</f>
        <v>32.409030088216952</v>
      </c>
      <c r="C7" s="50">
        <f>C6*$U$24</f>
        <v>35.586385979218612</v>
      </c>
    </row>
    <row r="10" spans="1:21" x14ac:dyDescent="0.2">
      <c r="F10" s="103" t="s">
        <v>15</v>
      </c>
      <c r="G10" s="103"/>
      <c r="H10" s="30">
        <f>AVERAGE(F13:T13)</f>
        <v>3.042172221410766</v>
      </c>
      <c r="Q10" s="103" t="s">
        <v>16</v>
      </c>
      <c r="R10" s="103"/>
      <c r="S10" s="103"/>
      <c r="T10" s="74">
        <f>AVERAGE(S13:T13)</f>
        <v>0.4263361462728551</v>
      </c>
    </row>
    <row r="11" spans="1:21" x14ac:dyDescent="0.2">
      <c r="A11" s="46" t="s">
        <v>6</v>
      </c>
      <c r="B11" s="143">
        <v>2012</v>
      </c>
      <c r="C11" s="144"/>
      <c r="D11" s="144"/>
      <c r="E11" s="145"/>
      <c r="F11" s="124">
        <v>2018</v>
      </c>
      <c r="G11" s="125"/>
      <c r="H11" s="125"/>
      <c r="I11" s="126"/>
      <c r="J11" s="112">
        <v>2019</v>
      </c>
      <c r="K11" s="113"/>
      <c r="L11" s="113"/>
      <c r="M11" s="114"/>
      <c r="N11" s="115">
        <v>2020</v>
      </c>
      <c r="O11" s="116"/>
      <c r="P11" s="116"/>
      <c r="Q11" s="117"/>
      <c r="R11" s="118">
        <v>2021</v>
      </c>
      <c r="S11" s="119"/>
      <c r="T11" s="119"/>
      <c r="U11" s="120"/>
    </row>
    <row r="12" spans="1:21" x14ac:dyDescent="0.2">
      <c r="A12" s="13" t="s">
        <v>19</v>
      </c>
      <c r="B12" s="95" t="s">
        <v>20</v>
      </c>
      <c r="C12" s="95" t="s">
        <v>3</v>
      </c>
      <c r="D12" s="95" t="s">
        <v>4</v>
      </c>
      <c r="E12" s="97" t="s">
        <v>5</v>
      </c>
      <c r="F12" s="20" t="s">
        <v>20</v>
      </c>
      <c r="G12" s="21" t="s">
        <v>3</v>
      </c>
      <c r="H12" s="21" t="s">
        <v>4</v>
      </c>
      <c r="I12" s="21" t="s">
        <v>5</v>
      </c>
      <c r="J12" s="22" t="s">
        <v>20</v>
      </c>
      <c r="K12" s="23" t="s">
        <v>3</v>
      </c>
      <c r="L12" s="23" t="s">
        <v>4</v>
      </c>
      <c r="M12" s="23" t="s">
        <v>5</v>
      </c>
      <c r="N12" s="24" t="s">
        <v>20</v>
      </c>
      <c r="O12" s="19" t="s">
        <v>3</v>
      </c>
      <c r="P12" s="19" t="s">
        <v>4</v>
      </c>
      <c r="Q12" s="19" t="s">
        <v>5</v>
      </c>
      <c r="R12" s="32" t="s">
        <v>20</v>
      </c>
      <c r="S12" s="33" t="s">
        <v>3</v>
      </c>
      <c r="T12" s="34" t="s">
        <v>21</v>
      </c>
      <c r="U12" s="25" t="s">
        <v>22</v>
      </c>
    </row>
    <row r="13" spans="1:21" x14ac:dyDescent="0.2">
      <c r="A13" s="29" t="s">
        <v>2</v>
      </c>
      <c r="F13" s="77"/>
      <c r="G13" s="77"/>
      <c r="H13" s="77"/>
      <c r="I13" s="77"/>
      <c r="J13" s="77">
        <f t="shared" ref="J13" si="0">J15/F15</f>
        <v>1.2222222222222223</v>
      </c>
      <c r="K13" s="77">
        <f t="shared" ref="K13" si="1">K15/G15</f>
        <v>0.79166666666666663</v>
      </c>
      <c r="L13" s="77">
        <f t="shared" ref="L13:S13" si="2">L15/H15</f>
        <v>0.90476190476190466</v>
      </c>
      <c r="M13" s="77">
        <f t="shared" si="2"/>
        <v>0.82608695652173914</v>
      </c>
      <c r="N13" s="77">
        <f t="shared" si="2"/>
        <v>1.9090909090909089</v>
      </c>
      <c r="O13" s="77">
        <f t="shared" si="2"/>
        <v>8.3157894736842106</v>
      </c>
      <c r="P13" s="77">
        <f t="shared" si="2"/>
        <v>7.5789473684210531</v>
      </c>
      <c r="Q13" s="77">
        <f t="shared" si="2"/>
        <v>9.1578947368421044</v>
      </c>
      <c r="R13" s="77">
        <f t="shared" si="2"/>
        <v>1.9047619047619047</v>
      </c>
      <c r="S13" s="77">
        <f t="shared" si="2"/>
        <v>0.15822784810126581</v>
      </c>
      <c r="T13" s="77">
        <f>T14/P14</f>
        <v>0.69444444444444442</v>
      </c>
      <c r="U13" s="26"/>
    </row>
    <row r="14" spans="1:21" x14ac:dyDescent="0.2">
      <c r="A14" s="14" t="s">
        <v>0</v>
      </c>
      <c r="B14" s="6"/>
      <c r="C14" s="6"/>
      <c r="D14" s="6"/>
      <c r="E14" s="6"/>
      <c r="F14">
        <v>1.8</v>
      </c>
      <c r="G14">
        <v>2.4</v>
      </c>
      <c r="H14">
        <v>2.1</v>
      </c>
      <c r="I14">
        <v>2.2999999999999998</v>
      </c>
      <c r="J14">
        <v>2.2000000000000002</v>
      </c>
      <c r="K14">
        <v>1.9</v>
      </c>
      <c r="L14">
        <v>1.9</v>
      </c>
      <c r="M14">
        <v>1.9</v>
      </c>
      <c r="N14">
        <v>4.2</v>
      </c>
      <c r="O14">
        <v>15.8</v>
      </c>
      <c r="P14">
        <v>14.4</v>
      </c>
      <c r="Q14">
        <v>17.399999999999999</v>
      </c>
      <c r="R14">
        <v>8</v>
      </c>
      <c r="S14">
        <v>2.5</v>
      </c>
      <c r="T14">
        <v>10</v>
      </c>
      <c r="U14">
        <v>1.7</v>
      </c>
    </row>
    <row r="15" spans="1:21" x14ac:dyDescent="0.2">
      <c r="A15" s="14" t="s">
        <v>1</v>
      </c>
      <c r="B15" s="6"/>
      <c r="C15" s="6"/>
      <c r="D15" s="6"/>
      <c r="E15" s="6"/>
      <c r="F15">
        <v>1.8</v>
      </c>
      <c r="G15">
        <v>2.4</v>
      </c>
      <c r="H15">
        <v>2.1</v>
      </c>
      <c r="I15">
        <v>2.2999999999999998</v>
      </c>
      <c r="J15">
        <v>2.2000000000000002</v>
      </c>
      <c r="K15">
        <v>1.9</v>
      </c>
      <c r="L15">
        <v>1.9</v>
      </c>
      <c r="M15">
        <v>1.9</v>
      </c>
      <c r="N15">
        <v>4.2</v>
      </c>
      <c r="O15">
        <v>15.8</v>
      </c>
      <c r="P15">
        <v>14.4</v>
      </c>
      <c r="Q15">
        <v>17.399999999999999</v>
      </c>
      <c r="R15">
        <v>8</v>
      </c>
      <c r="S15">
        <v>2.5</v>
      </c>
      <c r="T15" s="9"/>
      <c r="U15" s="10"/>
    </row>
    <row r="16" spans="1:21" x14ac:dyDescent="0.2">
      <c r="A16" s="14" t="s">
        <v>153</v>
      </c>
      <c r="B16" s="9"/>
      <c r="C16" s="9"/>
      <c r="D16" s="9"/>
      <c r="E16" s="9"/>
      <c r="F16">
        <v>10.7</v>
      </c>
      <c r="G16">
        <v>10.6</v>
      </c>
      <c r="H16">
        <v>9.4</v>
      </c>
      <c r="I16">
        <v>11.7</v>
      </c>
      <c r="J16">
        <v>12.3</v>
      </c>
      <c r="K16">
        <v>12</v>
      </c>
      <c r="L16">
        <v>10.8</v>
      </c>
      <c r="M16">
        <v>13</v>
      </c>
      <c r="N16">
        <v>19.100000000000001</v>
      </c>
      <c r="O16">
        <v>35.200000000000003</v>
      </c>
      <c r="P16">
        <v>30.6</v>
      </c>
      <c r="Q16">
        <v>40.9</v>
      </c>
      <c r="R16">
        <v>32.299999999999997</v>
      </c>
      <c r="S16">
        <v>20.6</v>
      </c>
      <c r="T16">
        <v>30.9</v>
      </c>
      <c r="U16" s="10"/>
    </row>
    <row r="17" spans="1:22" x14ac:dyDescent="0.2">
      <c r="A17" s="78" t="s">
        <v>18</v>
      </c>
      <c r="B17" s="79"/>
      <c r="C17" s="79"/>
      <c r="D17" s="79"/>
      <c r="E17" s="79"/>
      <c r="F17" s="79">
        <f t="shared" ref="F17:G17" si="3">F15/F16</f>
        <v>0.16822429906542058</v>
      </c>
      <c r="G17" s="79">
        <f t="shared" si="3"/>
        <v>0.22641509433962265</v>
      </c>
      <c r="H17" s="79">
        <f t="shared" ref="H17:S17" si="4">H15/H16</f>
        <v>0.22340425531914893</v>
      </c>
      <c r="I17" s="79">
        <f t="shared" si="4"/>
        <v>0.19658119658119658</v>
      </c>
      <c r="J17" s="79">
        <f t="shared" si="4"/>
        <v>0.17886178861788618</v>
      </c>
      <c r="K17" s="79">
        <f t="shared" si="4"/>
        <v>0.15833333333333333</v>
      </c>
      <c r="L17" s="79">
        <f t="shared" si="4"/>
        <v>0.1759259259259259</v>
      </c>
      <c r="M17" s="79">
        <f t="shared" si="4"/>
        <v>0.14615384615384613</v>
      </c>
      <c r="N17" s="79">
        <f t="shared" si="4"/>
        <v>0.21989528795811517</v>
      </c>
      <c r="O17" s="79">
        <f t="shared" si="4"/>
        <v>0.44886363636363635</v>
      </c>
      <c r="P17" s="79">
        <f t="shared" si="4"/>
        <v>0.47058823529411764</v>
      </c>
      <c r="Q17" s="79">
        <f t="shared" si="4"/>
        <v>0.42542787286063566</v>
      </c>
      <c r="R17" s="79">
        <f t="shared" si="4"/>
        <v>0.24767801857585142</v>
      </c>
      <c r="S17" s="79">
        <f t="shared" si="4"/>
        <v>0.12135922330097086</v>
      </c>
      <c r="T17" s="98">
        <f>T14/T16</f>
        <v>0.3236245954692557</v>
      </c>
      <c r="U17" s="80"/>
    </row>
    <row r="18" spans="1:22" x14ac:dyDescent="0.2">
      <c r="A18" s="78" t="s">
        <v>24</v>
      </c>
      <c r="B18" s="79"/>
      <c r="C18" s="79"/>
      <c r="D18" s="79"/>
      <c r="E18" s="81"/>
      <c r="F18" s="79">
        <f>F15/SUM(F15:I15)</f>
        <v>0.20930232558139533</v>
      </c>
      <c r="G18" s="79">
        <f>G15/SUM(F15:I15)</f>
        <v>0.27906976744186041</v>
      </c>
      <c r="H18" s="79">
        <f>H15/SUM(F15:I15)</f>
        <v>0.24418604651162787</v>
      </c>
      <c r="I18" s="81">
        <f>I15/SUM(F15:I15)</f>
        <v>0.2674418604651162</v>
      </c>
      <c r="J18" s="79">
        <f>J15/SUM(J15:M15)</f>
        <v>0.27848101265822783</v>
      </c>
      <c r="K18" s="79">
        <f>K15/SUM(J15:M15)</f>
        <v>0.24050632911392403</v>
      </c>
      <c r="L18" s="79">
        <f>L15/SUM(J15:M15)</f>
        <v>0.24050632911392403</v>
      </c>
      <c r="M18" s="81">
        <f>M15/SUM(J15:M15)</f>
        <v>0.24050632911392403</v>
      </c>
      <c r="N18" s="79"/>
      <c r="O18" s="79"/>
      <c r="P18" s="79"/>
      <c r="Q18" s="81"/>
      <c r="R18" s="79">
        <f>R15/SUM(R15:S15,T14:U14)</f>
        <v>0.3603603603603604</v>
      </c>
      <c r="S18" s="79">
        <f>S15/SUM(R15:S15,T14:U14)</f>
        <v>0.11261261261261261</v>
      </c>
      <c r="T18" s="79">
        <f>T14/SUM(R15:S15,T14:U14)</f>
        <v>0.45045045045045046</v>
      </c>
      <c r="U18" s="81">
        <f>U14/SUM(R15:S15,T14:U14)</f>
        <v>7.6576576576576572E-2</v>
      </c>
      <c r="V18" s="3"/>
    </row>
    <row r="19" spans="1:22" x14ac:dyDescent="0.2">
      <c r="A19" s="15" t="s">
        <v>17</v>
      </c>
      <c r="B19" s="11"/>
      <c r="C19" s="11"/>
      <c r="D19" s="11"/>
      <c r="E19" s="11"/>
      <c r="F19" s="75"/>
      <c r="G19" s="58"/>
      <c r="H19" s="58"/>
      <c r="I19" s="58"/>
      <c r="J19" s="75"/>
      <c r="K19" s="58"/>
      <c r="L19" s="58"/>
      <c r="M19" s="58"/>
      <c r="N19" s="75"/>
      <c r="O19">
        <v>13.3</v>
      </c>
      <c r="P19">
        <v>8.9</v>
      </c>
      <c r="Q19">
        <v>15.5</v>
      </c>
      <c r="R19">
        <v>8.1</v>
      </c>
      <c r="S19">
        <v>1.8</v>
      </c>
      <c r="T19" s="76"/>
      <c r="U19" s="12"/>
    </row>
    <row r="20" spans="1:22" x14ac:dyDescent="0.2">
      <c r="K20" s="106" t="s">
        <v>7</v>
      </c>
      <c r="L20" s="121"/>
      <c r="M20" s="7"/>
      <c r="N20" s="7"/>
      <c r="O20" s="7">
        <f t="shared" ref="O20:P20" si="5">IF(O15&gt;O19,1,0)</f>
        <v>1</v>
      </c>
      <c r="P20" s="7">
        <f t="shared" si="5"/>
        <v>1</v>
      </c>
      <c r="Q20" s="7">
        <f t="shared" ref="Q20:S20" si="6">IF(Q15&gt;Q19,1,0)</f>
        <v>1</v>
      </c>
      <c r="R20" s="7">
        <f>IF(R15&gt;R19,1,0)</f>
        <v>0</v>
      </c>
      <c r="S20" s="8">
        <f t="shared" si="6"/>
        <v>1</v>
      </c>
      <c r="T20" s="40" t="s">
        <v>8</v>
      </c>
      <c r="U20" s="37">
        <f>AVERAGE(K20:S20)</f>
        <v>0.8</v>
      </c>
    </row>
    <row r="21" spans="1:22" x14ac:dyDescent="0.2">
      <c r="K21" s="122" t="s">
        <v>9</v>
      </c>
      <c r="L21" s="123"/>
      <c r="N21" s="6"/>
      <c r="O21" s="6"/>
      <c r="P21" s="6"/>
      <c r="Q21" s="6"/>
      <c r="R21" s="6">
        <f>AVERAGE(O20:R20)</f>
        <v>0.75</v>
      </c>
      <c r="S21" s="10">
        <f>AVERAGE(P20:S20)</f>
        <v>0.75</v>
      </c>
      <c r="T21" s="36" t="s">
        <v>10</v>
      </c>
      <c r="U21" s="37">
        <f>AVERAGE(N21:S21)</f>
        <v>0.75</v>
      </c>
    </row>
    <row r="22" spans="1:22" x14ac:dyDescent="0.2">
      <c r="K22" s="110" t="s">
        <v>11</v>
      </c>
      <c r="L22" s="111"/>
      <c r="M22" s="17"/>
      <c r="N22" s="17"/>
      <c r="O22" s="17">
        <f t="shared" ref="O22:S22" si="7">O15/O19-1</f>
        <v>0.18796992481203012</v>
      </c>
      <c r="P22" s="17">
        <f t="shared" si="7"/>
        <v>0.6179775280898876</v>
      </c>
      <c r="Q22" s="17">
        <f t="shared" si="7"/>
        <v>0.1225806451612903</v>
      </c>
      <c r="R22" s="17">
        <f t="shared" si="7"/>
        <v>-1.2345679012345623E-2</v>
      </c>
      <c r="S22" s="35">
        <f t="shared" si="7"/>
        <v>0.38888888888888884</v>
      </c>
      <c r="T22" s="36" t="s">
        <v>13</v>
      </c>
      <c r="U22" s="38">
        <f>MEDIAN(M22:S22)</f>
        <v>0.18796992481203012</v>
      </c>
    </row>
    <row r="23" spans="1:22" x14ac:dyDescent="0.2">
      <c r="K23" s="122" t="s">
        <v>12</v>
      </c>
      <c r="L23" s="123"/>
      <c r="N23" s="27"/>
      <c r="O23" s="27"/>
      <c r="P23" s="27"/>
      <c r="Q23" s="27"/>
      <c r="R23" s="27">
        <f>AVERAGE(O22:R22)</f>
        <v>0.2290456047627156</v>
      </c>
      <c r="S23" s="27">
        <f>AVERAGE(P22:S22)</f>
        <v>0.27927534578193025</v>
      </c>
      <c r="T23" s="18" t="s">
        <v>14</v>
      </c>
      <c r="U23" s="28">
        <f>MEDIAN(N23:S23)</f>
        <v>0.25416047527232294</v>
      </c>
    </row>
    <row r="24" spans="1:22" x14ac:dyDescent="0.2">
      <c r="K24" s="106" t="s">
        <v>25</v>
      </c>
      <c r="L24" s="121"/>
      <c r="M24" s="90">
        <f>AVERAGE(O22:Q22,S22)</f>
        <v>0.32935424673802421</v>
      </c>
      <c r="N24" s="106" t="s">
        <v>29</v>
      </c>
      <c r="O24" s="107"/>
      <c r="P24" s="41">
        <f>MEDIAN(O22:Q22,S22)</f>
        <v>0.28842940685045948</v>
      </c>
      <c r="Q24" s="146" t="s">
        <v>23</v>
      </c>
      <c r="R24" s="147"/>
      <c r="S24" s="147"/>
      <c r="T24" s="148"/>
      <c r="U24" s="39">
        <f>AVERAGE(P17:T17)</f>
        <v>0.31773558910016619</v>
      </c>
    </row>
    <row r="25" spans="1:22" x14ac:dyDescent="0.2">
      <c r="K25" s="108" t="s">
        <v>26</v>
      </c>
      <c r="L25" s="127"/>
      <c r="M25" s="89">
        <f>R22</f>
        <v>-1.2345679012345623E-2</v>
      </c>
      <c r="N25" s="108" t="s">
        <v>30</v>
      </c>
      <c r="O25" s="109"/>
      <c r="P25" s="28">
        <f>R22</f>
        <v>-1.2345679012345623E-2</v>
      </c>
      <c r="Q25" s="149" t="s">
        <v>27</v>
      </c>
      <c r="R25" s="150"/>
      <c r="S25" s="150"/>
      <c r="T25" s="150"/>
      <c r="U25" s="41">
        <f>T18</f>
        <v>0.45045045045045046</v>
      </c>
    </row>
    <row r="26" spans="1:22" x14ac:dyDescent="0.2">
      <c r="Q26" s="104" t="s">
        <v>28</v>
      </c>
      <c r="R26" s="105"/>
      <c r="S26" s="105"/>
      <c r="T26" s="105"/>
      <c r="U26" s="42">
        <f>_xlfn.STDEV.S(T18,L18,H18)</f>
        <v>0.12016313823030395</v>
      </c>
    </row>
    <row r="29" spans="1:22" ht="18" customHeight="1" x14ac:dyDescent="0.2"/>
  </sheetData>
  <mergeCells count="24">
    <mergeCell ref="B11:E11"/>
    <mergeCell ref="K23:L23"/>
    <mergeCell ref="Q24:T24"/>
    <mergeCell ref="Q25:T25"/>
    <mergeCell ref="Q10:S10"/>
    <mergeCell ref="A1:C3"/>
    <mergeCell ref="F1:G1"/>
    <mergeCell ref="K1:L1"/>
    <mergeCell ref="K2:L2"/>
    <mergeCell ref="K3:L3"/>
    <mergeCell ref="K4:L4"/>
    <mergeCell ref="F10:G10"/>
    <mergeCell ref="Q26:T26"/>
    <mergeCell ref="N24:O24"/>
    <mergeCell ref="N25:O25"/>
    <mergeCell ref="K22:L22"/>
    <mergeCell ref="J11:M11"/>
    <mergeCell ref="N11:Q11"/>
    <mergeCell ref="R11:U11"/>
    <mergeCell ref="K20:L20"/>
    <mergeCell ref="K21:L21"/>
    <mergeCell ref="F11:I11"/>
    <mergeCell ref="K24:L24"/>
    <mergeCell ref="K25:L25"/>
  </mergeCells>
  <conditionalFormatting sqref="U22:U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U20:U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U20:U21 U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conditionalFormatting sqref="M20:S20 U2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S22">
    <cfRule type="dataBar" priority="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N21:S21 U2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:S23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U22:U23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U20:U21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U20:U21 U24</xm:sqref>
        </x14:conditionalFormatting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M22:S22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N23:S23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V36"/>
  <sheetViews>
    <sheetView zoomScale="85" zoomScaleNormal="85" workbookViewId="0">
      <selection activeCell="S15" sqref="S6:S15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9.7109375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76</v>
      </c>
      <c r="B1" t="s">
        <v>77</v>
      </c>
    </row>
    <row r="4" spans="1:21" x14ac:dyDescent="0.2">
      <c r="A4" s="153" t="s">
        <v>72</v>
      </c>
      <c r="B4" s="153"/>
      <c r="T4" s="65" t="s">
        <v>161</v>
      </c>
    </row>
    <row r="5" spans="1:21" x14ac:dyDescent="0.2">
      <c r="A5" s="16" t="s">
        <v>52</v>
      </c>
      <c r="B5" s="16" t="s">
        <v>53</v>
      </c>
      <c r="C5" s="16" t="s">
        <v>64</v>
      </c>
      <c r="D5" s="16" t="s">
        <v>54</v>
      </c>
      <c r="E5" s="16" t="s">
        <v>55</v>
      </c>
      <c r="F5" s="16" t="s">
        <v>65</v>
      </c>
      <c r="G5" s="16" t="s">
        <v>56</v>
      </c>
      <c r="H5" s="16" t="s">
        <v>57</v>
      </c>
      <c r="I5" s="16" t="s">
        <v>66</v>
      </c>
      <c r="J5" s="16" t="s">
        <v>58</v>
      </c>
      <c r="K5" s="16" t="s">
        <v>59</v>
      </c>
      <c r="L5" s="16" t="s">
        <v>69</v>
      </c>
      <c r="M5" s="16" t="s">
        <v>60</v>
      </c>
      <c r="N5" s="16" t="s">
        <v>61</v>
      </c>
      <c r="O5" s="16" t="s">
        <v>70</v>
      </c>
      <c r="P5" s="16" t="s">
        <v>62</v>
      </c>
      <c r="Q5" s="16" t="s">
        <v>63</v>
      </c>
      <c r="R5" s="16" t="s">
        <v>0</v>
      </c>
      <c r="S5" s="16" t="s">
        <v>68</v>
      </c>
      <c r="T5" s="31" t="s">
        <v>0</v>
      </c>
      <c r="U5" s="31" t="s">
        <v>68</v>
      </c>
    </row>
    <row r="6" spans="1:21" x14ac:dyDescent="0.2">
      <c r="A6" t="s">
        <v>166</v>
      </c>
      <c r="B6" t="s">
        <v>167</v>
      </c>
      <c r="C6" t="s">
        <v>42</v>
      </c>
      <c r="D6">
        <v>20190502</v>
      </c>
      <c r="E6">
        <v>1.6275040000000001</v>
      </c>
      <c r="F6">
        <v>1.9124049999999999</v>
      </c>
      <c r="G6">
        <v>1.4548890000000001</v>
      </c>
      <c r="H6">
        <v>1.525898</v>
      </c>
      <c r="I6">
        <v>0.39374500000000001</v>
      </c>
      <c r="J6">
        <f t="shared" ref="J6:J12" si="0">AVERAGE(E6:I6)</f>
        <v>1.3828881999999998</v>
      </c>
      <c r="R6" s="6"/>
      <c r="S6">
        <v>2.2000000000000002</v>
      </c>
      <c r="T6" s="83"/>
      <c r="U6" s="82"/>
    </row>
    <row r="7" spans="1:21" x14ac:dyDescent="0.2">
      <c r="A7" t="s">
        <v>166</v>
      </c>
      <c r="B7" t="s">
        <v>167</v>
      </c>
      <c r="C7" t="s">
        <v>43</v>
      </c>
      <c r="D7">
        <v>20190725</v>
      </c>
      <c r="E7">
        <v>1.1188929999999999</v>
      </c>
      <c r="F7">
        <v>1.1949430000000001</v>
      </c>
      <c r="G7">
        <v>1.5468729999999999</v>
      </c>
      <c r="H7">
        <v>1.0441130000000001</v>
      </c>
      <c r="I7">
        <v>0.253187</v>
      </c>
      <c r="J7">
        <f t="shared" si="0"/>
        <v>1.0316018</v>
      </c>
      <c r="K7">
        <f t="shared" ref="K7:K13" si="1">(E7/E6)*$S6</f>
        <v>1.5124783717889478</v>
      </c>
      <c r="L7">
        <f t="shared" ref="L7:L13" si="2">(F7/F6)*$S6</f>
        <v>1.3746432371804094</v>
      </c>
      <c r="M7">
        <f t="shared" ref="M7:M13" si="3">(G7/G6)*$S6</f>
        <v>2.3390929479843479</v>
      </c>
      <c r="N7">
        <f t="shared" ref="N7:N13" si="4">(H7/H6)*$S6</f>
        <v>1.5053749333179547</v>
      </c>
      <c r="O7">
        <f t="shared" ref="O7:O13" si="5">(I7/I6)*$S6</f>
        <v>1.4146500907948039</v>
      </c>
      <c r="P7">
        <f t="shared" ref="P7:P13" si="6">(J7/J6)*$S6</f>
        <v>1.6411478238081725</v>
      </c>
      <c r="Q7">
        <f t="shared" ref="Q7:Q13" si="7">AVERAGE(K7:P7)</f>
        <v>1.6312312341457726</v>
      </c>
      <c r="S7">
        <v>1.9</v>
      </c>
      <c r="T7" s="83"/>
      <c r="U7" s="82"/>
    </row>
    <row r="8" spans="1:21" x14ac:dyDescent="0.2">
      <c r="A8" t="s">
        <v>166</v>
      </c>
      <c r="B8" t="s">
        <v>167</v>
      </c>
      <c r="C8" t="s">
        <v>44</v>
      </c>
      <c r="D8">
        <v>20191031</v>
      </c>
      <c r="E8">
        <v>4.281879</v>
      </c>
      <c r="F8">
        <v>4.5596690000000004</v>
      </c>
      <c r="G8">
        <v>3.605445</v>
      </c>
      <c r="H8">
        <v>3.6554980000000001</v>
      </c>
      <c r="I8">
        <v>0.71187199999999995</v>
      </c>
      <c r="J8">
        <f t="shared" si="0"/>
        <v>3.3628726000000002</v>
      </c>
      <c r="K8">
        <f t="shared" si="1"/>
        <v>7.2710885670032788</v>
      </c>
      <c r="L8">
        <f t="shared" si="2"/>
        <v>7.2500287461410293</v>
      </c>
      <c r="M8">
        <f t="shared" si="3"/>
        <v>4.4285119075709511</v>
      </c>
      <c r="N8">
        <f t="shared" si="4"/>
        <v>6.6520062483658373</v>
      </c>
      <c r="O8">
        <f t="shared" si="5"/>
        <v>5.3421257805495532</v>
      </c>
      <c r="P8">
        <f t="shared" si="6"/>
        <v>6.1937250788046319</v>
      </c>
      <c r="Q8">
        <f t="shared" si="7"/>
        <v>6.1895810547392136</v>
      </c>
      <c r="S8">
        <v>1.9</v>
      </c>
      <c r="T8" s="83"/>
      <c r="U8" s="82"/>
    </row>
    <row r="9" spans="1:21" x14ac:dyDescent="0.2">
      <c r="A9" t="s">
        <v>166</v>
      </c>
      <c r="B9" t="s">
        <v>167</v>
      </c>
      <c r="C9" t="s">
        <v>45</v>
      </c>
      <c r="D9">
        <v>20200227</v>
      </c>
      <c r="E9">
        <v>1.8388530000000001</v>
      </c>
      <c r="F9">
        <v>1.698931</v>
      </c>
      <c r="G9">
        <v>1.9067449999999999</v>
      </c>
      <c r="H9">
        <v>2.0748160000000002</v>
      </c>
      <c r="I9">
        <v>0.47559699999999999</v>
      </c>
      <c r="J9">
        <f t="shared" si="0"/>
        <v>1.5989884000000001</v>
      </c>
      <c r="K9">
        <f t="shared" si="1"/>
        <v>0.81595502815469567</v>
      </c>
      <c r="L9">
        <f t="shared" si="2"/>
        <v>0.70793930436617203</v>
      </c>
      <c r="M9">
        <f t="shared" si="3"/>
        <v>1.0048178518879083</v>
      </c>
      <c r="N9">
        <f t="shared" si="4"/>
        <v>1.0784167847992256</v>
      </c>
      <c r="O9">
        <f t="shared" si="5"/>
        <v>1.2693775004495189</v>
      </c>
      <c r="P9">
        <f t="shared" si="6"/>
        <v>0.90341750085923556</v>
      </c>
      <c r="Q9">
        <f t="shared" si="7"/>
        <v>0.96332066175279252</v>
      </c>
      <c r="S9">
        <v>1.9</v>
      </c>
      <c r="T9" s="83"/>
      <c r="U9" s="82"/>
    </row>
    <row r="10" spans="1:21" x14ac:dyDescent="0.2">
      <c r="A10" t="s">
        <v>166</v>
      </c>
      <c r="B10" t="s">
        <v>167</v>
      </c>
      <c r="C10" t="s">
        <v>46</v>
      </c>
      <c r="D10">
        <v>20200430</v>
      </c>
      <c r="E10">
        <v>4.986942</v>
      </c>
      <c r="F10">
        <v>4.6146010000000004</v>
      </c>
      <c r="G10">
        <v>7.5761430000000001</v>
      </c>
      <c r="H10">
        <v>4.7298150000000003</v>
      </c>
      <c r="I10">
        <v>1.3973439999999999</v>
      </c>
      <c r="J10">
        <f t="shared" si="0"/>
        <v>4.6609690000000006</v>
      </c>
      <c r="K10">
        <f t="shared" si="1"/>
        <v>5.1527717550016225</v>
      </c>
      <c r="L10">
        <f t="shared" si="2"/>
        <v>5.1607404303058813</v>
      </c>
      <c r="M10">
        <f t="shared" si="3"/>
        <v>7.5493428329430525</v>
      </c>
      <c r="N10">
        <f t="shared" si="4"/>
        <v>4.3312990163947065</v>
      </c>
      <c r="O10">
        <f t="shared" si="5"/>
        <v>5.582359855087395</v>
      </c>
      <c r="P10">
        <f t="shared" si="6"/>
        <v>5.5384023423809712</v>
      </c>
      <c r="Q10">
        <f t="shared" si="7"/>
        <v>5.5524860386856041</v>
      </c>
      <c r="S10">
        <v>4.2</v>
      </c>
      <c r="T10" s="9"/>
      <c r="U10" s="57"/>
    </row>
    <row r="11" spans="1:21" x14ac:dyDescent="0.2">
      <c r="A11" t="s">
        <v>166</v>
      </c>
      <c r="B11" t="s">
        <v>167</v>
      </c>
      <c r="C11" t="s">
        <v>47</v>
      </c>
      <c r="D11">
        <v>20200730</v>
      </c>
      <c r="E11">
        <v>5.0596110000000003</v>
      </c>
      <c r="F11">
        <v>4.9143420000000004</v>
      </c>
      <c r="G11">
        <v>9.2909590000000009</v>
      </c>
      <c r="H11">
        <v>5.1408719999999999</v>
      </c>
      <c r="I11">
        <v>3.0619770000000002</v>
      </c>
      <c r="J11">
        <f t="shared" si="0"/>
        <v>5.4935522000000008</v>
      </c>
      <c r="K11">
        <f t="shared" si="1"/>
        <v>4.2612017946067962</v>
      </c>
      <c r="L11">
        <f t="shared" si="2"/>
        <v>4.4728106286979097</v>
      </c>
      <c r="M11">
        <f t="shared" si="3"/>
        <v>5.1506456253531647</v>
      </c>
      <c r="N11">
        <f t="shared" si="4"/>
        <v>4.5650120353544477</v>
      </c>
      <c r="O11">
        <f t="shared" si="5"/>
        <v>9.2033911477775003</v>
      </c>
      <c r="P11">
        <f t="shared" si="6"/>
        <v>4.9502408705142651</v>
      </c>
      <c r="Q11">
        <f t="shared" si="7"/>
        <v>5.4338836837173474</v>
      </c>
      <c r="R11">
        <v>13.3</v>
      </c>
      <c r="S11">
        <v>15.8</v>
      </c>
      <c r="T11" s="9"/>
      <c r="U11" s="57"/>
    </row>
    <row r="12" spans="1:21" x14ac:dyDescent="0.2">
      <c r="A12" t="s">
        <v>166</v>
      </c>
      <c r="B12" t="s">
        <v>167</v>
      </c>
      <c r="C12" t="s">
        <v>48</v>
      </c>
      <c r="D12">
        <v>20201029</v>
      </c>
      <c r="E12">
        <v>3.5958429999999999</v>
      </c>
      <c r="F12">
        <v>3.3792149999999999</v>
      </c>
      <c r="G12">
        <v>3.6658270000000002</v>
      </c>
      <c r="H12">
        <v>3.6323270000000001</v>
      </c>
      <c r="I12">
        <v>1.5614570000000001</v>
      </c>
      <c r="J12">
        <f t="shared" si="0"/>
        <v>3.1669338000000002</v>
      </c>
      <c r="K12">
        <f t="shared" si="1"/>
        <v>11.228989619952996</v>
      </c>
      <c r="L12">
        <f t="shared" si="2"/>
        <v>10.86444472118546</v>
      </c>
      <c r="M12">
        <f t="shared" si="3"/>
        <v>6.2340245608661062</v>
      </c>
      <c r="N12">
        <f t="shared" si="4"/>
        <v>11.163624886984154</v>
      </c>
      <c r="O12">
        <f t="shared" si="5"/>
        <v>8.057219436984667</v>
      </c>
      <c r="P12">
        <f t="shared" si="6"/>
        <v>9.1084151416637127</v>
      </c>
      <c r="Q12">
        <f t="shared" si="7"/>
        <v>9.4427863946061823</v>
      </c>
      <c r="R12">
        <v>8.9</v>
      </c>
      <c r="S12">
        <v>14.4</v>
      </c>
      <c r="T12" s="9"/>
      <c r="U12" s="57"/>
    </row>
    <row r="13" spans="1:21" x14ac:dyDescent="0.2">
      <c r="A13" t="s">
        <v>166</v>
      </c>
      <c r="B13" t="s">
        <v>167</v>
      </c>
      <c r="C13" t="s">
        <v>49</v>
      </c>
      <c r="D13">
        <v>20210218</v>
      </c>
      <c r="E13">
        <v>35.803674999999998</v>
      </c>
      <c r="F13">
        <v>31.901768000000001</v>
      </c>
      <c r="G13">
        <v>35.305307999999997</v>
      </c>
      <c r="H13">
        <v>20.965623000000001</v>
      </c>
      <c r="I13">
        <v>4.2776439999999996</v>
      </c>
      <c r="J13">
        <f>AVERAGE(E13:I13)</f>
        <v>25.6508036</v>
      </c>
      <c r="K13">
        <f t="shared" si="1"/>
        <v>143.3802643775048</v>
      </c>
      <c r="L13">
        <f t="shared" si="2"/>
        <v>135.94443064439523</v>
      </c>
      <c r="M13">
        <f t="shared" si="3"/>
        <v>138.68533217743226</v>
      </c>
      <c r="N13">
        <f t="shared" si="4"/>
        <v>83.11613222047464</v>
      </c>
      <c r="O13">
        <f t="shared" si="5"/>
        <v>39.449100167343701</v>
      </c>
      <c r="P13">
        <f t="shared" si="6"/>
        <v>116.63381528215082</v>
      </c>
      <c r="Q13">
        <f t="shared" si="7"/>
        <v>109.53484581155026</v>
      </c>
      <c r="R13">
        <v>15.5</v>
      </c>
      <c r="S13">
        <v>17.399999999999999</v>
      </c>
      <c r="T13" s="9"/>
      <c r="U13" s="57"/>
    </row>
    <row r="14" spans="1:21" x14ac:dyDescent="0.2">
      <c r="A14" t="s">
        <v>166</v>
      </c>
      <c r="B14" t="s">
        <v>167</v>
      </c>
      <c r="C14" t="s">
        <v>50</v>
      </c>
      <c r="D14">
        <v>20210429</v>
      </c>
      <c r="E14">
        <v>6.8960629999999998</v>
      </c>
      <c r="F14">
        <v>6.847073</v>
      </c>
      <c r="G14">
        <v>5.0413129999999997</v>
      </c>
      <c r="H14">
        <v>7.7921709999999997</v>
      </c>
      <c r="I14">
        <v>2.7772350000000001</v>
      </c>
      <c r="J14">
        <f>AVERAGE(E14:I14)</f>
        <v>5.8707709999999995</v>
      </c>
      <c r="K14">
        <f>(E14/E13)*$S13</f>
        <v>3.3513737402654895</v>
      </c>
      <c r="L14">
        <f t="shared" ref="L14:P14" si="8">(F14/F13)*$S13</f>
        <v>3.7345601096465875</v>
      </c>
      <c r="M14">
        <f t="shared" si="8"/>
        <v>2.484579548208445</v>
      </c>
      <c r="N14">
        <f t="shared" si="8"/>
        <v>6.4669566652037949</v>
      </c>
      <c r="O14">
        <f t="shared" si="8"/>
        <v>11.296846815677043</v>
      </c>
      <c r="P14">
        <f t="shared" si="8"/>
        <v>3.9823865557178872</v>
      </c>
      <c r="Q14">
        <f t="shared" ref="Q14:Q15" si="9">AVERAGE(K14:P14)</f>
        <v>5.2194505724532076</v>
      </c>
      <c r="R14">
        <v>8.1</v>
      </c>
      <c r="S14">
        <v>8</v>
      </c>
      <c r="T14" s="9"/>
      <c r="U14" s="57"/>
    </row>
    <row r="15" spans="1:21" x14ac:dyDescent="0.2">
      <c r="A15" t="s">
        <v>166</v>
      </c>
      <c r="B15" t="s">
        <v>167</v>
      </c>
      <c r="C15" t="s">
        <v>51</v>
      </c>
      <c r="D15">
        <v>20210729</v>
      </c>
      <c r="E15">
        <v>2.392801</v>
      </c>
      <c r="F15">
        <v>2.553239</v>
      </c>
      <c r="G15">
        <v>1.4437739999999999</v>
      </c>
      <c r="H15">
        <v>1.8972910000000001</v>
      </c>
      <c r="I15">
        <v>0.63249599999999995</v>
      </c>
      <c r="J15">
        <f>AVERAGE(E15:I15)</f>
        <v>1.7839202000000001</v>
      </c>
      <c r="K15">
        <f t="shared" ref="K15:K16" si="10">(E15/E14)*$S14</f>
        <v>2.7758458703176001</v>
      </c>
      <c r="L15">
        <f t="shared" ref="L15" si="11">(F15/F14)*$S14</f>
        <v>2.983159665451208</v>
      </c>
      <c r="M15">
        <f t="shared" ref="M15:M16" si="12">(G15/G14)*$S14</f>
        <v>2.2911078919321217</v>
      </c>
      <c r="N15">
        <f t="shared" ref="N15:N16" si="13">(H15/H14)*$S14</f>
        <v>1.9478946239757831</v>
      </c>
      <c r="O15">
        <f t="shared" ref="O15:O16" si="14">(I15/I14)*$S14</f>
        <v>1.8219444879529458</v>
      </c>
      <c r="P15">
        <f t="shared" ref="P15:P16" si="15">(J15/J14)*$S14</f>
        <v>2.4309177789424936</v>
      </c>
      <c r="Q15">
        <f t="shared" si="9"/>
        <v>2.3751450530953586</v>
      </c>
      <c r="R15">
        <v>1.8</v>
      </c>
      <c r="S15">
        <v>2.5</v>
      </c>
      <c r="T15" s="9"/>
      <c r="U15" s="57"/>
    </row>
    <row r="16" spans="1:21" x14ac:dyDescent="0.2">
      <c r="A16" t="s">
        <v>166</v>
      </c>
      <c r="B16" t="s">
        <v>167</v>
      </c>
      <c r="C16" t="s">
        <v>67</v>
      </c>
      <c r="D16">
        <v>20211028</v>
      </c>
      <c r="E16">
        <v>13.100631999999999</v>
      </c>
      <c r="F16">
        <v>16.745049000000002</v>
      </c>
      <c r="G16">
        <v>19.202703</v>
      </c>
      <c r="H16">
        <v>8.0044000000000004</v>
      </c>
      <c r="I16">
        <v>3.23245</v>
      </c>
      <c r="J16">
        <f>AVERAGE(E16:I16)</f>
        <v>12.0570468</v>
      </c>
      <c r="K16">
        <f t="shared" si="10"/>
        <v>13.687548609349459</v>
      </c>
      <c r="L16">
        <f>(F16/F15)*$S15</f>
        <v>16.395888712337545</v>
      </c>
      <c r="M16">
        <f t="shared" si="12"/>
        <v>33.25088102431544</v>
      </c>
      <c r="N16">
        <f t="shared" si="13"/>
        <v>10.547143269008286</v>
      </c>
      <c r="O16">
        <f t="shared" si="14"/>
        <v>12.776563013837244</v>
      </c>
      <c r="P16">
        <f t="shared" si="15"/>
        <v>16.896841573967265</v>
      </c>
      <c r="Q16">
        <f>AVERAGE(K16:P16)</f>
        <v>17.259144367135875</v>
      </c>
      <c r="R16">
        <f>'1. Data &amp; Confidence Interval'!T14</f>
        <v>10</v>
      </c>
      <c r="S16" s="9"/>
      <c r="T16" s="9"/>
      <c r="U16" s="57"/>
    </row>
    <row r="17" spans="1:22" x14ac:dyDescent="0.2">
      <c r="A17" s="151" t="s">
        <v>71</v>
      </c>
      <c r="B17" s="152"/>
      <c r="C17" s="152"/>
      <c r="D17" s="152"/>
      <c r="E17" s="91">
        <f t="shared" ref="E17:F17" si="16">CORREL(E$6:E$16,$S$6:$S$16)</f>
        <v>0.63406257154784162</v>
      </c>
      <c r="F17" s="91">
        <f t="shared" si="16"/>
        <v>0.63252449791445475</v>
      </c>
      <c r="G17" s="92">
        <f>CORREL(G$6:G$16,$S$6:$S$16)</f>
        <v>0.68919407378035857</v>
      </c>
      <c r="H17" s="91">
        <f t="shared" ref="H17:R17" si="17">CORREL(H$6:H$16,$S$6:$S$16)</f>
        <v>0.68628156876716484</v>
      </c>
      <c r="I17" s="92">
        <f t="shared" si="17"/>
        <v>0.87587568013550055</v>
      </c>
      <c r="J17" s="91">
        <f t="shared" si="17"/>
        <v>0.67400453819804185</v>
      </c>
      <c r="K17" s="91">
        <f t="shared" si="17"/>
        <v>0.59089980188946456</v>
      </c>
      <c r="L17" s="91">
        <f t="shared" si="17"/>
        <v>0.59255377879963933</v>
      </c>
      <c r="M17" s="91">
        <f t="shared" si="17"/>
        <v>0.58045176746681371</v>
      </c>
      <c r="N17" s="91">
        <f t="shared" si="17"/>
        <v>0.62106491213027548</v>
      </c>
      <c r="O17" s="91">
        <f t="shared" si="17"/>
        <v>0.72382826038705173</v>
      </c>
      <c r="P17" s="91">
        <f t="shared" si="17"/>
        <v>0.59533659158013219</v>
      </c>
      <c r="Q17" s="91">
        <f t="shared" si="17"/>
        <v>0.60248240958693233</v>
      </c>
      <c r="R17" s="91">
        <f t="shared" si="17"/>
        <v>0.94268954933668614</v>
      </c>
      <c r="S17" s="5"/>
    </row>
    <row r="19" spans="1:22" x14ac:dyDescent="0.2">
      <c r="A19" s="154" t="s">
        <v>73</v>
      </c>
      <c r="B19" s="155"/>
    </row>
    <row r="20" spans="1:22" x14ac:dyDescent="0.2">
      <c r="A20" s="16" t="s">
        <v>52</v>
      </c>
      <c r="B20" s="16" t="s">
        <v>53</v>
      </c>
      <c r="C20" s="16" t="s">
        <v>64</v>
      </c>
      <c r="D20" s="16" t="s">
        <v>54</v>
      </c>
      <c r="E20" s="16" t="s">
        <v>55</v>
      </c>
      <c r="F20" s="16" t="s">
        <v>65</v>
      </c>
      <c r="G20" s="16" t="s">
        <v>56</v>
      </c>
      <c r="H20" s="16" t="s">
        <v>57</v>
      </c>
      <c r="I20" s="16" t="s">
        <v>66</v>
      </c>
      <c r="J20" s="16" t="s">
        <v>58</v>
      </c>
      <c r="K20" s="16" t="s">
        <v>59</v>
      </c>
      <c r="L20" s="16" t="s">
        <v>69</v>
      </c>
      <c r="M20" s="16" t="s">
        <v>60</v>
      </c>
      <c r="N20" s="16" t="s">
        <v>61</v>
      </c>
      <c r="O20" s="16" t="s">
        <v>70</v>
      </c>
      <c r="P20" s="16" t="s">
        <v>62</v>
      </c>
      <c r="Q20" s="16" t="s">
        <v>63</v>
      </c>
      <c r="R20" s="16" t="s">
        <v>0</v>
      </c>
    </row>
    <row r="21" spans="1:22" x14ac:dyDescent="0.2">
      <c r="A21" s="9" t="str">
        <f t="shared" ref="A21:D30" si="18">A6</f>
        <v>VAPO_CAP</v>
      </c>
      <c r="B21" s="9" t="str">
        <f t="shared" si="18"/>
        <v>CAPITAL EQUIPMENT</v>
      </c>
      <c r="C21" s="9" t="str">
        <f t="shared" si="18"/>
        <v>2019Q1</v>
      </c>
      <c r="D21" s="9">
        <f t="shared" si="18"/>
        <v>20190502</v>
      </c>
      <c r="E21" s="17">
        <f t="shared" ref="E21:J21" si="19">$S6/E6-1</f>
        <v>0.35176319075099061</v>
      </c>
      <c r="F21" s="17">
        <f t="shared" si="19"/>
        <v>0.15038394064018878</v>
      </c>
      <c r="G21" s="17">
        <f>$S6/G6-1</f>
        <v>0.51214285076043597</v>
      </c>
      <c r="H21" s="17">
        <f t="shared" si="19"/>
        <v>0.44177395867875857</v>
      </c>
      <c r="I21" s="17">
        <f t="shared" si="19"/>
        <v>4.5873725380639758</v>
      </c>
      <c r="J21" s="17">
        <f t="shared" si="19"/>
        <v>0.59087336199701501</v>
      </c>
      <c r="K21" s="17"/>
      <c r="L21" s="17"/>
      <c r="M21" s="17"/>
      <c r="N21" s="17"/>
      <c r="O21" s="17"/>
      <c r="P21" s="17"/>
      <c r="Q21" s="17"/>
      <c r="R21" s="35"/>
    </row>
    <row r="22" spans="1:22" x14ac:dyDescent="0.2">
      <c r="A22" s="9" t="str">
        <f t="shared" si="18"/>
        <v>VAPO_CAP</v>
      </c>
      <c r="B22" s="9" t="str">
        <f t="shared" si="18"/>
        <v>CAPITAL EQUIPMENT</v>
      </c>
      <c r="C22" s="9" t="str">
        <f t="shared" si="18"/>
        <v>2019Q2</v>
      </c>
      <c r="D22" s="9">
        <f t="shared" si="18"/>
        <v>20190725</v>
      </c>
      <c r="E22" s="17">
        <f t="shared" ref="E22:Q22" si="20">$S7/E7-1</f>
        <v>0.69810696822663121</v>
      </c>
      <c r="F22" s="17">
        <f t="shared" si="20"/>
        <v>0.59003400162183439</v>
      </c>
      <c r="G22" s="17">
        <f t="shared" si="20"/>
        <v>0.22828441636773023</v>
      </c>
      <c r="H22" s="17">
        <f t="shared" si="20"/>
        <v>0.81972640892317195</v>
      </c>
      <c r="I22" s="17">
        <f t="shared" si="20"/>
        <v>6.5043347407252341</v>
      </c>
      <c r="J22" s="17">
        <f t="shared" si="20"/>
        <v>0.84179593327580449</v>
      </c>
      <c r="K22" s="17">
        <f t="shared" si="20"/>
        <v>0.25621631055305238</v>
      </c>
      <c r="L22" s="17">
        <f t="shared" si="20"/>
        <v>0.38217680675981991</v>
      </c>
      <c r="M22" s="17">
        <f t="shared" si="20"/>
        <v>-0.18771932443416783</v>
      </c>
      <c r="N22" s="17">
        <f t="shared" si="20"/>
        <v>0.26214403996502256</v>
      </c>
      <c r="O22" s="17">
        <f t="shared" si="20"/>
        <v>0.34308831022129871</v>
      </c>
      <c r="P22" s="17">
        <f t="shared" si="20"/>
        <v>0.15772630133413479</v>
      </c>
      <c r="Q22" s="17">
        <f t="shared" si="20"/>
        <v>0.16476435727088901</v>
      </c>
      <c r="R22" s="35"/>
    </row>
    <row r="23" spans="1:22" x14ac:dyDescent="0.2">
      <c r="A23" s="9" t="str">
        <f t="shared" si="18"/>
        <v>VAPO_CAP</v>
      </c>
      <c r="B23" s="9" t="str">
        <f t="shared" si="18"/>
        <v>CAPITAL EQUIPMENT</v>
      </c>
      <c r="C23" s="9" t="str">
        <f t="shared" si="18"/>
        <v>2019Q3</v>
      </c>
      <c r="D23" s="9">
        <f t="shared" si="18"/>
        <v>20191031</v>
      </c>
      <c r="E23" s="17">
        <f t="shared" ref="E23:Q23" si="21">$S8/E8-1</f>
        <v>-0.5562695723069242</v>
      </c>
      <c r="F23" s="17">
        <f t="shared" si="21"/>
        <v>-0.58330308625472593</v>
      </c>
      <c r="G23" s="17">
        <f t="shared" si="21"/>
        <v>-0.47301928056037468</v>
      </c>
      <c r="H23" s="17">
        <f t="shared" si="21"/>
        <v>-0.48023497755982913</v>
      </c>
      <c r="I23" s="17">
        <f t="shared" si="21"/>
        <v>1.6690191495100244</v>
      </c>
      <c r="J23" s="17">
        <f t="shared" si="21"/>
        <v>-0.43500684504075482</v>
      </c>
      <c r="K23" s="17">
        <f t="shared" si="21"/>
        <v>-0.73869112135116377</v>
      </c>
      <c r="L23" s="17">
        <f t="shared" si="21"/>
        <v>-0.73793207357814783</v>
      </c>
      <c r="M23" s="17">
        <f t="shared" si="21"/>
        <v>-0.57096197556750972</v>
      </c>
      <c r="N23" s="17">
        <f t="shared" si="21"/>
        <v>-0.71437188585522415</v>
      </c>
      <c r="O23" s="17">
        <f t="shared" si="21"/>
        <v>-0.64433634136473961</v>
      </c>
      <c r="P23" s="17">
        <f t="shared" si="21"/>
        <v>-0.69323791808229673</v>
      </c>
      <c r="Q23" s="17">
        <f t="shared" si="21"/>
        <v>-0.69303253593468728</v>
      </c>
      <c r="R23" s="35"/>
    </row>
    <row r="24" spans="1:22" x14ac:dyDescent="0.2">
      <c r="A24" s="9" t="str">
        <f t="shared" si="18"/>
        <v>VAPO_CAP</v>
      </c>
      <c r="B24" s="9" t="str">
        <f t="shared" si="18"/>
        <v>CAPITAL EQUIPMENT</v>
      </c>
      <c r="C24" s="9" t="str">
        <f t="shared" si="18"/>
        <v>2019Q4</v>
      </c>
      <c r="D24" s="9">
        <f t="shared" si="18"/>
        <v>20200227</v>
      </c>
      <c r="E24" s="17">
        <f t="shared" ref="E24:Q24" si="22">$S9/E9-1</f>
        <v>3.3252793997127439E-2</v>
      </c>
      <c r="F24" s="17">
        <f t="shared" si="22"/>
        <v>0.11835030380868905</v>
      </c>
      <c r="G24" s="17">
        <f t="shared" si="22"/>
        <v>-3.5374420806137952E-3</v>
      </c>
      <c r="H24" s="17">
        <f t="shared" si="22"/>
        <v>-8.4256146087171246E-2</v>
      </c>
      <c r="I24" s="17">
        <f t="shared" si="22"/>
        <v>2.9949789422557331</v>
      </c>
      <c r="J24" s="17">
        <f t="shared" si="22"/>
        <v>0.18825127186663759</v>
      </c>
      <c r="K24" s="17">
        <f t="shared" si="22"/>
        <v>1.3285597054250662</v>
      </c>
      <c r="L24" s="17">
        <f t="shared" si="22"/>
        <v>1.6838459007458226</v>
      </c>
      <c r="M24" s="17">
        <f t="shared" si="22"/>
        <v>0.89088997217771659</v>
      </c>
      <c r="N24" s="17">
        <f t="shared" si="22"/>
        <v>0.76184201394244111</v>
      </c>
      <c r="O24" s="17">
        <f t="shared" si="22"/>
        <v>0.4967966576744598</v>
      </c>
      <c r="P24" s="17">
        <f t="shared" si="22"/>
        <v>1.1031250758291931</v>
      </c>
      <c r="Q24" s="17">
        <f t="shared" si="22"/>
        <v>0.97234428309976195</v>
      </c>
      <c r="R24" s="35"/>
      <c r="V24" s="96"/>
    </row>
    <row r="25" spans="1:22" x14ac:dyDescent="0.2">
      <c r="A25" s="9" t="str">
        <f t="shared" si="18"/>
        <v>VAPO_CAP</v>
      </c>
      <c r="B25" s="9" t="str">
        <f t="shared" si="18"/>
        <v>CAPITAL EQUIPMENT</v>
      </c>
      <c r="C25" s="9" t="str">
        <f t="shared" si="18"/>
        <v>2020Q1</v>
      </c>
      <c r="D25" s="9">
        <f t="shared" si="18"/>
        <v>20200430</v>
      </c>
      <c r="E25" s="17">
        <f t="shared" ref="E25:Q25" si="23">$S10/E10-1</f>
        <v>-0.15780051181666033</v>
      </c>
      <c r="F25" s="17">
        <f t="shared" si="23"/>
        <v>-8.9845470930206117E-2</v>
      </c>
      <c r="G25" s="17">
        <f t="shared" si="23"/>
        <v>-0.44562820421948213</v>
      </c>
      <c r="H25" s="17">
        <f t="shared" si="23"/>
        <v>-0.11201600908280773</v>
      </c>
      <c r="I25" s="17">
        <f t="shared" si="23"/>
        <v>2.0057022465477368</v>
      </c>
      <c r="J25" s="17">
        <f t="shared" si="23"/>
        <v>-9.8899821045795533E-2</v>
      </c>
      <c r="K25" s="17">
        <f t="shared" si="23"/>
        <v>-0.18490470766084266</v>
      </c>
      <c r="L25" s="17">
        <f t="shared" si="23"/>
        <v>-0.18616329251206643</v>
      </c>
      <c r="M25" s="17">
        <f t="shared" si="23"/>
        <v>-0.44366018434446131</v>
      </c>
      <c r="N25" s="17">
        <f t="shared" si="23"/>
        <v>-3.0314004158502383E-2</v>
      </c>
      <c r="O25" s="17">
        <f t="shared" si="23"/>
        <v>-0.24763001507822957</v>
      </c>
      <c r="P25" s="17">
        <f t="shared" si="23"/>
        <v>-0.24165856137594888</v>
      </c>
      <c r="Q25" s="17">
        <f t="shared" si="23"/>
        <v>-0.24358206923213932</v>
      </c>
      <c r="R25" s="35"/>
    </row>
    <row r="26" spans="1:22" x14ac:dyDescent="0.2">
      <c r="A26" s="9" t="str">
        <f t="shared" si="18"/>
        <v>VAPO_CAP</v>
      </c>
      <c r="B26" s="9" t="str">
        <f t="shared" si="18"/>
        <v>CAPITAL EQUIPMENT</v>
      </c>
      <c r="C26" s="9" t="str">
        <f t="shared" si="18"/>
        <v>2020Q2</v>
      </c>
      <c r="D26" s="9">
        <f t="shared" si="18"/>
        <v>20200730</v>
      </c>
      <c r="E26" s="17">
        <f t="shared" ref="E26:Q26" si="24">$S11/E11-1</f>
        <v>2.12276971490496</v>
      </c>
      <c r="F26" s="17">
        <f t="shared" si="24"/>
        <v>2.215079455194612</v>
      </c>
      <c r="G26" s="17">
        <f t="shared" si="24"/>
        <v>0.70057794895015668</v>
      </c>
      <c r="H26" s="17">
        <f t="shared" si="24"/>
        <v>2.0734085579255819</v>
      </c>
      <c r="I26" s="17">
        <f t="shared" si="24"/>
        <v>4.1600648861830116</v>
      </c>
      <c r="J26" s="17">
        <f t="shared" si="24"/>
        <v>1.8760990020264119</v>
      </c>
      <c r="K26" s="17">
        <f t="shared" si="24"/>
        <v>2.7078741541875164</v>
      </c>
      <c r="L26" s="17">
        <f t="shared" si="24"/>
        <v>2.532454492623931</v>
      </c>
      <c r="M26" s="17">
        <f t="shared" si="24"/>
        <v>2.0675766009269259</v>
      </c>
      <c r="N26" s="17">
        <f t="shared" si="24"/>
        <v>2.4611080710487587</v>
      </c>
      <c r="O26" s="17">
        <f t="shared" si="24"/>
        <v>0.71675850198059821</v>
      </c>
      <c r="P26" s="17">
        <f t="shared" si="24"/>
        <v>2.1917638784228672</v>
      </c>
      <c r="Q26" s="17">
        <f t="shared" si="24"/>
        <v>1.9076809368122398</v>
      </c>
      <c r="R26" s="35"/>
    </row>
    <row r="27" spans="1:22" x14ac:dyDescent="0.2">
      <c r="A27" s="9" t="str">
        <f t="shared" si="18"/>
        <v>VAPO_CAP</v>
      </c>
      <c r="B27" s="9" t="str">
        <f t="shared" si="18"/>
        <v>CAPITAL EQUIPMENT</v>
      </c>
      <c r="C27" s="9" t="str">
        <f t="shared" si="18"/>
        <v>2020Q3</v>
      </c>
      <c r="D27" s="9">
        <f t="shared" si="18"/>
        <v>20201029</v>
      </c>
      <c r="E27" s="17">
        <f t="shared" ref="E27:R27" si="25">$S12/E12-1</f>
        <v>3.0046242285884004</v>
      </c>
      <c r="F27" s="17">
        <f t="shared" si="25"/>
        <v>3.2613447205933923</v>
      </c>
      <c r="G27" s="17">
        <f t="shared" si="25"/>
        <v>2.928172278724555</v>
      </c>
      <c r="H27" s="17">
        <f t="shared" si="25"/>
        <v>2.9644007821982989</v>
      </c>
      <c r="I27" s="17">
        <f t="shared" si="25"/>
        <v>8.2221559735554681</v>
      </c>
      <c r="J27" s="17">
        <f t="shared" si="25"/>
        <v>3.5469848469835394</v>
      </c>
      <c r="K27" s="17">
        <f t="shared" si="25"/>
        <v>0.28239498720458145</v>
      </c>
      <c r="L27" s="17">
        <f t="shared" si="25"/>
        <v>0.32542438841078325</v>
      </c>
      <c r="M27" s="17">
        <f t="shared" si="25"/>
        <v>1.3099042776307859</v>
      </c>
      <c r="N27" s="17">
        <f t="shared" si="25"/>
        <v>0.28990360620135025</v>
      </c>
      <c r="O27" s="17">
        <f t="shared" si="25"/>
        <v>0.78721705578730705</v>
      </c>
      <c r="P27" s="17">
        <f t="shared" si="25"/>
        <v>0.58095560819703085</v>
      </c>
      <c r="Q27" s="17">
        <f t="shared" si="25"/>
        <v>0.52497360400161441</v>
      </c>
      <c r="R27" s="35">
        <f t="shared" si="25"/>
        <v>0.6179775280898876</v>
      </c>
    </row>
    <row r="28" spans="1:22" x14ac:dyDescent="0.2">
      <c r="A28" s="9" t="str">
        <f t="shared" si="18"/>
        <v>VAPO_CAP</v>
      </c>
      <c r="B28" s="9" t="str">
        <f t="shared" si="18"/>
        <v>CAPITAL EQUIPMENT</v>
      </c>
      <c r="C28" s="9" t="str">
        <f t="shared" si="18"/>
        <v>2020Q4</v>
      </c>
      <c r="D28" s="9">
        <f t="shared" si="18"/>
        <v>20210218</v>
      </c>
      <c r="E28" s="17">
        <f t="shared" ref="E28:R28" si="26">$S13/E13-1</f>
        <v>-0.51401636843145293</v>
      </c>
      <c r="F28" s="17">
        <f t="shared" si="26"/>
        <v>-0.45457568370505363</v>
      </c>
      <c r="G28" s="17">
        <f t="shared" si="26"/>
        <v>-0.50715626103587597</v>
      </c>
      <c r="H28" s="17">
        <f t="shared" si="26"/>
        <v>-0.17006997597924955</v>
      </c>
      <c r="I28" s="17">
        <f t="shared" si="26"/>
        <v>3.0676596743441014</v>
      </c>
      <c r="J28" s="17">
        <f t="shared" si="26"/>
        <v>-0.32165867895070555</v>
      </c>
      <c r="K28" s="17">
        <f t="shared" si="26"/>
        <v>-0.87864438613261531</v>
      </c>
      <c r="L28" s="17">
        <f t="shared" si="26"/>
        <v>-0.87200652562578984</v>
      </c>
      <c r="M28" s="17">
        <f t="shared" si="26"/>
        <v>-0.8745361190919696</v>
      </c>
      <c r="N28" s="17">
        <f t="shared" si="26"/>
        <v>-0.7906543587249153</v>
      </c>
      <c r="O28" s="17">
        <f t="shared" si="26"/>
        <v>-0.55892530054706124</v>
      </c>
      <c r="P28" s="17">
        <f t="shared" si="26"/>
        <v>-0.85081513489113458</v>
      </c>
      <c r="Q28" s="17">
        <f t="shared" si="26"/>
        <v>-0.84114644183700304</v>
      </c>
      <c r="R28" s="35">
        <f t="shared" si="26"/>
        <v>0.1225806451612903</v>
      </c>
    </row>
    <row r="29" spans="1:22" x14ac:dyDescent="0.2">
      <c r="A29" s="9" t="str">
        <f t="shared" si="18"/>
        <v>VAPO_CAP</v>
      </c>
      <c r="B29" s="9" t="str">
        <f t="shared" si="18"/>
        <v>CAPITAL EQUIPMENT</v>
      </c>
      <c r="C29" s="9" t="str">
        <f t="shared" si="18"/>
        <v>2021Q1</v>
      </c>
      <c r="D29" s="9">
        <f t="shared" si="18"/>
        <v>20210429</v>
      </c>
      <c r="E29" s="17">
        <f t="shared" ref="E29:Q29" si="27">$S14/E14-1</f>
        <v>0.16008220922575678</v>
      </c>
      <c r="F29" s="17">
        <f t="shared" si="27"/>
        <v>0.16838246065143458</v>
      </c>
      <c r="G29" s="17">
        <f t="shared" si="27"/>
        <v>0.58688817774258428</v>
      </c>
      <c r="H29" s="17">
        <f t="shared" si="27"/>
        <v>2.6671514267333274E-2</v>
      </c>
      <c r="I29" s="17">
        <f t="shared" si="27"/>
        <v>1.8805628619832313</v>
      </c>
      <c r="J29" s="17">
        <f t="shared" si="27"/>
        <v>0.3626830274933226</v>
      </c>
      <c r="K29" s="17">
        <f t="shared" si="27"/>
        <v>1.3870808271494828</v>
      </c>
      <c r="L29" s="17">
        <f t="shared" si="27"/>
        <v>1.1421532295960457</v>
      </c>
      <c r="M29" s="17">
        <f t="shared" si="27"/>
        <v>2.2198606825724529</v>
      </c>
      <c r="N29" s="17">
        <f t="shared" si="27"/>
        <v>0.23705792603264553</v>
      </c>
      <c r="O29" s="17">
        <f t="shared" si="27"/>
        <v>-0.29183779062152893</v>
      </c>
      <c r="P29" s="17">
        <f t="shared" si="27"/>
        <v>1.0088456728324493</v>
      </c>
      <c r="Q29" s="17">
        <f t="shared" si="27"/>
        <v>0.53272837609033985</v>
      </c>
      <c r="R29" s="35">
        <f t="shared" ref="R29:R30" si="28">$S14/R14-1</f>
        <v>-1.2345679012345623E-2</v>
      </c>
    </row>
    <row r="30" spans="1:22" x14ac:dyDescent="0.2">
      <c r="A30" s="9" t="str">
        <f t="shared" si="18"/>
        <v>VAPO_CAP</v>
      </c>
      <c r="B30" s="9" t="str">
        <f t="shared" si="18"/>
        <v>CAPITAL EQUIPMENT</v>
      </c>
      <c r="C30" s="9" t="str">
        <f t="shared" si="18"/>
        <v>2021Q2</v>
      </c>
      <c r="D30" s="9">
        <f t="shared" si="18"/>
        <v>20210729</v>
      </c>
      <c r="E30" s="17">
        <f t="shared" ref="E30:Q30" si="29">$S15/E15-1</f>
        <v>4.4800633232767728E-2</v>
      </c>
      <c r="F30" s="17">
        <f t="shared" si="29"/>
        <v>-2.0851553654005817E-2</v>
      </c>
      <c r="G30" s="17">
        <f t="shared" si="29"/>
        <v>0.73157294701248277</v>
      </c>
      <c r="H30" s="17">
        <f t="shared" si="29"/>
        <v>0.31766819112091915</v>
      </c>
      <c r="I30" s="17">
        <f t="shared" si="29"/>
        <v>2.9525941666034257</v>
      </c>
      <c r="J30" s="17">
        <f t="shared" si="29"/>
        <v>0.40140797777837811</v>
      </c>
      <c r="K30" s="17">
        <f t="shared" si="29"/>
        <v>-9.9373626348367439E-2</v>
      </c>
      <c r="L30" s="17">
        <f t="shared" si="29"/>
        <v>-0.16196238875404922</v>
      </c>
      <c r="M30" s="17">
        <f t="shared" si="29"/>
        <v>9.11751510277925E-2</v>
      </c>
      <c r="N30" s="17">
        <f t="shared" si="29"/>
        <v>0.2834369833093604</v>
      </c>
      <c r="O30" s="17">
        <f t="shared" si="29"/>
        <v>0.37216035753585808</v>
      </c>
      <c r="P30" s="17">
        <f t="shared" si="29"/>
        <v>2.8418164388743339E-2</v>
      </c>
      <c r="Q30" s="17">
        <f t="shared" si="29"/>
        <v>5.2567293413059879E-2</v>
      </c>
      <c r="R30" s="35">
        <f t="shared" si="28"/>
        <v>0.38888888888888884</v>
      </c>
    </row>
    <row r="31" spans="1:22" x14ac:dyDescent="0.2">
      <c r="A31" s="160" t="s">
        <v>74</v>
      </c>
      <c r="B31" s="160"/>
      <c r="C31" s="156"/>
      <c r="D31" s="157"/>
      <c r="E31" s="68" cm="1">
        <f t="array" ref="E31">SUM(ABS(E21:E30))/COUNT(E21:E30)</f>
        <v>0.76434861914816721</v>
      </c>
      <c r="F31" s="68" cm="1">
        <f t="array" ref="F31">SUM(ABS(F21:F30))/COUNT(F21:F30)</f>
        <v>0.76521506770541425</v>
      </c>
      <c r="G31" s="99" cm="1">
        <f t="array" ref="G31">SUM(ABS(G21:G30))/COUNT(G21:G30)</f>
        <v>0.71169798074542912</v>
      </c>
      <c r="H31" s="68" cm="1">
        <f t="array" ref="H31">SUM(ABS(H21:H30))/COUNT(H21:H30)</f>
        <v>0.74902265218231212</v>
      </c>
      <c r="I31" s="68" cm="1">
        <f t="array" ref="I31">SUM(ABS(I21:I30))/COUNT(I21:I30)</f>
        <v>3.8044445179771942</v>
      </c>
      <c r="J31" s="68" cm="1">
        <f t="array" ref="J31">SUM(ABS(J21:J30))/COUNT(J21:J30)</f>
        <v>0.86636607664583654</v>
      </c>
      <c r="K31" s="68" cm="1">
        <f t="array" ref="K31">SUM(ABS(K21:K30))/COUNT(K21:K30)</f>
        <v>0.87374886955696529</v>
      </c>
      <c r="L31" s="68" cm="1">
        <f t="array" ref="L31">SUM(ABS(L21:L30))/COUNT(L21:L30)</f>
        <v>0.89156878873405054</v>
      </c>
      <c r="M31" s="68" cm="1">
        <f t="array" ref="M31">SUM(ABS(M21:M30))/COUNT(M21:M30)</f>
        <v>0.96180936530819794</v>
      </c>
      <c r="N31" s="68" cm="1">
        <f t="array" ref="N31">SUM(ABS(N21:N30))/COUNT(N21:N30)</f>
        <v>0.64787032102646891</v>
      </c>
      <c r="O31" s="68" cm="1">
        <f t="array" ref="O31">SUM(ABS(O21:O30))/COUNT(O21:O30)</f>
        <v>0.49541670342345356</v>
      </c>
      <c r="P31" s="68" cm="1">
        <f t="array" ref="P31">SUM(ABS(P21:P30))/COUNT(P21:P30)</f>
        <v>0.76183847948375549</v>
      </c>
      <c r="Q31" s="68" cm="1">
        <f t="array" ref="Q31">SUM(ABS(Q21:Q30))/COUNT(Q21:Q30)</f>
        <v>0.65920221085463715</v>
      </c>
      <c r="R31" s="68" cm="1">
        <f t="array" ref="R31">SUM(ABS(R21:R30))/COUNT(R21:R30)</f>
        <v>0.28544818528810312</v>
      </c>
    </row>
    <row r="32" spans="1:22" x14ac:dyDescent="0.2">
      <c r="A32" s="161" t="s">
        <v>75</v>
      </c>
      <c r="B32" s="161"/>
      <c r="C32" s="158"/>
      <c r="D32" s="159"/>
      <c r="E32" s="69" cm="1">
        <f t="array" ref="E32">SQRT(SUM(POWER(E21:E30,2))/COUNT(E21:E30))</f>
        <v>1.2154134079961798</v>
      </c>
      <c r="F32" s="69" cm="1">
        <f t="array" ref="F32">SQRT(SUM(POWER(F21:F30,2))/COUNT(F21:F30))</f>
        <v>1.2849688641400343</v>
      </c>
      <c r="G32" s="100" cm="1">
        <f t="array" ref="G32">SQRT(SUM(POWER(G21:G30,2))/COUNT(G21:G30))</f>
        <v>1.0458773763469684</v>
      </c>
      <c r="H32" s="69" cm="1">
        <f t="array" ref="H32">SQRT(SUM(POWER(H21:H30,2))/COUNT(H21:H30))</f>
        <v>1.1972732029824618</v>
      </c>
      <c r="I32" s="69" cm="1">
        <f t="array" ref="I32">SQRT(SUM(POWER(I21:I30,2))/COUNT(I21:I30))</f>
        <v>4.3093337778482264</v>
      </c>
      <c r="J32" s="69" cm="1">
        <f t="array" ref="J32">SQRT(SUM(POWER(J21:J30,2))/COUNT(J21:J30))</f>
        <v>1.3337609610918835</v>
      </c>
      <c r="K32" s="69" cm="1">
        <f t="array" ref="K32">SQRT(SUM(POWER(K21:K30,2))/COUNT(K21:K30))</f>
        <v>1.1798674912420108</v>
      </c>
      <c r="L32" s="69" cm="1">
        <f t="array" ref="L32">SQRT(SUM(POWER(L21:L30,2))/COUNT(L21:L30))</f>
        <v>1.1628969874863353</v>
      </c>
      <c r="M32" s="69" cm="1">
        <f t="array" ref="M32">SQRT(SUM(POWER(M21:M30,2))/COUNT(M21:M30))</f>
        <v>1.2038542465790514</v>
      </c>
      <c r="N32" s="69" cm="1">
        <f t="array" ref="N32">SQRT(SUM(POWER(N21:N30,2))/COUNT(N21:N30))</f>
        <v>0.94652189145832089</v>
      </c>
      <c r="O32" s="69" cm="1">
        <f t="array" ref="O32">SQRT(SUM(POWER(O21:O30,2))/COUNT(O21:O30))</f>
        <v>0.52815507142942253</v>
      </c>
      <c r="P32" s="69" cm="1">
        <f t="array" ref="P32">SQRT(SUM(POWER(P21:P30,2))/COUNT(P21:P30))</f>
        <v>0.98118647481753285</v>
      </c>
      <c r="Q32" s="69" cm="1">
        <f t="array" ref="Q32">SQRT(SUM(POWER(Q21:Q30,2))/COUNT(Q21:Q30))</f>
        <v>0.84466699814766577</v>
      </c>
      <c r="R32" s="69" cm="1">
        <f t="array" ref="R32">SQRT(SUM(POWER(R21:R30,2))/COUNT(R21:R30))</f>
        <v>0.37023952499826257</v>
      </c>
    </row>
    <row r="33" spans="2:19" x14ac:dyDescent="0.2">
      <c r="G33" s="3">
        <f>AVERAGE(G26:G29,G21:G23)</f>
        <v>0.56798430442131587</v>
      </c>
      <c r="I33" s="3"/>
      <c r="J33" s="3"/>
      <c r="R33" s="3">
        <f>AVERAGE(R30:R30)</f>
        <v>0.38888888888888884</v>
      </c>
      <c r="S33" t="e">
        <f>#REF!*(1+R33)</f>
        <v>#REF!</v>
      </c>
    </row>
    <row r="34" spans="2:19" x14ac:dyDescent="0.2">
      <c r="B34" t="s">
        <v>154</v>
      </c>
      <c r="G34" s="3">
        <f>AVERAGE(G30,G24:G25)</f>
        <v>9.4135766904128948E-2</v>
      </c>
      <c r="J34" s="3"/>
      <c r="R34" s="3">
        <f>MEDIAN(R30:R30)</f>
        <v>0.38888888888888884</v>
      </c>
      <c r="S34" t="e">
        <f>#REF!*(1+R34)</f>
        <v>#REF!</v>
      </c>
    </row>
    <row r="35" spans="2:19" x14ac:dyDescent="0.2">
      <c r="G35">
        <f>$G$16*(1+G33)</f>
        <v>30.109536906464111</v>
      </c>
    </row>
    <row r="36" spans="2:19" x14ac:dyDescent="0.2">
      <c r="G36">
        <f>$G$16*(1+G34)</f>
        <v>21.010364173537216</v>
      </c>
    </row>
  </sheetData>
  <mergeCells count="7">
    <mergeCell ref="A17:D17"/>
    <mergeCell ref="A4:B4"/>
    <mergeCell ref="A19:B19"/>
    <mergeCell ref="C31:D31"/>
    <mergeCell ref="C32:D32"/>
    <mergeCell ref="A31:B31"/>
    <mergeCell ref="A32:B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3"/>
  <sheetViews>
    <sheetView zoomScale="85" zoomScaleNormal="85" workbookViewId="0">
      <selection activeCell="E9" sqref="E9"/>
    </sheetView>
  </sheetViews>
  <sheetFormatPr defaultRowHeight="12.75" x14ac:dyDescent="0.2"/>
  <cols>
    <col min="1" max="1" width="9.140625" style="62"/>
    <col min="3" max="3" width="13.140625" bestFit="1" customWidth="1"/>
    <col min="4" max="4" width="8.85546875" customWidth="1"/>
    <col min="5" max="5" width="8.42578125" customWidth="1"/>
    <col min="6" max="6" width="8.7109375" bestFit="1" customWidth="1"/>
    <col min="7" max="7" width="14.7109375" bestFit="1" customWidth="1"/>
    <col min="8" max="8" width="8.42578125" bestFit="1" customWidth="1"/>
    <col min="9" max="9" width="7.7109375" bestFit="1" customWidth="1"/>
    <col min="10" max="10" width="12.140625" bestFit="1" customWidth="1"/>
    <col min="11" max="11" width="12.7109375" bestFit="1" customWidth="1"/>
    <col min="12" max="12" width="7.5703125" bestFit="1" customWidth="1"/>
    <col min="13" max="13" width="8.42578125" bestFit="1" customWidth="1"/>
  </cols>
  <sheetData>
    <row r="1" spans="1:17" x14ac:dyDescent="0.2">
      <c r="A1" s="62" t="s">
        <v>100</v>
      </c>
      <c r="B1" t="s">
        <v>80</v>
      </c>
    </row>
    <row r="2" spans="1:17" x14ac:dyDescent="0.2">
      <c r="A2" s="62" t="s">
        <v>95</v>
      </c>
      <c r="B2" t="s">
        <v>78</v>
      </c>
    </row>
    <row r="3" spans="1:17" x14ac:dyDescent="0.2">
      <c r="A3" s="62" t="s">
        <v>96</v>
      </c>
      <c r="B3" t="s">
        <v>143</v>
      </c>
    </row>
    <row r="4" spans="1:17" x14ac:dyDescent="0.2">
      <c r="A4" s="62" t="s">
        <v>97</v>
      </c>
      <c r="B4" t="s">
        <v>162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2" t="s">
        <v>98</v>
      </c>
      <c r="B7" s="162" t="s">
        <v>79</v>
      </c>
      <c r="C7" s="162"/>
      <c r="D7" s="162" t="s">
        <v>108</v>
      </c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6"/>
      <c r="P7" s="6"/>
      <c r="Q7" s="6"/>
    </row>
    <row r="8" spans="1:17" ht="15" x14ac:dyDescent="0.2">
      <c r="A8" s="62" t="s">
        <v>168</v>
      </c>
      <c r="C8" s="66" t="s">
        <v>81</v>
      </c>
      <c r="D8" s="66" t="s">
        <v>82</v>
      </c>
      <c r="E8" s="66" t="s">
        <v>83</v>
      </c>
      <c r="F8" s="66" t="s">
        <v>84</v>
      </c>
      <c r="G8" s="66" t="s">
        <v>85</v>
      </c>
      <c r="H8" s="66" t="s">
        <v>86</v>
      </c>
      <c r="I8" s="66" t="s">
        <v>87</v>
      </c>
      <c r="J8" s="66" t="s">
        <v>88</v>
      </c>
      <c r="K8" s="66" t="s">
        <v>89</v>
      </c>
      <c r="L8" s="66" t="s">
        <v>90</v>
      </c>
      <c r="M8" s="66" t="s">
        <v>91</v>
      </c>
      <c r="O8" s="6"/>
      <c r="P8" s="6"/>
      <c r="Q8" s="6"/>
    </row>
    <row r="9" spans="1:17" ht="15" x14ac:dyDescent="0.2">
      <c r="B9" s="66" t="s">
        <v>92</v>
      </c>
      <c r="C9" s="2">
        <v>0.75317902281275473</v>
      </c>
      <c r="D9" s="2">
        <v>0.75317902281275473</v>
      </c>
      <c r="E9" s="2">
        <v>0.48973714876484858</v>
      </c>
      <c r="F9" s="2">
        <v>0.48973714876484858</v>
      </c>
      <c r="G9" s="2">
        <v>0.48973714876484881</v>
      </c>
      <c r="H9" s="2">
        <v>0.49033592708585028</v>
      </c>
      <c r="I9" s="2">
        <v>0.51221822604381761</v>
      </c>
      <c r="J9" s="2">
        <v>0.49045918119643439</v>
      </c>
      <c r="K9" s="2">
        <v>0.51221822604381761</v>
      </c>
      <c r="L9" s="2">
        <v>0.54804450729249721</v>
      </c>
      <c r="M9" s="2">
        <v>4.0644302560605299</v>
      </c>
      <c r="O9" s="6"/>
      <c r="P9" s="6"/>
      <c r="Q9" s="6"/>
    </row>
    <row r="10" spans="1:17" ht="15" x14ac:dyDescent="0.2">
      <c r="B10" s="66" t="s">
        <v>93</v>
      </c>
      <c r="C10" s="2">
        <v>0.75753059158126657</v>
      </c>
      <c r="D10" s="2">
        <v>0.75753059158126657</v>
      </c>
      <c r="E10" s="2">
        <v>0.5004410943235319</v>
      </c>
      <c r="F10" s="2">
        <v>0.5004410943235319</v>
      </c>
      <c r="G10" s="2">
        <v>0.50044109432353201</v>
      </c>
      <c r="H10" s="2">
        <v>0.50634888123962385</v>
      </c>
      <c r="I10" s="2">
        <v>0.52597746577037752</v>
      </c>
      <c r="J10" s="2">
        <v>0.50654887679783767</v>
      </c>
      <c r="K10" s="2">
        <v>0.52597746577037752</v>
      </c>
      <c r="L10" s="2">
        <v>0.6387776689937309</v>
      </c>
      <c r="M10" s="2">
        <v>6.113239595414262</v>
      </c>
      <c r="O10" s="6"/>
      <c r="P10" s="6"/>
      <c r="Q10" s="6"/>
    </row>
    <row r="11" spans="1:17" ht="15" x14ac:dyDescent="0.2">
      <c r="B11" s="66" t="s">
        <v>94</v>
      </c>
      <c r="C11" s="2">
        <v>-0.75057999540229892</v>
      </c>
      <c r="D11" s="2">
        <v>-0.75057999540229892</v>
      </c>
      <c r="E11" s="2">
        <v>-7.298063756920381E-2</v>
      </c>
      <c r="F11" s="2">
        <v>-7.298063756920381E-2</v>
      </c>
      <c r="G11" s="2">
        <v>-7.2980637569203699E-2</v>
      </c>
      <c r="H11" s="2">
        <v>-0.11222813624604661</v>
      </c>
      <c r="I11" s="2">
        <v>-8.7751006635179929E-2</v>
      </c>
      <c r="J11" s="2">
        <v>-0.1125092028009418</v>
      </c>
      <c r="K11" s="2">
        <v>-8.7751006635179929E-2</v>
      </c>
      <c r="L11" s="2">
        <v>0.2074840139977385</v>
      </c>
      <c r="M11" s="2">
        <v>0.68505869296897748</v>
      </c>
      <c r="O11" s="6"/>
      <c r="P11" s="6"/>
      <c r="Q11" s="6"/>
    </row>
    <row r="12" spans="1:17" x14ac:dyDescent="0.2">
      <c r="O12" s="6"/>
      <c r="P12" s="6"/>
      <c r="Q12" s="6"/>
    </row>
    <row r="13" spans="1:17" x14ac:dyDescent="0.2">
      <c r="O13" s="6"/>
      <c r="P13" s="6"/>
      <c r="Q13" s="6"/>
    </row>
    <row r="14" spans="1:17" x14ac:dyDescent="0.2">
      <c r="O14" s="6"/>
      <c r="P14" s="6"/>
      <c r="Q14" s="6"/>
    </row>
    <row r="15" spans="1:17" x14ac:dyDescent="0.2">
      <c r="O15" s="6"/>
      <c r="P15" s="6"/>
      <c r="Q15" s="6"/>
    </row>
    <row r="16" spans="1:17" x14ac:dyDescent="0.2">
      <c r="O16" s="6"/>
      <c r="P16" s="6"/>
      <c r="Q16" s="6"/>
    </row>
    <row r="17" spans="1:17" x14ac:dyDescent="0.2">
      <c r="O17" s="6"/>
      <c r="P17" s="6"/>
      <c r="Q17" s="6"/>
    </row>
    <row r="18" spans="1:17" x14ac:dyDescent="0.2">
      <c r="A18" s="62" t="s">
        <v>99</v>
      </c>
      <c r="B18" t="s">
        <v>135</v>
      </c>
      <c r="O18" s="6"/>
      <c r="P18" s="6"/>
      <c r="Q18" s="6"/>
    </row>
    <row r="19" spans="1:17" x14ac:dyDescent="0.2">
      <c r="B19" t="s">
        <v>136</v>
      </c>
      <c r="H19" s="63" t="s">
        <v>102</v>
      </c>
      <c r="O19" s="6"/>
      <c r="P19" s="6"/>
      <c r="Q19" s="6"/>
    </row>
    <row r="20" spans="1:17" x14ac:dyDescent="0.2">
      <c r="H20" s="63"/>
      <c r="O20" s="6"/>
      <c r="P20" s="6"/>
      <c r="Q20" s="6"/>
    </row>
    <row r="21" spans="1:17" x14ac:dyDescent="0.2"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A23" s="62" t="s">
        <v>101</v>
      </c>
      <c r="B23" s="163" t="s">
        <v>104</v>
      </c>
      <c r="C23" s="163"/>
      <c r="D23" s="163"/>
      <c r="E23" s="163"/>
      <c r="F23" s="61" t="e">
        <f>#REF!+#REF!*'2. Past Proj &amp; Candidate Model'!#REF!</f>
        <v>#REF!</v>
      </c>
      <c r="G23" s="64" t="s">
        <v>105</v>
      </c>
      <c r="H23" s="2" t="e">
        <f>'2. Past Proj &amp; Candidate Model'!#REF!/'3. Improved Alpha Model'!F23-1</f>
        <v>#REF!</v>
      </c>
      <c r="O23" s="6"/>
      <c r="P23" s="6"/>
      <c r="Q23" s="6"/>
    </row>
    <row r="24" spans="1:17" x14ac:dyDescent="0.2"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O26" s="6"/>
      <c r="P26" s="6"/>
      <c r="Q26" s="6"/>
    </row>
    <row r="27" spans="1:17" x14ac:dyDescent="0.2">
      <c r="B27" s="164" t="s">
        <v>155</v>
      </c>
      <c r="C27" s="164"/>
      <c r="D27" s="164"/>
      <c r="E27" s="3" t="e">
        <f>#REF!</f>
        <v>#REF!</v>
      </c>
      <c r="F27" t="s">
        <v>106</v>
      </c>
      <c r="G27" s="164" t="s">
        <v>107</v>
      </c>
      <c r="H27" s="164"/>
      <c r="I27" s="3" t="e">
        <f>#REF!</f>
        <v>#REF!</v>
      </c>
      <c r="O27" s="6"/>
      <c r="P27" s="6"/>
      <c r="Q27" s="6"/>
    </row>
    <row r="28" spans="1:17" x14ac:dyDescent="0.2">
      <c r="O28" s="6"/>
      <c r="P28" s="6"/>
      <c r="Q28" s="6"/>
    </row>
    <row r="29" spans="1:17" x14ac:dyDescent="0.2">
      <c r="O29" s="6"/>
      <c r="P29" s="6"/>
      <c r="Q29" s="6"/>
    </row>
    <row r="30" spans="1:17" x14ac:dyDescent="0.2">
      <c r="A30" s="62" t="s">
        <v>103</v>
      </c>
      <c r="B30" t="s">
        <v>109</v>
      </c>
      <c r="O30" s="6"/>
      <c r="P30" s="6"/>
      <c r="Q30" s="6"/>
    </row>
    <row r="31" spans="1:17" x14ac:dyDescent="0.2">
      <c r="B31" t="s">
        <v>110</v>
      </c>
      <c r="O31" s="6"/>
      <c r="P31" s="6"/>
      <c r="Q31" s="6"/>
    </row>
    <row r="32" spans="1:17" x14ac:dyDescent="0.2">
      <c r="B32" t="s">
        <v>111</v>
      </c>
      <c r="O32" s="6"/>
      <c r="P32" s="6"/>
      <c r="Q32" s="6"/>
    </row>
    <row r="33" spans="2:17" x14ac:dyDescent="0.2">
      <c r="B33" t="s">
        <v>112</v>
      </c>
      <c r="O33" s="6"/>
      <c r="P33" s="6"/>
      <c r="Q33" s="6"/>
    </row>
    <row r="34" spans="2:17" x14ac:dyDescent="0.2">
      <c r="B34" t="s">
        <v>113</v>
      </c>
      <c r="O34" s="6"/>
      <c r="P34" s="6"/>
      <c r="Q34" s="6"/>
    </row>
    <row r="35" spans="2:17" x14ac:dyDescent="0.2">
      <c r="B35" t="s">
        <v>114</v>
      </c>
      <c r="O35" s="6"/>
      <c r="P35" s="6"/>
      <c r="Q35" s="6"/>
    </row>
    <row r="36" spans="2:17" x14ac:dyDescent="0.2">
      <c r="B36" t="s">
        <v>115</v>
      </c>
      <c r="O36" s="6"/>
      <c r="P36" s="6"/>
      <c r="Q36" s="6"/>
    </row>
    <row r="37" spans="2:17" x14ac:dyDescent="0.2">
      <c r="B37" t="s">
        <v>116</v>
      </c>
      <c r="O37" s="6"/>
      <c r="P37" s="6"/>
      <c r="Q37" s="6"/>
    </row>
    <row r="38" spans="2:17" x14ac:dyDescent="0.2">
      <c r="B38" t="s">
        <v>117</v>
      </c>
      <c r="O38" s="6"/>
      <c r="P38" s="6"/>
      <c r="Q38" s="6"/>
    </row>
    <row r="39" spans="2:17" x14ac:dyDescent="0.2">
      <c r="B39" t="s">
        <v>118</v>
      </c>
      <c r="O39" s="6"/>
      <c r="P39" s="6"/>
      <c r="Q39" s="6"/>
    </row>
    <row r="40" spans="2:17" x14ac:dyDescent="0.2">
      <c r="O40" s="6"/>
      <c r="P40" s="6"/>
      <c r="Q40" s="6"/>
    </row>
    <row r="41" spans="2:17" x14ac:dyDescent="0.2">
      <c r="O41" s="6"/>
      <c r="P41" s="6"/>
      <c r="Q41" s="6"/>
    </row>
    <row r="42" spans="2:17" x14ac:dyDescent="0.2">
      <c r="O42" s="6"/>
      <c r="P42" s="6"/>
    </row>
    <row r="43" spans="2:17" x14ac:dyDescent="0.2">
      <c r="O43" s="6"/>
      <c r="P43" s="6"/>
    </row>
  </sheetData>
  <mergeCells count="5">
    <mergeCell ref="D7:N7"/>
    <mergeCell ref="B7:C7"/>
    <mergeCell ref="B23:E23"/>
    <mergeCell ref="B27:D27"/>
    <mergeCell ref="G27:H27"/>
  </mergeCells>
  <conditionalFormatting sqref="C9:K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K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6"/>
  <sheetViews>
    <sheetView tabSelected="1" zoomScale="85" zoomScaleNormal="85" workbookViewId="0">
      <selection activeCell="P25" sqref="P25"/>
    </sheetView>
  </sheetViews>
  <sheetFormatPr defaultRowHeight="12.75" x14ac:dyDescent="0.2"/>
  <cols>
    <col min="1" max="1" width="9.140625" style="62"/>
    <col min="3" max="3" width="18.5703125" customWidth="1"/>
    <col min="4" max="13" width="14.7109375" customWidth="1"/>
    <col min="18" max="18" width="10.7109375" customWidth="1"/>
    <col min="19" max="19" width="12" customWidth="1"/>
    <col min="23" max="23" width="16.28515625" customWidth="1"/>
  </cols>
  <sheetData>
    <row r="1" spans="1:25" x14ac:dyDescent="0.2">
      <c r="A1" s="62" t="s">
        <v>120</v>
      </c>
      <c r="B1" t="s">
        <v>80</v>
      </c>
    </row>
    <row r="2" spans="1:25" x14ac:dyDescent="0.2">
      <c r="A2" s="62" t="s">
        <v>95</v>
      </c>
      <c r="B2" s="70" t="s">
        <v>156</v>
      </c>
      <c r="C2" s="71" t="str">
        <f>E5</f>
        <v>LR</v>
      </c>
      <c r="D2" t="s">
        <v>157</v>
      </c>
    </row>
    <row r="4" spans="1:25" x14ac:dyDescent="0.2">
      <c r="A4" s="62" t="s">
        <v>96</v>
      </c>
      <c r="B4" t="s">
        <v>119</v>
      </c>
    </row>
    <row r="5" spans="1:25" ht="15" x14ac:dyDescent="0.2">
      <c r="A5" s="62" t="s">
        <v>164</v>
      </c>
      <c r="C5" s="66" t="s">
        <v>81</v>
      </c>
      <c r="D5" s="66" t="s">
        <v>82</v>
      </c>
      <c r="E5" s="66" t="s">
        <v>83</v>
      </c>
      <c r="F5" s="66" t="s">
        <v>84</v>
      </c>
      <c r="G5" s="66" t="s">
        <v>85</v>
      </c>
      <c r="H5" s="66" t="s">
        <v>86</v>
      </c>
      <c r="I5" s="66" t="s">
        <v>87</v>
      </c>
      <c r="J5" s="66" t="s">
        <v>88</v>
      </c>
      <c r="K5" s="66" t="s">
        <v>89</v>
      </c>
      <c r="L5" s="66" t="s">
        <v>90</v>
      </c>
      <c r="M5" s="66" t="s">
        <v>91</v>
      </c>
    </row>
    <row r="6" spans="1:25" ht="15" x14ac:dyDescent="0.2">
      <c r="B6" s="66" t="s">
        <v>92</v>
      </c>
      <c r="C6" s="2">
        <v>0.6455820195537898</v>
      </c>
      <c r="D6" s="2">
        <v>0.6455820195537898</v>
      </c>
      <c r="E6" s="2">
        <v>0.89068091203230682</v>
      </c>
      <c r="F6" s="2">
        <v>0.89068091203230682</v>
      </c>
      <c r="G6" s="2">
        <v>0.89068091203230682</v>
      </c>
      <c r="H6" s="2">
        <v>0.87999919499539814</v>
      </c>
      <c r="I6" s="2">
        <v>0.90951342789290968</v>
      </c>
      <c r="J6" s="2">
        <v>0.88002192613920738</v>
      </c>
      <c r="K6" s="2">
        <v>0.90951342789290979</v>
      </c>
      <c r="L6" s="2">
        <v>0.95489134581612789</v>
      </c>
      <c r="M6" s="2">
        <v>3.9415879932935458</v>
      </c>
    </row>
    <row r="7" spans="1:25" ht="15" x14ac:dyDescent="0.2">
      <c r="B7" s="66" t="s">
        <v>93</v>
      </c>
      <c r="C7" s="2">
        <v>0.70133704787852824</v>
      </c>
      <c r="D7" s="2">
        <v>0.70133704787852824</v>
      </c>
      <c r="E7" s="2">
        <v>1.329260167385516</v>
      </c>
      <c r="F7" s="2">
        <v>1.329260167385516</v>
      </c>
      <c r="G7" s="2">
        <v>1.3292601673855149</v>
      </c>
      <c r="H7" s="2">
        <v>1.3034965455721961</v>
      </c>
      <c r="I7" s="2">
        <v>1.336607511595796</v>
      </c>
      <c r="J7" s="2">
        <v>1.3033584653710459</v>
      </c>
      <c r="K7" s="2">
        <v>1.3366075115957969</v>
      </c>
      <c r="L7" s="2">
        <v>1.413246002622107</v>
      </c>
      <c r="M7" s="2">
        <v>5.7879089603537874</v>
      </c>
    </row>
    <row r="8" spans="1:25" ht="15" x14ac:dyDescent="0.2">
      <c r="B8" s="66" t="s">
        <v>94</v>
      </c>
      <c r="C8" s="2">
        <v>-0.74700160000000004</v>
      </c>
      <c r="D8" s="2">
        <v>-0.74700160000000004</v>
      </c>
      <c r="E8" s="2">
        <v>0.35195961833890438</v>
      </c>
      <c r="F8" s="2">
        <v>0.35195961833890438</v>
      </c>
      <c r="G8" s="2">
        <v>0.35195961833890471</v>
      </c>
      <c r="H8" s="2">
        <v>0.27377957407397918</v>
      </c>
      <c r="I8" s="2">
        <v>0.35425989149154491</v>
      </c>
      <c r="J8" s="2">
        <v>0.27306010295700678</v>
      </c>
      <c r="K8" s="2">
        <v>0.35425989149154491</v>
      </c>
      <c r="L8" s="2">
        <v>0.29901344791056172</v>
      </c>
      <c r="M8" s="2">
        <v>0.96069797602297191</v>
      </c>
    </row>
    <row r="10" spans="1:25" ht="15" x14ac:dyDescent="0.2">
      <c r="A10" s="62" t="s">
        <v>97</v>
      </c>
      <c r="B10" s="67" t="s">
        <v>158</v>
      </c>
    </row>
    <row r="12" spans="1:25" x14ac:dyDescent="0.2">
      <c r="A12" s="62" t="s">
        <v>98</v>
      </c>
      <c r="B12" t="s">
        <v>134</v>
      </c>
    </row>
    <row r="13" spans="1:25" ht="15" x14ac:dyDescent="0.2">
      <c r="B13" s="66" t="s">
        <v>121</v>
      </c>
      <c r="C13" s="66" t="s">
        <v>122</v>
      </c>
      <c r="D13" s="66" t="s">
        <v>81</v>
      </c>
      <c r="E13" s="66" t="s">
        <v>82</v>
      </c>
      <c r="F13" s="66" t="s">
        <v>83</v>
      </c>
      <c r="G13" s="66" t="s">
        <v>84</v>
      </c>
      <c r="H13" s="66" t="s">
        <v>85</v>
      </c>
      <c r="I13" s="66" t="s">
        <v>86</v>
      </c>
      <c r="J13" s="66" t="s">
        <v>87</v>
      </c>
      <c r="K13" s="66" t="s">
        <v>88</v>
      </c>
      <c r="L13" s="66" t="s">
        <v>89</v>
      </c>
      <c r="M13" s="66" t="s">
        <v>90</v>
      </c>
      <c r="N13" s="66" t="s">
        <v>91</v>
      </c>
      <c r="O13" s="66" t="s">
        <v>123</v>
      </c>
      <c r="P13" s="66" t="s">
        <v>124</v>
      </c>
      <c r="Q13" s="66" t="s">
        <v>125</v>
      </c>
      <c r="R13" s="66" t="s">
        <v>126</v>
      </c>
      <c r="S13" s="66" t="s">
        <v>127</v>
      </c>
      <c r="T13" s="66" t="s">
        <v>128</v>
      </c>
      <c r="U13" s="66" t="s">
        <v>129</v>
      </c>
      <c r="V13" s="66" t="s">
        <v>130</v>
      </c>
      <c r="W13" s="66" t="s">
        <v>131</v>
      </c>
      <c r="X13" s="66" t="s">
        <v>132</v>
      </c>
      <c r="Y13" s="66" t="s">
        <v>133</v>
      </c>
    </row>
    <row r="14" spans="1:25" x14ac:dyDescent="0.2">
      <c r="B14" t="s">
        <v>42</v>
      </c>
      <c r="C14">
        <v>2.2000000000000002</v>
      </c>
      <c r="D14">
        <v>0.39374500000000001</v>
      </c>
      <c r="E14">
        <v>0.39374500000000001</v>
      </c>
    </row>
    <row r="15" spans="1:25" x14ac:dyDescent="0.2">
      <c r="B15" t="s">
        <v>43</v>
      </c>
      <c r="C15">
        <v>1.9</v>
      </c>
      <c r="D15">
        <v>0.253187</v>
      </c>
      <c r="E15">
        <v>0.253187</v>
      </c>
    </row>
    <row r="16" spans="1:25" x14ac:dyDescent="0.2">
      <c r="B16" t="s">
        <v>44</v>
      </c>
      <c r="C16">
        <v>1.9</v>
      </c>
      <c r="D16">
        <v>0.71187199999999995</v>
      </c>
      <c r="E16">
        <v>0.71187199999999995</v>
      </c>
    </row>
    <row r="17" spans="2:25" x14ac:dyDescent="0.2">
      <c r="B17" t="s">
        <v>45</v>
      </c>
      <c r="C17">
        <v>1.9</v>
      </c>
      <c r="D17">
        <v>0.47559699999999999</v>
      </c>
      <c r="E17">
        <v>0.47559699999999999</v>
      </c>
    </row>
    <row r="18" spans="2:25" x14ac:dyDescent="0.2">
      <c r="B18" t="s">
        <v>46</v>
      </c>
      <c r="C18">
        <v>4.2</v>
      </c>
      <c r="D18">
        <v>1.3973439999999999</v>
      </c>
      <c r="E18">
        <v>1.3973439999999999</v>
      </c>
      <c r="F18">
        <v>1.810209744454462</v>
      </c>
      <c r="G18">
        <v>1.810209744454462</v>
      </c>
      <c r="H18">
        <v>1.810209744454462</v>
      </c>
      <c r="I18">
        <v>1.9731917598029181</v>
      </c>
      <c r="J18">
        <v>1.9750000000000001</v>
      </c>
      <c r="K18">
        <v>1.9714227724525779</v>
      </c>
      <c r="L18">
        <v>1.9750000000000001</v>
      </c>
      <c r="M18">
        <v>-0.12475484132843299</v>
      </c>
      <c r="N18">
        <v>61.154717843713087</v>
      </c>
      <c r="O18" s="2">
        <v>-0.66729904761904768</v>
      </c>
      <c r="P18" s="2">
        <v>-0.66729904761904768</v>
      </c>
      <c r="Q18" s="2">
        <v>-0.56899767989179462</v>
      </c>
      <c r="R18" s="2">
        <v>-0.56899767989179462</v>
      </c>
      <c r="S18" s="2">
        <v>-0.56899767989179484</v>
      </c>
      <c r="T18" s="2">
        <v>-0.53019243814216233</v>
      </c>
      <c r="U18" s="2">
        <v>-0.52976190476190477</v>
      </c>
      <c r="V18" s="2">
        <v>-0.53061362560652903</v>
      </c>
      <c r="W18" s="2">
        <v>-0.52976190476190477</v>
      </c>
      <c r="X18" s="2">
        <v>-1.029703533649627</v>
      </c>
      <c r="Y18" s="2">
        <v>13.56064710564597</v>
      </c>
    </row>
    <row r="19" spans="2:25" x14ac:dyDescent="0.2">
      <c r="B19" t="s">
        <v>47</v>
      </c>
      <c r="C19">
        <v>15.8</v>
      </c>
      <c r="D19">
        <v>3.0619770000000002</v>
      </c>
      <c r="E19">
        <v>3.0619770000000002</v>
      </c>
      <c r="F19">
        <v>7.3100339295570844</v>
      </c>
      <c r="G19">
        <v>7.3100339295570844</v>
      </c>
      <c r="H19">
        <v>7.3100339295570844</v>
      </c>
      <c r="I19">
        <v>5.0007702536333767</v>
      </c>
      <c r="J19">
        <v>5.3854150954701234</v>
      </c>
      <c r="K19">
        <v>4.9924496338619129</v>
      </c>
      <c r="L19">
        <v>5.3854150954701234</v>
      </c>
      <c r="M19">
        <v>20.524412476986871</v>
      </c>
      <c r="N19">
        <v>88.472354222713506</v>
      </c>
      <c r="O19" s="2">
        <v>-0.80620398734177212</v>
      </c>
      <c r="P19" s="2">
        <v>-0.80620398734177212</v>
      </c>
      <c r="Q19" s="2">
        <v>-0.53733962471157704</v>
      </c>
      <c r="R19" s="2">
        <v>-0.53733962471157704</v>
      </c>
      <c r="S19" s="2">
        <v>-0.53733962471157704</v>
      </c>
      <c r="T19" s="2">
        <v>-0.6834955535675078</v>
      </c>
      <c r="U19" s="2">
        <v>-0.65915094332467583</v>
      </c>
      <c r="V19" s="2">
        <v>-0.68402217507203078</v>
      </c>
      <c r="W19" s="2">
        <v>-0.65915094332467583</v>
      </c>
      <c r="X19" s="2">
        <v>0.29901344791056172</v>
      </c>
      <c r="Y19" s="2">
        <v>4.5995160900451584</v>
      </c>
    </row>
    <row r="20" spans="2:25" x14ac:dyDescent="0.2">
      <c r="B20" t="s">
        <v>48</v>
      </c>
      <c r="C20">
        <v>14.4</v>
      </c>
      <c r="D20">
        <v>1.5614570000000001</v>
      </c>
      <c r="E20">
        <v>1.5614570000000001</v>
      </c>
      <c r="F20">
        <v>7.2299391339267061</v>
      </c>
      <c r="G20">
        <v>7.2299391339267061</v>
      </c>
      <c r="H20">
        <v>7.229939133926707</v>
      </c>
      <c r="I20">
        <v>7.225403809448558</v>
      </c>
      <c r="J20">
        <v>6.4664021331686907</v>
      </c>
      <c r="K20">
        <v>7.2276694767519789</v>
      </c>
      <c r="L20">
        <v>6.4664021331686907</v>
      </c>
      <c r="M20">
        <v>4.7664518248246894</v>
      </c>
      <c r="N20">
        <v>4.9943239973592144</v>
      </c>
      <c r="O20" s="2">
        <v>-0.89156548611111108</v>
      </c>
      <c r="P20" s="2">
        <v>-0.89156548611111108</v>
      </c>
      <c r="Q20" s="2">
        <v>-0.49792089347731211</v>
      </c>
      <c r="R20" s="2">
        <v>-0.49792089347731211</v>
      </c>
      <c r="S20" s="2">
        <v>-0.49792089347731211</v>
      </c>
      <c r="T20" s="2">
        <v>-0.49823584656607228</v>
      </c>
      <c r="U20" s="2">
        <v>-0.55094429630772979</v>
      </c>
      <c r="V20" s="2">
        <v>-0.49807850855889041</v>
      </c>
      <c r="W20" s="2">
        <v>-0.55094429630772979</v>
      </c>
      <c r="X20" s="2">
        <v>-0.66899640105384106</v>
      </c>
      <c r="Y20" s="2">
        <v>-0.65317194462783235</v>
      </c>
    </row>
    <row r="21" spans="2:25" x14ac:dyDescent="0.2">
      <c r="B21" t="s">
        <v>49</v>
      </c>
      <c r="C21">
        <v>17.399999999999999</v>
      </c>
      <c r="D21">
        <v>4.2776439999999996</v>
      </c>
      <c r="E21">
        <v>4.2776439999999996</v>
      </c>
      <c r="F21">
        <v>23.61101108398001</v>
      </c>
      <c r="G21">
        <v>23.61101108398001</v>
      </c>
      <c r="H21">
        <v>23.61101108398001</v>
      </c>
      <c r="I21">
        <v>22.16376458888724</v>
      </c>
      <c r="J21">
        <v>23.57359657804512</v>
      </c>
      <c r="K21">
        <v>22.15124579145192</v>
      </c>
      <c r="L21">
        <v>23.57359657804512</v>
      </c>
      <c r="M21">
        <v>19.41760969347753</v>
      </c>
      <c r="N21">
        <v>-55.734444775848999</v>
      </c>
      <c r="O21" s="2">
        <v>-0.75415839080459768</v>
      </c>
      <c r="P21" s="2">
        <v>-0.75415839080459768</v>
      </c>
      <c r="Q21" s="2">
        <v>0.35695465999885129</v>
      </c>
      <c r="R21" s="2">
        <v>0.35695465999885129</v>
      </c>
      <c r="S21" s="2">
        <v>0.35695465999885129</v>
      </c>
      <c r="T21" s="2">
        <v>0.27377957407397918</v>
      </c>
      <c r="U21" s="2">
        <v>0.35480440103707589</v>
      </c>
      <c r="V21" s="2">
        <v>0.27306010295700678</v>
      </c>
      <c r="W21" s="2">
        <v>0.35480440103707589</v>
      </c>
      <c r="X21" s="2">
        <v>0.1159545800849153</v>
      </c>
      <c r="Y21" s="2">
        <v>-4.2031290101062648</v>
      </c>
    </row>
    <row r="22" spans="2:25" x14ac:dyDescent="0.2">
      <c r="B22" t="s">
        <v>50</v>
      </c>
      <c r="C22">
        <v>8</v>
      </c>
      <c r="D22">
        <v>2.7772350000000001</v>
      </c>
      <c r="E22">
        <v>2.7772350000000001</v>
      </c>
      <c r="F22">
        <v>13.00200332936522</v>
      </c>
      <c r="G22">
        <v>13.00200332936522</v>
      </c>
      <c r="H22">
        <v>13.00200332936522</v>
      </c>
      <c r="I22">
        <v>12.37962798629621</v>
      </c>
      <c r="J22">
        <v>12.99510335471979</v>
      </c>
      <c r="K22">
        <v>12.38112154822546</v>
      </c>
      <c r="L22">
        <v>12.99510335471979</v>
      </c>
      <c r="M22">
        <v>14.87227693411231</v>
      </c>
      <c r="N22">
        <v>15.685583808183781</v>
      </c>
      <c r="O22" s="2">
        <v>-0.65284562499999998</v>
      </c>
      <c r="P22" s="2">
        <v>-0.65284562499999998</v>
      </c>
      <c r="Q22" s="2">
        <v>0.62525041617065202</v>
      </c>
      <c r="R22" s="2">
        <v>0.62525041617065202</v>
      </c>
      <c r="S22" s="2">
        <v>0.62525041617065247</v>
      </c>
      <c r="T22" s="2">
        <v>0.54745349828702627</v>
      </c>
      <c r="U22" s="2">
        <v>0.62438791933997395</v>
      </c>
      <c r="V22" s="2">
        <v>0.54764019352818272</v>
      </c>
      <c r="W22" s="2">
        <v>0.62438791933997395</v>
      </c>
      <c r="X22" s="2">
        <v>0.85903461676403814</v>
      </c>
      <c r="Y22" s="2">
        <v>0.96069797602297191</v>
      </c>
    </row>
    <row r="23" spans="2:25" x14ac:dyDescent="0.2">
      <c r="B23" t="s">
        <v>51</v>
      </c>
      <c r="C23">
        <v>2.5</v>
      </c>
      <c r="D23">
        <v>0.63249599999999995</v>
      </c>
      <c r="E23">
        <v>0.63249599999999995</v>
      </c>
      <c r="F23">
        <v>3.3798990458472611</v>
      </c>
      <c r="G23">
        <v>3.3798990458472611</v>
      </c>
      <c r="H23">
        <v>3.379899045847262</v>
      </c>
      <c r="I23">
        <v>3.522146629695885</v>
      </c>
      <c r="J23">
        <v>3.3856497287288621</v>
      </c>
      <c r="K23">
        <v>3.5233512036399182</v>
      </c>
      <c r="L23">
        <v>3.3856497287288621</v>
      </c>
      <c r="M23">
        <v>3.288911160730001</v>
      </c>
      <c r="N23">
        <v>3.5235485247874569</v>
      </c>
      <c r="O23" s="2">
        <v>-0.74700160000000004</v>
      </c>
      <c r="P23" s="2">
        <v>-0.74700160000000004</v>
      </c>
      <c r="Q23" s="2">
        <v>0.35195961833890438</v>
      </c>
      <c r="R23" s="2">
        <v>0.35195961833890438</v>
      </c>
      <c r="S23" s="2">
        <v>0.35195961833890471</v>
      </c>
      <c r="T23" s="2">
        <v>0.40885865187835391</v>
      </c>
      <c r="U23" s="2">
        <v>0.35425989149154491</v>
      </c>
      <c r="V23" s="2">
        <v>0.40934048145596708</v>
      </c>
      <c r="W23" s="2">
        <v>0.35425989149154491</v>
      </c>
      <c r="X23" s="2">
        <v>0.31556446429200008</v>
      </c>
      <c r="Y23" s="2">
        <v>0.40941940991498299</v>
      </c>
    </row>
    <row r="24" spans="2:25" x14ac:dyDescent="0.2">
      <c r="B24" t="s">
        <v>67</v>
      </c>
      <c r="C24">
        <v>3.23245</v>
      </c>
      <c r="D24">
        <v>10</v>
      </c>
      <c r="E24">
        <v>3.23245</v>
      </c>
      <c r="F24">
        <v>13.8877155195422</v>
      </c>
      <c r="G24">
        <v>13.8877155195422</v>
      </c>
      <c r="H24">
        <v>13.8877155195422</v>
      </c>
      <c r="I24">
        <v>13.634405579988179</v>
      </c>
      <c r="J24">
        <v>13.87782793129502</v>
      </c>
      <c r="K24">
        <v>13.632529444490279</v>
      </c>
      <c r="L24">
        <v>13.87782793129502</v>
      </c>
      <c r="M24">
        <v>14.2097609098976</v>
      </c>
      <c r="N24">
        <v>13.5909472752349</v>
      </c>
      <c r="O24" s="2">
        <v>0</v>
      </c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">
      <c r="C25" s="94" t="s">
        <v>144</v>
      </c>
      <c r="D25" s="94"/>
      <c r="E25" s="94"/>
      <c r="F25">
        <f>$F$24/(1+Q25)</f>
        <v>14.5423477973336</v>
      </c>
      <c r="M25" s="93" t="s">
        <v>137</v>
      </c>
      <c r="N25" s="93"/>
      <c r="O25" s="93"/>
      <c r="P25" s="93"/>
      <c r="Q25" s="3">
        <f>AVERAGE(Q18:Q23)</f>
        <v>-4.5015583928712681E-2</v>
      </c>
      <c r="R25" s="2"/>
      <c r="S25" s="2"/>
      <c r="T25" s="2"/>
      <c r="U25" s="2"/>
      <c r="V25" s="2"/>
      <c r="W25" s="2"/>
      <c r="X25" s="2"/>
      <c r="Y25" s="2"/>
    </row>
    <row r="26" spans="2:25" x14ac:dyDescent="0.2">
      <c r="C26" s="84" t="s">
        <v>145</v>
      </c>
      <c r="D26" s="84"/>
      <c r="E26" s="84"/>
      <c r="F26">
        <f t="shared" ref="F26:F30" si="0">$F$24/(1+Q26)</f>
        <v>14.981041478061842</v>
      </c>
      <c r="M26" s="84" t="s">
        <v>139</v>
      </c>
      <c r="N26" s="84"/>
      <c r="O26" s="84"/>
      <c r="P26" s="84"/>
      <c r="Q26" s="1">
        <f>MEDIAN(Q18:Q23)</f>
        <v>-7.2980637569203866E-2</v>
      </c>
      <c r="R26" s="2"/>
      <c r="S26" s="2"/>
      <c r="T26" s="2"/>
      <c r="U26" s="2"/>
      <c r="V26" s="2"/>
      <c r="W26" s="2"/>
      <c r="X26" s="2"/>
      <c r="Y26" s="2"/>
    </row>
    <row r="27" spans="2:25" x14ac:dyDescent="0.2">
      <c r="C27" s="85" t="s">
        <v>146</v>
      </c>
      <c r="D27" s="85"/>
      <c r="E27" s="85"/>
      <c r="F27">
        <f t="shared" si="0"/>
        <v>29.850181818252246</v>
      </c>
      <c r="M27" s="85" t="s">
        <v>138</v>
      </c>
      <c r="N27" s="85"/>
      <c r="O27" s="85"/>
      <c r="P27" s="85"/>
      <c r="Q27" s="1">
        <f>AVERAGE(Q18:Q20)</f>
        <v>-0.53475273269356127</v>
      </c>
      <c r="R27" s="2"/>
      <c r="S27" s="2"/>
      <c r="T27" s="2"/>
      <c r="U27" s="2"/>
      <c r="V27" s="2"/>
      <c r="W27" s="2"/>
      <c r="X27" s="2"/>
      <c r="Y27" s="2"/>
    </row>
    <row r="28" spans="2:25" x14ac:dyDescent="0.2">
      <c r="C28" s="86" t="s">
        <v>147</v>
      </c>
      <c r="D28" s="86"/>
      <c r="E28" s="86"/>
      <c r="F28">
        <f t="shared" si="0"/>
        <v>30.017084369683882</v>
      </c>
      <c r="M28" s="86" t="s">
        <v>140</v>
      </c>
      <c r="N28" s="86"/>
      <c r="O28" s="86"/>
      <c r="P28" s="86"/>
      <c r="Q28" s="1">
        <f>MEDIAN(Q18:Q20)</f>
        <v>-0.53733962471157704</v>
      </c>
      <c r="R28" s="2"/>
      <c r="S28" s="2"/>
      <c r="T28" s="2"/>
      <c r="U28" s="2"/>
      <c r="V28" s="2"/>
      <c r="W28" s="2"/>
      <c r="X28" s="2"/>
      <c r="Y28" s="2"/>
    </row>
    <row r="29" spans="2:25" x14ac:dyDescent="0.2">
      <c r="C29" s="87" t="s">
        <v>148</v>
      </c>
      <c r="D29" s="87"/>
      <c r="E29" s="87"/>
      <c r="F29">
        <f t="shared" si="0"/>
        <v>9.6127280560925108</v>
      </c>
      <c r="G29">
        <f>AVERAGE(F30,F24)</f>
        <v>12.061094145382523</v>
      </c>
      <c r="M29" s="87" t="s">
        <v>141</v>
      </c>
      <c r="N29" s="87"/>
      <c r="O29" s="87"/>
      <c r="P29" s="87"/>
      <c r="Q29" s="1">
        <f>AVERAGE(Q21:Q23)</f>
        <v>0.44472156483613595</v>
      </c>
    </row>
    <row r="30" spans="2:25" x14ac:dyDescent="0.2">
      <c r="C30" s="88" t="s">
        <v>149</v>
      </c>
      <c r="D30" s="88"/>
      <c r="E30" s="88"/>
      <c r="F30">
        <f t="shared" si="0"/>
        <v>10.234472771222846</v>
      </c>
      <c r="M30" s="88" t="s">
        <v>142</v>
      </c>
      <c r="N30" s="88"/>
      <c r="O30" s="88"/>
      <c r="P30" s="88"/>
      <c r="Q30" s="1">
        <f>MEDIAN(Q21:Q23)</f>
        <v>0.35695465999885129</v>
      </c>
    </row>
    <row r="36" spans="1:4" x14ac:dyDescent="0.2">
      <c r="A36" s="62" t="s">
        <v>99</v>
      </c>
      <c r="B36" t="s">
        <v>150</v>
      </c>
    </row>
    <row r="37" spans="1:4" x14ac:dyDescent="0.2">
      <c r="B37" t="s">
        <v>151</v>
      </c>
    </row>
    <row r="43" spans="1:4" x14ac:dyDescent="0.2">
      <c r="A43" s="62" t="s">
        <v>101</v>
      </c>
      <c r="B43" s="72" t="s">
        <v>152</v>
      </c>
      <c r="C43" s="73">
        <f>G29</f>
        <v>12.061094145382523</v>
      </c>
      <c r="D43" t="s">
        <v>163</v>
      </c>
    </row>
    <row r="45" spans="1:4" x14ac:dyDescent="0.2">
      <c r="B45" s="165" t="s">
        <v>160</v>
      </c>
      <c r="C45" s="165"/>
      <c r="D45" s="2" t="e">
        <f>C43/'2. Past Proj &amp; Candidate Model'!#REF!-1</f>
        <v>#REF!</v>
      </c>
    </row>
    <row r="46" spans="1:4" x14ac:dyDescent="0.2">
      <c r="B46" s="153" t="s">
        <v>159</v>
      </c>
      <c r="C46" s="153"/>
      <c r="D46" s="2">
        <f>'1. Data &amp; Confidence Interval'!P24</f>
        <v>0.28842940685045948</v>
      </c>
    </row>
  </sheetData>
  <mergeCells count="2">
    <mergeCell ref="B46:C46"/>
    <mergeCell ref="B45:C45"/>
  </mergeCells>
  <conditionalFormatting sqref="P18:W24 R25:W2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26:Q30 S2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5:Q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2021-10-29T19:16:53Z</dcterms:modified>
</cp:coreProperties>
</file>