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VAPO\"/>
    </mc:Choice>
  </mc:AlternateContent>
  <xr:revisionPtr revIDLastSave="0" documentId="13_ncr:1_{5FA940EA-AF65-4182-AC91-8EA41846C4A5}" xr6:coauthVersionLast="46" xr6:coauthVersionMax="46" xr10:uidLastSave="{00000000-0000-0000-0000-000000000000}"/>
  <bookViews>
    <workbookView xWindow="-28920" yWindow="-120" windowWidth="29040" windowHeight="15840" activeTab="1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2" l="1"/>
  <c r="G35" i="2"/>
  <c r="G33" i="2"/>
  <c r="G21" i="2"/>
  <c r="G34" i="2"/>
  <c r="H17" i="2" l="1"/>
  <c r="I17" i="2"/>
  <c r="E17" i="2"/>
  <c r="F17" i="2"/>
  <c r="G17" i="2"/>
  <c r="R27" i="2"/>
  <c r="R28" i="2"/>
  <c r="R29" i="2"/>
  <c r="R30" i="2"/>
  <c r="E21" i="2"/>
  <c r="F21" i="2"/>
  <c r="H21" i="2"/>
  <c r="I21" i="2"/>
  <c r="E22" i="2"/>
  <c r="F22" i="2"/>
  <c r="G22" i="2"/>
  <c r="H22" i="2"/>
  <c r="I22" i="2"/>
  <c r="K22" i="2"/>
  <c r="E23" i="2"/>
  <c r="F23" i="2"/>
  <c r="G23" i="2"/>
  <c r="H23" i="2"/>
  <c r="I23" i="2"/>
  <c r="L23" i="2"/>
  <c r="E24" i="2"/>
  <c r="F24" i="2"/>
  <c r="G24" i="2"/>
  <c r="H24" i="2"/>
  <c r="I24" i="2"/>
  <c r="E25" i="2"/>
  <c r="F25" i="2"/>
  <c r="G25" i="2"/>
  <c r="H25" i="2"/>
  <c r="I25" i="2"/>
  <c r="E26" i="2"/>
  <c r="F26" i="2"/>
  <c r="G26" i="2"/>
  <c r="H26" i="2"/>
  <c r="I26" i="2"/>
  <c r="E27" i="2"/>
  <c r="F27" i="2"/>
  <c r="G27" i="2"/>
  <c r="H27" i="2"/>
  <c r="I27" i="2"/>
  <c r="K27" i="2"/>
  <c r="E28" i="2"/>
  <c r="F28" i="2"/>
  <c r="G28" i="2"/>
  <c r="H28" i="2"/>
  <c r="I28" i="2"/>
  <c r="K7" i="2"/>
  <c r="K17" i="2" s="1"/>
  <c r="L7" i="2"/>
  <c r="L22" i="2" s="1"/>
  <c r="M7" i="2"/>
  <c r="M22" i="2" s="1"/>
  <c r="N7" i="2"/>
  <c r="N22" i="2" s="1"/>
  <c r="O7" i="2"/>
  <c r="O22" i="2" s="1"/>
  <c r="K8" i="2"/>
  <c r="K23" i="2" s="1"/>
  <c r="L8" i="2"/>
  <c r="M8" i="2"/>
  <c r="M23" i="2" s="1"/>
  <c r="N8" i="2"/>
  <c r="N23" i="2" s="1"/>
  <c r="O8" i="2"/>
  <c r="O23" i="2" s="1"/>
  <c r="K9" i="2"/>
  <c r="K24" i="2" s="1"/>
  <c r="L9" i="2"/>
  <c r="M9" i="2"/>
  <c r="M24" i="2" s="1"/>
  <c r="N9" i="2"/>
  <c r="N24" i="2" s="1"/>
  <c r="O9" i="2"/>
  <c r="O24" i="2" s="1"/>
  <c r="K10" i="2"/>
  <c r="K25" i="2" s="1"/>
  <c r="L10" i="2"/>
  <c r="L25" i="2" s="1"/>
  <c r="M10" i="2"/>
  <c r="M25" i="2" s="1"/>
  <c r="N10" i="2"/>
  <c r="N25" i="2" s="1"/>
  <c r="O10" i="2"/>
  <c r="O25" i="2" s="1"/>
  <c r="K11" i="2"/>
  <c r="K26" i="2" s="1"/>
  <c r="L11" i="2"/>
  <c r="L26" i="2" s="1"/>
  <c r="M11" i="2"/>
  <c r="M26" i="2" s="1"/>
  <c r="N11" i="2"/>
  <c r="N26" i="2" s="1"/>
  <c r="O11" i="2"/>
  <c r="O26" i="2" s="1"/>
  <c r="K12" i="2"/>
  <c r="L12" i="2"/>
  <c r="L27" i="2" s="1"/>
  <c r="M12" i="2"/>
  <c r="M27" i="2" s="1"/>
  <c r="N12" i="2"/>
  <c r="N27" i="2" s="1"/>
  <c r="O12" i="2"/>
  <c r="O27" i="2" s="1"/>
  <c r="K13" i="2"/>
  <c r="K28" i="2" s="1"/>
  <c r="L13" i="2"/>
  <c r="L28" i="2" s="1"/>
  <c r="M13" i="2"/>
  <c r="M28" i="2" s="1"/>
  <c r="N13" i="2"/>
  <c r="N28" i="2" s="1"/>
  <c r="O13" i="2"/>
  <c r="O28" i="2" s="1"/>
  <c r="R16" i="2"/>
  <c r="R17" i="2" s="1"/>
  <c r="J6" i="2"/>
  <c r="J21" i="2" s="1"/>
  <c r="J7" i="2"/>
  <c r="P7" i="2" s="1"/>
  <c r="P22" i="2" s="1"/>
  <c r="J8" i="2"/>
  <c r="J23" i="2" s="1"/>
  <c r="J9" i="2"/>
  <c r="J24" i="2" s="1"/>
  <c r="J10" i="2"/>
  <c r="P10" i="2" s="1"/>
  <c r="P25" i="2" s="1"/>
  <c r="J11" i="2"/>
  <c r="J26" i="2" s="1"/>
  <c r="J12" i="2"/>
  <c r="J27" i="2" s="1"/>
  <c r="J13" i="2"/>
  <c r="J28" i="2" s="1"/>
  <c r="C21" i="2"/>
  <c r="P25" i="1"/>
  <c r="M25" i="1"/>
  <c r="P24" i="1"/>
  <c r="M24" i="1"/>
  <c r="U26" i="1"/>
  <c r="U25" i="1"/>
  <c r="U24" i="1"/>
  <c r="U23" i="1"/>
  <c r="U22" i="1"/>
  <c r="S23" i="1"/>
  <c r="R23" i="1"/>
  <c r="O22" i="1"/>
  <c r="P22" i="1"/>
  <c r="R21" i="1"/>
  <c r="S21" i="1"/>
  <c r="O20" i="1"/>
  <c r="P20" i="1"/>
  <c r="L16" i="2"/>
  <c r="K15" i="2"/>
  <c r="L15" i="2"/>
  <c r="L30" i="2" s="1"/>
  <c r="M15" i="2"/>
  <c r="N15" i="2"/>
  <c r="O15" i="2"/>
  <c r="K16" i="2"/>
  <c r="M16" i="2"/>
  <c r="N16" i="2"/>
  <c r="O16" i="2"/>
  <c r="L14" i="2"/>
  <c r="M14" i="2"/>
  <c r="M29" i="2" s="1"/>
  <c r="N14" i="2"/>
  <c r="O14" i="2"/>
  <c r="K14" i="2"/>
  <c r="J16" i="2"/>
  <c r="J15" i="2"/>
  <c r="J14" i="2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P34" i="4"/>
  <c r="E34" i="4" s="1"/>
  <c r="P33" i="4"/>
  <c r="E33" i="4" s="1"/>
  <c r="P32" i="4"/>
  <c r="E32" i="4" s="1"/>
  <c r="P31" i="4"/>
  <c r="P30" i="4"/>
  <c r="E30" i="4" s="1"/>
  <c r="P29" i="4"/>
  <c r="E29" i="4" s="1"/>
  <c r="E31" i="4"/>
  <c r="A21" i="2"/>
  <c r="B21" i="2"/>
  <c r="D21" i="2"/>
  <c r="A22" i="2"/>
  <c r="B22" i="2"/>
  <c r="C22" i="2"/>
  <c r="D22" i="2"/>
  <c r="P13" i="2" l="1"/>
  <c r="P28" i="2" s="1"/>
  <c r="O17" i="2"/>
  <c r="N17" i="2"/>
  <c r="M17" i="2"/>
  <c r="L17" i="2"/>
  <c r="J17" i="2"/>
  <c r="P12" i="2"/>
  <c r="P27" i="2" s="1"/>
  <c r="J22" i="2"/>
  <c r="Q13" i="2"/>
  <c r="Q28" i="2" s="1"/>
  <c r="Q12" i="2"/>
  <c r="Q27" i="2" s="1"/>
  <c r="P11" i="2"/>
  <c r="P26" i="2" s="1"/>
  <c r="P9" i="2"/>
  <c r="P24" i="2" s="1"/>
  <c r="P8" i="2"/>
  <c r="P23" i="2" s="1"/>
  <c r="Q10" i="2"/>
  <c r="Q25" i="2" s="1"/>
  <c r="P16" i="2"/>
  <c r="Q16" i="2" s="1"/>
  <c r="L24" i="2"/>
  <c r="J25" i="2"/>
  <c r="Q7" i="2"/>
  <c r="P14" i="2"/>
  <c r="P15" i="2"/>
  <c r="L29" i="2"/>
  <c r="Q15" i="2"/>
  <c r="M30" i="2"/>
  <c r="Q14" i="2"/>
  <c r="L32" i="2" a="1"/>
  <c r="L32" i="2" s="1"/>
  <c r="U18" i="1"/>
  <c r="T18" i="1"/>
  <c r="Q8" i="2" l="1"/>
  <c r="Q23" i="2" s="1"/>
  <c r="Q22" i="2"/>
  <c r="Q9" i="2"/>
  <c r="Q24" i="2" s="1"/>
  <c r="Q11" i="2"/>
  <c r="Q26" i="2" s="1"/>
  <c r="P17" i="2"/>
  <c r="M32" i="2" a="1"/>
  <c r="M32" i="2" s="1"/>
  <c r="M31" i="2" a="1"/>
  <c r="M31" i="2" s="1"/>
  <c r="L31" i="2" a="1"/>
  <c r="L31" i="2" s="1"/>
  <c r="R20" i="1"/>
  <c r="S20" i="1"/>
  <c r="R22" i="1"/>
  <c r="S22" i="1"/>
  <c r="Q17" i="2" l="1"/>
  <c r="A23" i="2"/>
  <c r="B23" i="2"/>
  <c r="C23" i="2"/>
  <c r="D23" i="2"/>
  <c r="G30" i="2" l="1"/>
  <c r="E30" i="2"/>
  <c r="E29" i="2"/>
  <c r="T13" i="1" l="1"/>
  <c r="L13" i="1"/>
  <c r="M13" i="1"/>
  <c r="N13" i="1"/>
  <c r="O13" i="1"/>
  <c r="P13" i="1"/>
  <c r="Q13" i="1"/>
  <c r="R13" i="1"/>
  <c r="S13" i="1"/>
  <c r="A24" i="2"/>
  <c r="B24" i="2"/>
  <c r="C24" i="2"/>
  <c r="D24" i="2"/>
  <c r="Q20" i="1"/>
  <c r="S18" i="1"/>
  <c r="R18" i="1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B25" i="2"/>
  <c r="C25" i="2"/>
  <c r="D25" i="2"/>
  <c r="A25" i="2"/>
  <c r="I27" i="3"/>
  <c r="E27" i="3"/>
  <c r="E32" i="2" l="1" a="1"/>
  <c r="E32" i="2" s="1"/>
  <c r="E31" i="2" a="1"/>
  <c r="E31" i="2" s="1"/>
  <c r="U20" i="1"/>
  <c r="C7" i="1"/>
  <c r="T10" i="1"/>
  <c r="H10" i="1"/>
  <c r="Q22" i="1"/>
  <c r="M18" i="1"/>
  <c r="L18" i="1"/>
  <c r="K18" i="1"/>
  <c r="J18" i="1"/>
  <c r="I18" i="1"/>
  <c r="H18" i="1"/>
  <c r="G18" i="1"/>
  <c r="F18" i="1"/>
  <c r="F17" i="1"/>
  <c r="G17" i="1"/>
  <c r="F23" i="3"/>
  <c r="D46" i="4" l="1"/>
  <c r="U21" i="1"/>
  <c r="B7" i="1"/>
  <c r="R34" i="2" l="1"/>
  <c r="S34" i="2" s="1"/>
  <c r="C43" i="4" s="1"/>
  <c r="D45" i="4" s="1"/>
  <c r="R33" i="2"/>
  <c r="S33" i="2" s="1"/>
  <c r="R31" i="2" a="1"/>
  <c r="R31" i="2" s="1"/>
  <c r="R32" i="2" a="1"/>
  <c r="R32" i="2" s="1"/>
  <c r="I2" i="1"/>
  <c r="H2" i="1"/>
  <c r="I3" i="1"/>
  <c r="H3" i="1"/>
  <c r="H23" i="3"/>
  <c r="J2" i="1" l="1"/>
  <c r="K2" i="1" s="1"/>
  <c r="J3" i="1"/>
  <c r="K3" i="1" s="1"/>
  <c r="K29" i="2"/>
  <c r="N29" i="2"/>
  <c r="O29" i="2"/>
  <c r="P29" i="2"/>
  <c r="Q29" i="2"/>
  <c r="K30" i="2"/>
  <c r="N30" i="2"/>
  <c r="O30" i="2"/>
  <c r="P30" i="2"/>
  <c r="Q30" i="2"/>
  <c r="F29" i="2"/>
  <c r="G29" i="2"/>
  <c r="H29" i="2"/>
  <c r="I29" i="2"/>
  <c r="J29" i="2"/>
  <c r="F30" i="2"/>
  <c r="H30" i="2"/>
  <c r="I30" i="2"/>
  <c r="J30" i="2"/>
  <c r="G31" i="2" l="1" a="1"/>
  <c r="G31" i="2" s="1"/>
  <c r="G32" i="2" a="1"/>
  <c r="G32" i="2" s="1"/>
  <c r="H32" i="2" a="1"/>
  <c r="H32" i="2" s="1"/>
  <c r="H31" i="2" a="1"/>
  <c r="H31" i="2" s="1"/>
  <c r="K32" i="2" a="1"/>
  <c r="K32" i="2" s="1"/>
  <c r="K31" i="2" a="1"/>
  <c r="K31" i="2" s="1"/>
  <c r="N32" i="2" a="1"/>
  <c r="N32" i="2" s="1"/>
  <c r="N31" i="2" a="1"/>
  <c r="N31" i="2" s="1"/>
  <c r="Q32" i="2" a="1"/>
  <c r="Q32" i="2" s="1"/>
  <c r="Q31" i="2" a="1"/>
  <c r="Q31" i="2" s="1"/>
  <c r="F32" i="2" a="1"/>
  <c r="F32" i="2" s="1"/>
  <c r="F31" i="2" a="1"/>
  <c r="F31" i="2" s="1"/>
  <c r="P32" i="2" a="1"/>
  <c r="P32" i="2" s="1"/>
  <c r="P31" i="2" a="1"/>
  <c r="P31" i="2" s="1"/>
  <c r="J31" i="2" a="1"/>
  <c r="J31" i="2" s="1"/>
  <c r="J32" i="2" a="1"/>
  <c r="J32" i="2" s="1"/>
  <c r="O32" i="2" a="1"/>
  <c r="O32" i="2" s="1"/>
  <c r="O31" i="2" a="1"/>
  <c r="O31" i="2" s="1"/>
  <c r="I31" i="2" a="1"/>
  <c r="I31" i="2" s="1"/>
  <c r="I32" i="2" a="1"/>
  <c r="I32" i="2" s="1"/>
  <c r="J4" i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<sst xmlns="http://schemas.openxmlformats.org/spreadsheetml/2006/main" count="259" uniqueCount="167">
  <si>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</si>
  <si>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</si>
  <si>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</si>
  <si>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</si>
  <si>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</si>
  <si>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</si>
  <si>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</si>
  <si>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</si>
  <si>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</si>
  <si>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</si>
  <si>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</si>
  <si>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</si>
  <si>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</si>
  <si>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</si>
  <si>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</si>
  <si>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</si>
  <si>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</si>
  <si>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</si>
  <si>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</si>
  <si>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</si>
  <si>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</si>
  <si>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</si>
  <si>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</si>
  <si>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</si>
  <si>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</si>
  <si>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</si>
  <si>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</si>
  <si>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</si>
  <si>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</si>
  <si>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</si>
  <si>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</si>
  <si>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</si>
  <si>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</si>
  <si>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</si>
  <si>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</si>
  <si>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</si>
  <si>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</si>
  <si>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</si>
  <si>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</si>
  <si>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</si>
  <si>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</si>
  <si>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</si>
  <si>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</si>
  <si>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</si>
  <si>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</si>
  <si>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</si>
  <si>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</si>
  <si>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</si>
  <si>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</si>
  <si>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</si>
  <si>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</si>
  <si>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</si>
  <si>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</si>
  <si>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</si>
  <si>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</si>
  <si>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</si>
  <si>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</si>
  <si>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</si>
  <si>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</si>
  <si>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</si>
  <si>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</si>
  <si>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</si>
  <si>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</si>
  <si>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</si>
  <si>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</si>
  <si>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</si>
  <si>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</si>
  <si>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</si>
  <si>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</si>
  <si>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</si>
  <si>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</si>
  <si>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</si>
  <si>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</si>
  <si>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</si>
  <si>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</si>
  <si>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</si>
  <si>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</si>
  <si>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</si>
  <si>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</si>
  <si>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</si>
  <si>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</si>
  <si>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</si>
  <si>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</si>
  <si>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</si>
  <si>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</si>
  <si>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</si>
  <si>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</si>
  <si>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</si>
  <si>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</si>
  <si>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</si>
  <si>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</si>
  <si>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</si>
  <si>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</si>
  <si>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</si>
  <si>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</si>
  <si>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</si>
  <si>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</si>
  <si>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</si>
  <si>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</si>
  <si>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</si>
  <si>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</si>
  <si>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</si>
  <si>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</si>
  <si>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</si>
  <si>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</si>
  <si>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</si>
  <si>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</si>
  <si>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</si>
  <si>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</si>
  <si>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</si>
  <si>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</si>
  <si>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</si>
  <si>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</si>
  <si>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</si>
  <si>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</si>
  <si>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</si>
  <si>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</si>
  <si>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</si>
  <si>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</si>
  <si>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</si>
  <si>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</si>
  <si>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</si>
  <si>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</si>
  <si>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</si>
  <si>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</si>
  <si>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</si>
  <si>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</si>
  <si>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</si>
  <si>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</si>
  <si>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</si>
  <si>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</si>
  <si>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</si>
  <si>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</si>
  <si>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</si>
  <si>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</si>
  <si>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</si>
  <si>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</si>
  <si>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</si>
  <si>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</si>
  <si>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</si>
  <si>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</si>
  <si>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</si>
  <si>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</si>
  <si>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</si>
  <si>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</si>
  <si>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</si>
  <si>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</si>
  <si>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</si>
  <si>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</si>
  <si>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</si>
  <si>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</si>
  <si>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</si>
  <si>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</si>
  <si>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</si>
  <si>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</si>
  <si>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</si>
  <si>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</si>
  <si>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</si>
  <si>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</si>
  <si>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</si>
  <si>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</si>
  <si>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</si>
  <si>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</si>
  <si>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If this value is unsatisfactory, use confidence interval.</t>
  </si>
  <si>
    <t>NOT ENOUGH DATA</t>
  </si>
  <si>
    <t>VAPO_DISP</t>
  </si>
  <si>
    <t>DISPOSABLES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</si>
</sst>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V29"/>
  <sheetViews>
    <sheetView topLeftCell="A4" zoomScale="70" zoomScaleNormal="70" workbookViewId="0">
      <selection activeCell="O19" sqref="O19:S19"/>
    </sheetView>
  </sheetViews>
  <sheetFormatPr defaultRowHeight="12.75" x14ac:dyDescent="0.2"/>
  <cols>
    <col min="1" max="1" width="17.85546875" bestFit="1" customWidth="1"/>
    <col min="2" max="5" width="17.85546875" customWidth="1"/>
    <col min="6" max="19" width="10.7109375" customWidth="1"/>
    <col min="20" max="20" width="17.85546875" customWidth="1"/>
    <col min="21" max="22" width="10.7109375" customWidth="1"/>
  </cols>
  <sheetData>
    <row r="1" spans="1:21" x14ac:dyDescent="0.2">
      <c r="A1" s="128" t="s">
        <v>165</v>
      </c>
      <c r="B1" s="129"/>
      <c r="C1" s="130"/>
      <c r="F1" s="137" t="s">
        <v>35</v>
      </c>
      <c r="G1" s="138"/>
      <c r="H1" s="56" t="s">
        <v>31</v>
      </c>
      <c r="I1" s="56" t="s">
        <v>32</v>
      </c>
      <c r="J1" s="4" t="s">
        <v>39</v>
      </c>
      <c r="K1" s="139" t="s">
        <v>41</v>
      </c>
      <c r="L1" s="140"/>
    </row>
    <row r="2" spans="1:21" x14ac:dyDescent="0.2">
      <c r="A2" s="131"/>
      <c r="B2" s="132"/>
      <c r="C2" s="133"/>
      <c r="F2" s="54" t="s">
        <v>37</v>
      </c>
      <c r="G2" s="55"/>
      <c r="H2" s="57">
        <f>$B$7*($U$25-2*$U$26)</f>
        <v>9.8284842513178763</v>
      </c>
      <c r="I2" s="57">
        <f>$B$7*($U$25+2*$U$26)</f>
        <v>21.558335118568159</v>
      </c>
      <c r="J2" s="59">
        <f>AVERAGE(H2:I2)</f>
        <v>15.693409684943017</v>
      </c>
      <c r="K2" s="141">
        <f>$J$2/P14-1</f>
        <v>0.49461044618504912</v>
      </c>
      <c r="L2" s="142"/>
    </row>
    <row r="3" spans="1:21" x14ac:dyDescent="0.2">
      <c r="A3" s="134"/>
      <c r="B3" s="135"/>
      <c r="C3" s="136"/>
      <c r="F3" s="40" t="s">
        <v>38</v>
      </c>
      <c r="G3" s="18"/>
      <c r="H3" s="58">
        <f>$C$7*($U$25-2*$U$26)</f>
        <v>10.792061138701982</v>
      </c>
      <c r="I3" s="58">
        <f>$C$7*($U$25+2*$U$26)</f>
        <v>23.67189738509445</v>
      </c>
      <c r="J3" s="60">
        <f>AVERAGE(H3:I3)</f>
        <v>17.231979261898218</v>
      </c>
      <c r="K3" s="101">
        <f>$J$3/P15-1</f>
        <v>0.65692108287482864</v>
      </c>
      <c r="L3" s="102"/>
    </row>
    <row r="4" spans="1:21" x14ac:dyDescent="0.2">
      <c r="A4" s="45"/>
      <c r="B4" s="45"/>
      <c r="C4" s="45"/>
      <c r="I4" s="4" t="s">
        <v>40</v>
      </c>
      <c r="J4" s="60">
        <f>AVERAGE(J2:J3)</f>
        <v>16.462694473420619</v>
      </c>
      <c r="K4" s="101">
        <f>$J$4/P15-1</f>
        <v>0.58295139167505949</v>
      </c>
      <c r="L4" s="102"/>
    </row>
    <row r="5" spans="1:21" x14ac:dyDescent="0.2">
      <c r="A5" s="53" t="s">
        <v>34</v>
      </c>
      <c r="B5" s="43" t="s">
        <v>31</v>
      </c>
      <c r="C5" s="44" t="s">
        <v>32</v>
      </c>
    </row>
    <row r="6" spans="1:21" ht="15.75" x14ac:dyDescent="0.25">
      <c r="A6" s="47" t="s">
        <v>33</v>
      </c>
      <c r="B6" s="51">
        <v>102</v>
      </c>
      <c r="C6" s="52">
        <v>112</v>
      </c>
    </row>
    <row r="7" spans="1:21" ht="14.25" x14ac:dyDescent="0.2">
      <c r="A7" s="48" t="s">
        <v>36</v>
      </c>
      <c r="B7" s="49">
        <f>B6*$U$24</f>
        <v>48.44945271861603</v>
      </c>
      <c r="C7" s="50">
        <f>C6*$U$24</f>
        <v>53.199399063578383</v>
      </c>
    </row>
    <row r="10" spans="1:21" x14ac:dyDescent="0.2">
      <c r="F10" s="103" t="s">
        <v>15</v>
      </c>
      <c r="G10" s="103"/>
      <c r="H10" s="30">
        <f>AVERAGE(F13:T13)</f>
        <v>1.3649745785167398</v>
      </c>
      <c r="Q10" s="103" t="s">
        <v>16</v>
      </c>
      <c r="R10" s="103"/>
      <c r="S10" s="103"/>
      <c r="T10" s="74">
        <f>AVERAGE(P13:T13)</f>
        <v>1.433137687785637</v>
      </c>
    </row>
    <row r="11" spans="1:21" x14ac:dyDescent="0.2">
      <c r="A11" s="46" t="s">
        <v>6</v>
      </c>
      <c r="B11" s="143">
        <v>2012</v>
      </c>
      <c r="C11" s="144"/>
      <c r="D11" s="144"/>
      <c r="E11" s="145"/>
      <c r="F11" s="124">
        <v>2018</v>
      </c>
      <c r="G11" s="125"/>
      <c r="H11" s="125"/>
      <c r="I11" s="126"/>
      <c r="J11" s="112">
        <v>2019</v>
      </c>
      <c r="K11" s="113"/>
      <c r="L11" s="113"/>
      <c r="M11" s="114"/>
      <c r="N11" s="115">
        <v>2020</v>
      </c>
      <c r="O11" s="116"/>
      <c r="P11" s="116"/>
      <c r="Q11" s="117"/>
      <c r="R11" s="118">
        <v>2021</v>
      </c>
      <c r="S11" s="119"/>
      <c r="T11" s="119"/>
      <c r="U11" s="120"/>
    </row>
    <row r="12" spans="1:21" x14ac:dyDescent="0.2">
      <c r="A12" s="13" t="s">
        <v>19</v>
      </c>
      <c r="B12" s="95" t="s">
        <v>20</v>
      </c>
      <c r="C12" s="95" t="s">
        <v>3</v>
      </c>
      <c r="D12" s="95" t="s">
        <v>4</v>
      </c>
      <c r="E12" s="97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19" t="s">
        <v>3</v>
      </c>
      <c r="P12" s="19" t="s">
        <v>4</v>
      </c>
      <c r="Q12" s="19" t="s">
        <v>5</v>
      </c>
      <c r="R12" s="32" t="s">
        <v>20</v>
      </c>
      <c r="S12" s="33" t="s">
        <v>3</v>
      </c>
      <c r="T12" s="34" t="s">
        <v>21</v>
      </c>
      <c r="U12" s="25" t="s">
        <v>22</v>
      </c>
    </row>
    <row r="13" spans="1:21" x14ac:dyDescent="0.2">
      <c r="A13" s="29" t="s">
        <v>2</v>
      </c>
      <c r="F13" s="77"/>
      <c r="G13" s="77"/>
      <c r="H13" s="77"/>
      <c r="I13" s="77"/>
      <c r="J13" s="77"/>
      <c r="K13" s="77"/>
      <c r="L13" s="77">
        <f t="shared" ref="L13:S13" si="0">L15/H15</f>
        <v>1.1764705882352942</v>
      </c>
      <c r="M13" s="77">
        <f t="shared" si="0"/>
        <v>1.203125</v>
      </c>
      <c r="N13" s="77">
        <f t="shared" si="0"/>
        <v>1.2933333333333332</v>
      </c>
      <c r="O13" s="77">
        <f t="shared" si="0"/>
        <v>1.4461538461538461</v>
      </c>
      <c r="P13" s="77">
        <f t="shared" si="0"/>
        <v>1.7333333333333334</v>
      </c>
      <c r="Q13" s="77">
        <f t="shared" si="0"/>
        <v>1.948051948051948</v>
      </c>
      <c r="R13" s="77">
        <f t="shared" si="0"/>
        <v>1.2886597938144331</v>
      </c>
      <c r="S13" s="77">
        <f t="shared" si="0"/>
        <v>0.77659574468085102</v>
      </c>
      <c r="T13" s="77">
        <f>T14/P14</f>
        <v>1.4190476190476191</v>
      </c>
      <c r="U13" s="26"/>
    </row>
    <row r="14" spans="1:21" x14ac:dyDescent="0.2">
      <c r="A14" s="14" t="s">
        <v>0</v>
      </c>
      <c r="B14" s="6"/>
      <c r="C14" s="6"/>
      <c r="D14" s="6"/>
      <c r="E14" s="6"/>
      <c r="F14">
        <v>6.3</v>
      </c>
      <c r="G14">
        <v>5.2</v>
      </c>
      <c r="H14">
        <v>5.0999999999999996</v>
      </c>
      <c r="I14">
        <v>6.4</v>
      </c>
      <c r="J14">
        <v>7.5</v>
      </c>
      <c r="K14">
        <v>6.5</v>
      </c>
      <c r="L14">
        <v>6</v>
      </c>
      <c r="M14">
        <v>7.7</v>
      </c>
      <c r="N14">
        <v>9.6999999999999993</v>
      </c>
      <c r="O14">
        <v>9.5</v>
      </c>
      <c r="P14">
        <v>10.5</v>
      </c>
      <c r="Q14">
        <v>15</v>
      </c>
      <c r="R14">
        <v>12.6</v>
      </c>
      <c r="S14">
        <v>7.4</v>
      </c>
      <c r="T14">
        <v>14.9</v>
      </c>
      <c r="U14">
        <v>11.3</v>
      </c>
    </row>
    <row r="15" spans="1:21" x14ac:dyDescent="0.2">
      <c r="A15" s="14" t="s">
        <v>1</v>
      </c>
      <c r="B15" s="6"/>
      <c r="C15" s="6"/>
      <c r="D15" s="6"/>
      <c r="E15" s="6"/>
      <c r="F15">
        <v>6.3</v>
      </c>
      <c r="G15">
        <v>5.2</v>
      </c>
      <c r="H15">
        <v>5.0999999999999996</v>
      </c>
      <c r="I15">
        <v>6.4</v>
      </c>
      <c r="J15">
        <v>7.5</v>
      </c>
      <c r="K15">
        <v>6.5</v>
      </c>
      <c r="L15">
        <v>6</v>
      </c>
      <c r="M15">
        <v>7.7</v>
      </c>
      <c r="N15">
        <v>9.6999999999999993</v>
      </c>
      <c r="O15">
        <v>9.4</v>
      </c>
      <c r="P15">
        <v>10.4</v>
      </c>
      <c r="Q15">
        <v>15</v>
      </c>
      <c r="R15">
        <v>12.5</v>
      </c>
      <c r="S15">
        <v>7.3</v>
      </c>
      <c r="T15" s="9"/>
      <c r="U15" s="10"/>
    </row>
    <row r="16" spans="1:21" x14ac:dyDescent="0.2">
      <c r="A16" s="14" t="s">
        <v>153</v>
      </c>
      <c r="B16" s="9"/>
      <c r="C16" s="9"/>
      <c r="D16" s="9"/>
      <c r="E16" s="9"/>
      <c r="F16">
        <v>10.7</v>
      </c>
      <c r="G16">
        <v>10.6</v>
      </c>
      <c r="H16">
        <v>9.4</v>
      </c>
      <c r="I16">
        <v>11.7</v>
      </c>
      <c r="J16">
        <v>12.3</v>
      </c>
      <c r="K16">
        <v>12</v>
      </c>
      <c r="L16">
        <v>10.8</v>
      </c>
      <c r="M16">
        <v>13</v>
      </c>
      <c r="N16">
        <v>19.100000000000001</v>
      </c>
      <c r="O16">
        <v>35.200000000000003</v>
      </c>
      <c r="P16">
        <v>30.6</v>
      </c>
      <c r="Q16">
        <v>40.9</v>
      </c>
      <c r="R16">
        <v>32.299999999999997</v>
      </c>
      <c r="S16">
        <v>20.6</v>
      </c>
      <c r="T16">
        <v>30.9</v>
      </c>
      <c r="U16" s="10"/>
    </row>
    <row r="17" spans="1:22" x14ac:dyDescent="0.2">
      <c r="A17" s="78" t="s">
        <v>18</v>
      </c>
      <c r="B17" s="79"/>
      <c r="C17" s="79"/>
      <c r="D17" s="79"/>
      <c r="E17" s="79"/>
      <c r="F17" s="79">
        <f t="shared" ref="F17:G17" si="1">F15/F16</f>
        <v>0.58878504672897203</v>
      </c>
      <c r="G17" s="79">
        <f t="shared" si="1"/>
        <v>0.49056603773584911</v>
      </c>
      <c r="H17" s="79">
        <f t="shared" ref="H17:S17" si="2">H15/H16</f>
        <v>0.54255319148936165</v>
      </c>
      <c r="I17" s="79">
        <f t="shared" si="2"/>
        <v>0.54700854700854706</v>
      </c>
      <c r="J17" s="79">
        <f t="shared" si="2"/>
        <v>0.6097560975609756</v>
      </c>
      <c r="K17" s="79">
        <f t="shared" si="2"/>
        <v>0.54166666666666663</v>
      </c>
      <c r="L17" s="79">
        <f t="shared" si="2"/>
        <v>0.55555555555555547</v>
      </c>
      <c r="M17" s="79">
        <f t="shared" si="2"/>
        <v>0.59230769230769231</v>
      </c>
      <c r="N17" s="79">
        <f t="shared" si="2"/>
        <v>0.50785340314136118</v>
      </c>
      <c r="O17" s="79">
        <f t="shared" si="2"/>
        <v>0.26704545454545453</v>
      </c>
      <c r="P17" s="79">
        <f t="shared" si="2"/>
        <v>0.33986928104575165</v>
      </c>
      <c r="Q17" s="79">
        <f t="shared" si="2"/>
        <v>0.36674816625916873</v>
      </c>
      <c r="R17" s="79">
        <f t="shared" si="2"/>
        <v>0.38699690402476783</v>
      </c>
      <c r="S17" s="79">
        <f t="shared" si="2"/>
        <v>0.35436893203883491</v>
      </c>
      <c r="T17" s="98">
        <f>T14/T16</f>
        <v>0.48220064724919098</v>
      </c>
      <c r="U17" s="80"/>
    </row>
    <row r="18" spans="1:22" x14ac:dyDescent="0.2">
      <c r="A18" s="78" t="s">
        <v>24</v>
      </c>
      <c r="B18" s="79"/>
      <c r="C18" s="79"/>
      <c r="D18" s="79"/>
      <c r="E18" s="81"/>
      <c r="F18" s="79">
        <f>F15/SUM(F15:I15)</f>
        <v>0.27391304347826084</v>
      </c>
      <c r="G18" s="79">
        <f>G15/SUM(F15:I15)</f>
        <v>0.22608695652173913</v>
      </c>
      <c r="H18" s="79">
        <f>H15/SUM(F15:I15)</f>
        <v>0.22173913043478261</v>
      </c>
      <c r="I18" s="81">
        <f>I15/SUM(F15:I15)</f>
        <v>0.27826086956521739</v>
      </c>
      <c r="J18" s="79">
        <f>J15/SUM(J15:M15)</f>
        <v>0.27075812274368233</v>
      </c>
      <c r="K18" s="79">
        <f>K15/SUM(J15:M15)</f>
        <v>0.23465703971119134</v>
      </c>
      <c r="L18" s="79">
        <f>L15/SUM(J15:M15)</f>
        <v>0.21660649819494585</v>
      </c>
      <c r="M18" s="81">
        <f>M15/SUM(J15:M15)</f>
        <v>0.27797833935018051</v>
      </c>
      <c r="N18" s="79"/>
      <c r="O18" s="79"/>
      <c r="P18" s="79"/>
      <c r="Q18" s="81"/>
      <c r="R18" s="79">
        <f>R15/SUM(R15:S15,T14:U14)</f>
        <v>0.27173913043478259</v>
      </c>
      <c r="S18" s="79">
        <f>S15/SUM(R15:S15,T14:U14)</f>
        <v>0.15869565217391304</v>
      </c>
      <c r="T18" s="79">
        <f>T14/SUM(R15:S15,T14:U14)</f>
        <v>0.32391304347826089</v>
      </c>
      <c r="U18" s="81">
        <f>U14/SUM(R15:S15,T14:U14)</f>
        <v>0.2456521739130435</v>
      </c>
      <c r="V18" s="3"/>
    </row>
    <row r="19" spans="1:22" x14ac:dyDescent="0.2">
      <c r="A19" s="15" t="s">
        <v>17</v>
      </c>
      <c r="B19" s="11"/>
      <c r="C19" s="11"/>
      <c r="D19" s="11"/>
      <c r="E19" s="11"/>
      <c r="F19" s="75"/>
      <c r="G19" s="58"/>
      <c r="H19" s="58"/>
      <c r="I19" s="58"/>
      <c r="J19" s="75"/>
      <c r="K19" s="58"/>
      <c r="L19" s="58"/>
      <c r="M19" s="58"/>
      <c r="N19" s="75"/>
      <c r="O19">
        <v>11.4</v>
      </c>
      <c r="P19">
        <v>8.9</v>
      </c>
      <c r="Q19">
        <v>13.2</v>
      </c>
      <c r="R19">
        <v>14.4</v>
      </c>
      <c r="S19">
        <v>10.3</v>
      </c>
      <c r="T19" s="76"/>
      <c r="U19" s="12"/>
    </row>
    <row r="20" spans="1:22" x14ac:dyDescent="0.2">
      <c r="K20" s="106" t="s">
        <v>7</v>
      </c>
      <c r="L20" s="121"/>
      <c r="M20" s="7"/>
      <c r="N20" s="7"/>
      <c r="O20" s="7">
        <f t="shared" ref="O20:P20" si="3">IF(O15&gt;O19,1,0)</f>
        <v>0</v>
      </c>
      <c r="P20" s="7">
        <f t="shared" si="3"/>
        <v>1</v>
      </c>
      <c r="Q20" s="7">
        <f t="shared" ref="Q20:S20" si="4">IF(Q15&gt;Q19,1,0)</f>
        <v>1</v>
      </c>
      <c r="R20" s="7">
        <f>IF(R15&gt;R19,1,0)</f>
        <v>0</v>
      </c>
      <c r="S20" s="8">
        <f t="shared" si="4"/>
        <v>0</v>
      </c>
      <c r="T20" s="40" t="s">
        <v>8</v>
      </c>
      <c r="U20" s="37">
        <f>AVERAGE(K20:S20)</f>
        <v>0.4</v>
      </c>
    </row>
    <row r="21" spans="1:22" x14ac:dyDescent="0.2">
      <c r="K21" s="122" t="s">
        <v>9</v>
      </c>
      <c r="L21" s="123"/>
      <c r="N21" s="6"/>
      <c r="O21" s="6"/>
      <c r="P21" s="6"/>
      <c r="Q21" s="6"/>
      <c r="R21" s="6">
        <f>AVERAGE(O20:R20)</f>
        <v>0.5</v>
      </c>
      <c r="S21" s="10">
        <f>AVERAGE(P20:S20)</f>
        <v>0.5</v>
      </c>
      <c r="T21" s="36" t="s">
        <v>10</v>
      </c>
      <c r="U21" s="37">
        <f>AVERAGE(N21:S21)</f>
        <v>0.5</v>
      </c>
    </row>
    <row r="22" spans="1:22" x14ac:dyDescent="0.2">
      <c r="K22" s="110" t="s">
        <v>11</v>
      </c>
      <c r="L22" s="111"/>
      <c r="M22" s="17"/>
      <c r="N22" s="17"/>
      <c r="O22" s="17">
        <f t="shared" ref="O22:S22" si="5">O15/O19-1</f>
        <v>-0.17543859649122806</v>
      </c>
      <c r="P22" s="17">
        <f t="shared" si="5"/>
        <v>0.1685393258426966</v>
      </c>
      <c r="Q22" s="17">
        <f t="shared" si="5"/>
        <v>0.13636363636363646</v>
      </c>
      <c r="R22" s="17">
        <f t="shared" si="5"/>
        <v>-0.13194444444444442</v>
      </c>
      <c r="S22" s="35">
        <f t="shared" si="5"/>
        <v>-0.29126213592233019</v>
      </c>
      <c r="T22" s="36" t="s">
        <v>13</v>
      </c>
      <c r="U22" s="38">
        <f>MEDIAN(M22:S22)</f>
        <v>-0.13194444444444442</v>
      </c>
    </row>
    <row r="23" spans="1:22" x14ac:dyDescent="0.2">
      <c r="K23" s="122" t="s">
        <v>12</v>
      </c>
      <c r="L23" s="123"/>
      <c r="N23" s="27"/>
      <c r="O23" s="27"/>
      <c r="P23" s="27"/>
      <c r="Q23" s="27"/>
      <c r="R23" s="27">
        <f>AVERAGE(O22:R22)</f>
        <v>-6.2001968233485472E-4</v>
      </c>
      <c r="S23" s="27">
        <f>AVERAGE(P22:S22)</f>
        <v>-2.9575904540110387E-2</v>
      </c>
      <c r="T23" s="18" t="s">
        <v>14</v>
      </c>
      <c r="U23" s="28">
        <f>MEDIAN(N23:S23)</f>
        <v>-1.5097962111222621E-2</v>
      </c>
    </row>
    <row r="24" spans="1:22" x14ac:dyDescent="0.2">
      <c r="K24" s="106" t="s">
        <v>25</v>
      </c>
      <c r="L24" s="121"/>
      <c r="M24" s="90">
        <f>AVERAGE(P22:Q22)</f>
        <v>0.15245148110316653</v>
      </c>
      <c r="N24" s="106" t="s">
        <v>29</v>
      </c>
      <c r="O24" s="107"/>
      <c r="P24" s="41">
        <f>MEDIAN(P22:Q22)</f>
        <v>0.15245148110316653</v>
      </c>
      <c r="Q24" s="146" t="s">
        <v>23</v>
      </c>
      <c r="R24" s="147"/>
      <c r="S24" s="147"/>
      <c r="T24" s="148"/>
      <c r="U24" s="39">
        <f>AVERAGE(S17:T17,N17,L17)</f>
        <v>0.47499463449623558</v>
      </c>
    </row>
    <row r="25" spans="1:22" x14ac:dyDescent="0.2">
      <c r="K25" s="108" t="s">
        <v>26</v>
      </c>
      <c r="L25" s="127"/>
      <c r="M25" s="89">
        <f>AVERAGE(O22,R22:S22)</f>
        <v>-0.19954839228600088</v>
      </c>
      <c r="N25" s="108" t="s">
        <v>30</v>
      </c>
      <c r="O25" s="109"/>
      <c r="P25" s="28">
        <f>MEDIAN(O22,R22:S22)</f>
        <v>-0.17543859649122806</v>
      </c>
      <c r="Q25" s="149" t="s">
        <v>27</v>
      </c>
      <c r="R25" s="150"/>
      <c r="S25" s="150"/>
      <c r="T25" s="150"/>
      <c r="U25" s="41">
        <f>T18</f>
        <v>0.32391304347826089</v>
      </c>
    </row>
    <row r="26" spans="1:22" x14ac:dyDescent="0.2">
      <c r="Q26" s="104" t="s">
        <v>28</v>
      </c>
      <c r="R26" s="105"/>
      <c r="S26" s="105"/>
      <c r="T26" s="105"/>
      <c r="U26" s="42">
        <f>_xlfn.STDEV.S(T18,L18,H18)</f>
        <v>6.0526229962672276E-2</v>
      </c>
    </row>
    <row r="29" spans="1:22" ht="18" customHeight="1" x14ac:dyDescent="0.2"/>
  </sheetData>
  <mergeCells count="24">
    <mergeCell ref="B11:E11"/>
    <mergeCell ref="K23:L23"/>
    <mergeCell ref="Q24:T24"/>
    <mergeCell ref="Q25:T25"/>
    <mergeCell ref="Q10:S10"/>
    <mergeCell ref="A1:C3"/>
    <mergeCell ref="F1:G1"/>
    <mergeCell ref="K1:L1"/>
    <mergeCell ref="K2:L2"/>
    <mergeCell ref="K3:L3"/>
    <mergeCell ref="K4:L4"/>
    <mergeCell ref="F10:G10"/>
    <mergeCell ref="Q26:T26"/>
    <mergeCell ref="N24:O24"/>
    <mergeCell ref="N25:O25"/>
    <mergeCell ref="K22:L22"/>
    <mergeCell ref="J11:M11"/>
    <mergeCell ref="N11:Q11"/>
    <mergeCell ref="R11:U11"/>
    <mergeCell ref="K20:L20"/>
    <mergeCell ref="K21:L21"/>
    <mergeCell ref="F11:I11"/>
    <mergeCell ref="K24:L24"/>
    <mergeCell ref="K25:L25"/>
  </mergeCells>
  <conditionalFormatting sqref="U22:U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U20:U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U20:U21 U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M20:S20 U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S22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1:S21 U2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:S23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U22:U23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 U24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M22:S22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N23:S23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36"/>
  <sheetViews>
    <sheetView tabSelected="1" topLeftCell="A4" zoomScale="85" zoomScaleNormal="85" workbookViewId="0">
      <selection activeCell="G36" sqref="G36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9.7109375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76</v>
      </c>
      <c r="B1" t="s">
        <v>77</v>
      </c>
    </row>
    <row r="4" spans="1:21" x14ac:dyDescent="0.2">
      <c r="A4" s="153" t="s">
        <v>72</v>
      </c>
      <c r="B4" s="153"/>
      <c r="T4" s="65" t="s">
        <v>161</v>
      </c>
    </row>
    <row r="5" spans="1:21" x14ac:dyDescent="0.2">
      <c r="A5" s="16" t="s">
        <v>52</v>
      </c>
      <c r="B5" s="16" t="s">
        <v>53</v>
      </c>
      <c r="C5" s="16" t="s">
        <v>64</v>
      </c>
      <c r="D5" s="16" t="s">
        <v>54</v>
      </c>
      <c r="E5" s="16" t="s">
        <v>55</v>
      </c>
      <c r="F5" s="16" t="s">
        <v>65</v>
      </c>
      <c r="G5" s="16" t="s">
        <v>56</v>
      </c>
      <c r="H5" s="16" t="s">
        <v>57</v>
      </c>
      <c r="I5" s="16" t="s">
        <v>66</v>
      </c>
      <c r="J5" s="16" t="s">
        <v>58</v>
      </c>
      <c r="K5" s="16" t="s">
        <v>59</v>
      </c>
      <c r="L5" s="16" t="s">
        <v>69</v>
      </c>
      <c r="M5" s="16" t="s">
        <v>60</v>
      </c>
      <c r="N5" s="16" t="s">
        <v>61</v>
      </c>
      <c r="O5" s="16" t="s">
        <v>70</v>
      </c>
      <c r="P5" s="16" t="s">
        <v>62</v>
      </c>
      <c r="Q5" s="16" t="s">
        <v>63</v>
      </c>
      <c r="R5" s="16" t="s">
        <v>0</v>
      </c>
      <c r="S5" s="16" t="s">
        <v>68</v>
      </c>
      <c r="T5" s="31" t="s">
        <v>0</v>
      </c>
      <c r="U5" s="31" t="s">
        <v>68</v>
      </c>
    </row>
    <row r="6" spans="1:21" x14ac:dyDescent="0.2">
      <c r="A6" t="s">
        <v>165</v>
      </c>
      <c r="B6" t="s">
        <v>166</v>
      </c>
      <c r="C6" t="s">
        <v>42</v>
      </c>
      <c r="D6">
        <v>20190502</v>
      </c>
      <c r="E6">
        <v>6.1515050000000002</v>
      </c>
      <c r="F6">
        <v>6.2180470000000003</v>
      </c>
      <c r="G6">
        <v>6.4134900000000004</v>
      </c>
      <c r="H6">
        <v>6.4556560000000003</v>
      </c>
      <c r="I6">
        <v>6.179583</v>
      </c>
      <c r="J6">
        <f t="shared" ref="J6:J12" si="0">AVERAGE(E6:I6)</f>
        <v>6.2836562000000011</v>
      </c>
      <c r="R6" s="6"/>
      <c r="S6">
        <v>7.5</v>
      </c>
      <c r="T6" s="83"/>
      <c r="U6" s="82"/>
    </row>
    <row r="7" spans="1:21" x14ac:dyDescent="0.2">
      <c r="A7" t="s">
        <v>165</v>
      </c>
      <c r="B7" t="s">
        <v>166</v>
      </c>
      <c r="C7" t="s">
        <v>43</v>
      </c>
      <c r="D7">
        <v>20190725</v>
      </c>
      <c r="E7">
        <v>6.2559279999999999</v>
      </c>
      <c r="F7">
        <v>6.1983709999999999</v>
      </c>
      <c r="G7">
        <v>6.1678309999999996</v>
      </c>
      <c r="H7">
        <v>6.5375240000000003</v>
      </c>
      <c r="I7">
        <v>5.9592369999999999</v>
      </c>
      <c r="J7">
        <f t="shared" si="0"/>
        <v>6.2237781999999999</v>
      </c>
      <c r="K7">
        <f t="shared" ref="K7:K13" si="1">(E7/E6)*$S6</f>
        <v>7.6273139662570371</v>
      </c>
      <c r="L7">
        <f t="shared" ref="L7:L13" si="2">(F7/F6)*$S6</f>
        <v>7.4762674679043108</v>
      </c>
      <c r="M7">
        <f t="shared" ref="M7:M13" si="3">(G7/G6)*$S6</f>
        <v>7.2127238835641743</v>
      </c>
      <c r="N7">
        <f t="shared" ref="N7:N13" si="4">(H7/H6)*$S6</f>
        <v>7.5951119452461526</v>
      </c>
      <c r="O7">
        <f t="shared" ref="O7:O13" si="5">(I7/I6)*$S6</f>
        <v>7.2325717609100799</v>
      </c>
      <c r="P7">
        <f t="shared" ref="P7:P13" si="6">(J7/J6)*$S6</f>
        <v>7.4285312586006844</v>
      </c>
      <c r="Q7">
        <f t="shared" ref="Q7:Q13" si="7">AVERAGE(K7:P7)</f>
        <v>7.4287533804137409</v>
      </c>
      <c r="S7">
        <v>6.5</v>
      </c>
      <c r="T7" s="83"/>
      <c r="U7" s="82"/>
    </row>
    <row r="8" spans="1:21" x14ac:dyDescent="0.2">
      <c r="A8" t="s">
        <v>165</v>
      </c>
      <c r="B8" t="s">
        <v>166</v>
      </c>
      <c r="C8" t="s">
        <v>44</v>
      </c>
      <c r="D8">
        <v>20191031</v>
      </c>
      <c r="E8">
        <v>6.6179069999999998</v>
      </c>
      <c r="F8">
        <v>6.5137090000000004</v>
      </c>
      <c r="G8">
        <v>5.9500690000000001</v>
      </c>
      <c r="H8">
        <v>6.944115</v>
      </c>
      <c r="I8">
        <v>6.2283980000000003</v>
      </c>
      <c r="J8">
        <f t="shared" si="0"/>
        <v>6.4508396000000001</v>
      </c>
      <c r="K8">
        <f t="shared" si="1"/>
        <v>6.8761014353106367</v>
      </c>
      <c r="L8">
        <f t="shared" si="2"/>
        <v>6.8306831746599235</v>
      </c>
      <c r="M8">
        <f t="shared" si="3"/>
        <v>6.2705104111964163</v>
      </c>
      <c r="N8">
        <f t="shared" si="4"/>
        <v>6.9042572539695444</v>
      </c>
      <c r="O8">
        <f t="shared" si="5"/>
        <v>6.7935856553448035</v>
      </c>
      <c r="P8">
        <f t="shared" si="6"/>
        <v>6.7371387688590829</v>
      </c>
      <c r="Q8">
        <f t="shared" si="7"/>
        <v>6.7353794498900683</v>
      </c>
      <c r="S8">
        <v>6</v>
      </c>
      <c r="T8" s="83"/>
      <c r="U8" s="82"/>
    </row>
    <row r="9" spans="1:21" x14ac:dyDescent="0.2">
      <c r="A9" t="s">
        <v>165</v>
      </c>
      <c r="B9" t="s">
        <v>166</v>
      </c>
      <c r="C9" t="s">
        <v>45</v>
      </c>
      <c r="D9">
        <v>20200227</v>
      </c>
      <c r="E9">
        <v>8.4309080000000005</v>
      </c>
      <c r="F9">
        <v>8.4592310000000008</v>
      </c>
      <c r="G9">
        <v>8.4542619999999999</v>
      </c>
      <c r="H9">
        <v>8.7639340000000008</v>
      </c>
      <c r="I9">
        <v>7.9538209999999996</v>
      </c>
      <c r="J9">
        <f t="shared" si="0"/>
        <v>8.4124312000000003</v>
      </c>
      <c r="K9">
        <f t="shared" si="1"/>
        <v>7.6437230078935841</v>
      </c>
      <c r="L9">
        <f t="shared" si="2"/>
        <v>7.7920868125978604</v>
      </c>
      <c r="M9">
        <f t="shared" si="3"/>
        <v>8.5252073547382388</v>
      </c>
      <c r="N9">
        <f t="shared" si="4"/>
        <v>7.5723982105711096</v>
      </c>
      <c r="O9">
        <f t="shared" si="5"/>
        <v>7.6621510057642421</v>
      </c>
      <c r="P9">
        <f t="shared" si="6"/>
        <v>7.8244988760842862</v>
      </c>
      <c r="Q9">
        <f t="shared" si="7"/>
        <v>7.8366775446082206</v>
      </c>
      <c r="S9">
        <v>7.7</v>
      </c>
      <c r="T9" s="83"/>
      <c r="U9" s="82"/>
    </row>
    <row r="10" spans="1:21" x14ac:dyDescent="0.2">
      <c r="A10" t="s">
        <v>165</v>
      </c>
      <c r="B10" t="s">
        <v>166</v>
      </c>
      <c r="C10" t="s">
        <v>46</v>
      </c>
      <c r="D10">
        <v>20200430</v>
      </c>
      <c r="E10">
        <v>10.048899</v>
      </c>
      <c r="F10">
        <v>10.240004000000001</v>
      </c>
      <c r="G10">
        <v>10.110397000000001</v>
      </c>
      <c r="H10">
        <v>9.9885950000000001</v>
      </c>
      <c r="I10">
        <v>9.5606620000000007</v>
      </c>
      <c r="J10">
        <f t="shared" si="0"/>
        <v>9.9897114000000009</v>
      </c>
      <c r="K10">
        <f t="shared" si="1"/>
        <v>9.1777211066708357</v>
      </c>
      <c r="L10">
        <f t="shared" si="2"/>
        <v>9.3209454618274403</v>
      </c>
      <c r="M10">
        <f t="shared" si="3"/>
        <v>9.208379974502801</v>
      </c>
      <c r="N10">
        <f t="shared" si="4"/>
        <v>8.7759882148815826</v>
      </c>
      <c r="O10">
        <f t="shared" si="5"/>
        <v>9.2555637598583136</v>
      </c>
      <c r="P10">
        <f t="shared" si="6"/>
        <v>9.1437036394425437</v>
      </c>
      <c r="Q10">
        <f t="shared" si="7"/>
        <v>9.1470503595305868</v>
      </c>
      <c r="S10">
        <v>9.6999999999999993</v>
      </c>
      <c r="T10" s="9"/>
      <c r="U10" s="57"/>
    </row>
    <row r="11" spans="1:21" x14ac:dyDescent="0.2">
      <c r="A11" t="s">
        <v>165</v>
      </c>
      <c r="B11" t="s">
        <v>166</v>
      </c>
      <c r="C11" t="s">
        <v>47</v>
      </c>
      <c r="D11">
        <v>20200730</v>
      </c>
      <c r="E11">
        <v>9.8406339999999997</v>
      </c>
      <c r="F11">
        <v>10.017910000000001</v>
      </c>
      <c r="G11">
        <v>8.8332840000000008</v>
      </c>
      <c r="H11">
        <v>9.540203</v>
      </c>
      <c r="I11">
        <v>9.5956100000000006</v>
      </c>
      <c r="J11">
        <f t="shared" si="0"/>
        <v>9.5655281999999993</v>
      </c>
      <c r="K11">
        <f t="shared" si="1"/>
        <v>9.4989659862239613</v>
      </c>
      <c r="L11">
        <f t="shared" si="2"/>
        <v>9.4896180704616899</v>
      </c>
      <c r="M11">
        <f t="shared" si="3"/>
        <v>8.4747270359413189</v>
      </c>
      <c r="N11">
        <f t="shared" si="4"/>
        <v>9.2645631442660346</v>
      </c>
      <c r="O11">
        <f t="shared" si="5"/>
        <v>9.7354573354857639</v>
      </c>
      <c r="P11">
        <f t="shared" si="6"/>
        <v>9.2881185276283329</v>
      </c>
      <c r="Q11">
        <f t="shared" si="7"/>
        <v>9.2919083500011848</v>
      </c>
      <c r="R11">
        <v>11.4</v>
      </c>
      <c r="S11">
        <v>9.4</v>
      </c>
      <c r="T11" s="9"/>
      <c r="U11" s="57"/>
    </row>
    <row r="12" spans="1:21" x14ac:dyDescent="0.2">
      <c r="A12" t="s">
        <v>165</v>
      </c>
      <c r="B12" t="s">
        <v>166</v>
      </c>
      <c r="C12" t="s">
        <v>48</v>
      </c>
      <c r="D12">
        <v>20201029</v>
      </c>
      <c r="E12">
        <v>9.8656570000000006</v>
      </c>
      <c r="F12">
        <v>9.7215260000000008</v>
      </c>
      <c r="G12">
        <v>9.5272009999999998</v>
      </c>
      <c r="H12">
        <v>9.7394660000000002</v>
      </c>
      <c r="I12">
        <v>9.4322479999999995</v>
      </c>
      <c r="J12">
        <f t="shared" si="0"/>
        <v>9.6572196000000012</v>
      </c>
      <c r="K12">
        <f t="shared" si="1"/>
        <v>9.4239025453034841</v>
      </c>
      <c r="L12">
        <f t="shared" si="2"/>
        <v>9.1218971222540439</v>
      </c>
      <c r="M12">
        <f t="shared" si="3"/>
        <v>10.138436554287171</v>
      </c>
      <c r="N12">
        <f t="shared" si="4"/>
        <v>9.5963346272610757</v>
      </c>
      <c r="O12">
        <f t="shared" si="5"/>
        <v>9.2399681937886182</v>
      </c>
      <c r="P12">
        <f t="shared" si="6"/>
        <v>9.4901047116248129</v>
      </c>
      <c r="Q12">
        <f t="shared" si="7"/>
        <v>9.5017739590865347</v>
      </c>
      <c r="R12">
        <v>8.9</v>
      </c>
      <c r="S12">
        <v>10.4</v>
      </c>
      <c r="T12" s="9"/>
      <c r="U12" s="57"/>
    </row>
    <row r="13" spans="1:21" x14ac:dyDescent="0.2">
      <c r="A13" t="s">
        <v>165</v>
      </c>
      <c r="B13" t="s">
        <v>166</v>
      </c>
      <c r="C13" t="s">
        <v>49</v>
      </c>
      <c r="D13">
        <v>20210218</v>
      </c>
      <c r="E13">
        <v>10.719143000000001</v>
      </c>
      <c r="F13">
        <v>10.596541</v>
      </c>
      <c r="G13">
        <v>11.406402</v>
      </c>
      <c r="H13">
        <v>11.507652999999999</v>
      </c>
      <c r="I13">
        <v>9.7203079999999993</v>
      </c>
      <c r="J13">
        <f>AVERAGE(E13:I13)</f>
        <v>10.790009399999999</v>
      </c>
      <c r="K13">
        <f t="shared" si="1"/>
        <v>11.299712446925735</v>
      </c>
      <c r="L13">
        <f t="shared" si="2"/>
        <v>11.336083079960904</v>
      </c>
      <c r="M13">
        <f t="shared" si="3"/>
        <v>12.451356993517823</v>
      </c>
      <c r="N13">
        <f t="shared" si="4"/>
        <v>12.288106062488435</v>
      </c>
      <c r="O13">
        <f t="shared" si="5"/>
        <v>10.717615058467505</v>
      </c>
      <c r="P13">
        <f t="shared" si="6"/>
        <v>11.61991778254685</v>
      </c>
      <c r="Q13">
        <f t="shared" si="7"/>
        <v>11.618798570651208</v>
      </c>
      <c r="R13">
        <v>13.2</v>
      </c>
      <c r="S13">
        <v>15</v>
      </c>
      <c r="T13" s="9"/>
      <c r="U13" s="57"/>
    </row>
    <row r="14" spans="1:21" x14ac:dyDescent="0.2">
      <c r="A14" t="s">
        <v>165</v>
      </c>
      <c r="B14" t="s">
        <v>166</v>
      </c>
      <c r="C14" t="s">
        <v>50</v>
      </c>
      <c r="D14">
        <v>20210429</v>
      </c>
      <c r="E14">
        <v>11.690307000000001</v>
      </c>
      <c r="F14">
        <v>11.688891999999999</v>
      </c>
      <c r="G14">
        <v>10.763881</v>
      </c>
      <c r="H14">
        <v>11.280688</v>
      </c>
      <c r="I14">
        <v>10.182051</v>
      </c>
      <c r="J14">
        <f>AVERAGE(E14:I14)</f>
        <v>11.1211638</v>
      </c>
      <c r="K14">
        <f>(E14/E13)*$S13</f>
        <v>16.35901349576174</v>
      </c>
      <c r="L14">
        <f t="shared" ref="L14:P14" si="8">(F14/F13)*$S13</f>
        <v>16.54628430164145</v>
      </c>
      <c r="M14">
        <f t="shared" si="8"/>
        <v>14.155052136510706</v>
      </c>
      <c r="N14">
        <f t="shared" si="8"/>
        <v>14.704155573686485</v>
      </c>
      <c r="O14">
        <f t="shared" si="8"/>
        <v>15.712543779476949</v>
      </c>
      <c r="P14">
        <f t="shared" si="8"/>
        <v>15.460362527580374</v>
      </c>
      <c r="Q14">
        <f t="shared" ref="Q14:Q15" si="9">AVERAGE(K14:P14)</f>
        <v>15.489568635776285</v>
      </c>
      <c r="R14">
        <v>14.4</v>
      </c>
      <c r="S14">
        <v>12.5</v>
      </c>
      <c r="T14" s="9"/>
      <c r="U14" s="57"/>
    </row>
    <row r="15" spans="1:21" x14ac:dyDescent="0.2">
      <c r="A15" t="s">
        <v>165</v>
      </c>
      <c r="B15" t="s">
        <v>166</v>
      </c>
      <c r="C15" t="s">
        <v>51</v>
      </c>
      <c r="D15">
        <v>20210729</v>
      </c>
      <c r="E15">
        <v>9.4374140000000004</v>
      </c>
      <c r="F15">
        <v>9.3887350000000005</v>
      </c>
      <c r="G15">
        <v>8.1712880000000006</v>
      </c>
      <c r="H15">
        <v>9.6055930000000007</v>
      </c>
      <c r="I15">
        <v>9.8542009999999998</v>
      </c>
      <c r="J15">
        <f>AVERAGE(E15:I15)</f>
        <v>9.2914462000000011</v>
      </c>
      <c r="K15">
        <f t="shared" ref="K15:K16" si="10">(E15/E14)*$S14</f>
        <v>10.09106732611898</v>
      </c>
      <c r="L15">
        <f t="shared" ref="L15" si="11">(F15/F14)*$S14</f>
        <v>10.040231999748137</v>
      </c>
      <c r="M15">
        <f t="shared" ref="M15:M16" si="12">(G15/G14)*$S14</f>
        <v>9.4892446321173569</v>
      </c>
      <c r="N15">
        <f t="shared" ref="N15:N16" si="13">(H15/H14)*$S14</f>
        <v>10.643846589853386</v>
      </c>
      <c r="O15">
        <f t="shared" ref="O15:O16" si="14">(I15/I14)*$S14</f>
        <v>12.097514783612851</v>
      </c>
      <c r="P15">
        <f t="shared" ref="P15:P16" si="15">(J15/J14)*$S14</f>
        <v>10.443428366732627</v>
      </c>
      <c r="Q15">
        <f t="shared" si="9"/>
        <v>10.467555616363891</v>
      </c>
      <c r="R15">
        <v>10.3</v>
      </c>
      <c r="S15">
        <v>7.3</v>
      </c>
      <c r="T15" s="9"/>
      <c r="U15" s="57"/>
    </row>
    <row r="16" spans="1:21" x14ac:dyDescent="0.2">
      <c r="A16" t="s">
        <v>165</v>
      </c>
      <c r="B16" t="s">
        <v>166</v>
      </c>
      <c r="C16" t="s">
        <v>67</v>
      </c>
      <c r="D16">
        <v>20211028</v>
      </c>
      <c r="E16">
        <v>15.392695</v>
      </c>
      <c r="F16">
        <v>15.503208000000001</v>
      </c>
      <c r="G16">
        <v>17.100715999999998</v>
      </c>
      <c r="H16">
        <v>15.807045</v>
      </c>
      <c r="I16">
        <v>16.692149000000001</v>
      </c>
      <c r="J16">
        <f t="shared" ref="J16" si="16">AVERAGE(E16:I16)</f>
        <v>16.0991626</v>
      </c>
      <c r="K16">
        <f t="shared" si="10"/>
        <v>11.906510989133253</v>
      </c>
      <c r="L16">
        <f>(F16/F15)*$S15</f>
        <v>12.054171131680677</v>
      </c>
      <c r="M16">
        <f t="shared" si="12"/>
        <v>15.277301057067131</v>
      </c>
      <c r="N16">
        <f t="shared" si="13"/>
        <v>12.012941678873963</v>
      </c>
      <c r="O16">
        <f t="shared" si="14"/>
        <v>12.365557359749412</v>
      </c>
      <c r="P16">
        <f t="shared" si="15"/>
        <v>12.648610824437641</v>
      </c>
      <c r="Q16">
        <f>AVERAGE(K16:P16)</f>
        <v>12.710848840157013</v>
      </c>
      <c r="R16">
        <f>'1. Data &amp; Confidence Interval'!T14</f>
        <v>14.9</v>
      </c>
      <c r="S16" s="9"/>
      <c r="T16" s="9"/>
      <c r="U16" s="57"/>
    </row>
    <row r="17" spans="1:22" x14ac:dyDescent="0.2">
      <c r="A17" s="151" t="s">
        <v>71</v>
      </c>
      <c r="B17" s="152"/>
      <c r="C17" s="152"/>
      <c r="D17" s="152"/>
      <c r="E17" s="91">
        <f t="shared" ref="E17:F17" si="17">CORREL(E$6:E$16,$S$6:$S$16)</f>
        <v>0.80918484615295661</v>
      </c>
      <c r="F17" s="91">
        <f t="shared" si="17"/>
        <v>0.79677959736734905</v>
      </c>
      <c r="G17" s="92">
        <f>CORREL(G$6:G$16,$S$6:$S$16)</f>
        <v>0.9131213834644788</v>
      </c>
      <c r="H17" s="91">
        <f t="shared" ref="H17:R17" si="18">CORREL(H$6:H$16,$S$6:$S$16)</f>
        <v>0.85742207907100754</v>
      </c>
      <c r="I17" s="91">
        <f t="shared" si="18"/>
        <v>0.70110413587490572</v>
      </c>
      <c r="J17" s="91">
        <f t="shared" si="18"/>
        <v>0.83092525594471889</v>
      </c>
      <c r="K17" s="91">
        <f t="shared" si="18"/>
        <v>0.71315597054575197</v>
      </c>
      <c r="L17" s="91">
        <f t="shared" si="18"/>
        <v>0.71088587255846869</v>
      </c>
      <c r="M17" s="91">
        <f t="shared" si="18"/>
        <v>0.87604711554797565</v>
      </c>
      <c r="N17" s="91">
        <f t="shared" si="18"/>
        <v>0.79245887663909154</v>
      </c>
      <c r="O17" s="91">
        <f t="shared" si="18"/>
        <v>0.59881649373520685</v>
      </c>
      <c r="P17" s="91">
        <f t="shared" si="18"/>
        <v>0.75067612615263113</v>
      </c>
      <c r="Q17" s="91">
        <f t="shared" si="18"/>
        <v>0.74903880732028183</v>
      </c>
      <c r="R17" s="91">
        <f t="shared" si="18"/>
        <v>0.66788299724189293</v>
      </c>
      <c r="S17" s="5"/>
    </row>
    <row r="19" spans="1:22" x14ac:dyDescent="0.2">
      <c r="A19" s="154" t="s">
        <v>73</v>
      </c>
      <c r="B19" s="155"/>
    </row>
    <row r="20" spans="1:22" x14ac:dyDescent="0.2">
      <c r="A20" s="16" t="s">
        <v>52</v>
      </c>
      <c r="B20" s="16" t="s">
        <v>53</v>
      </c>
      <c r="C20" s="16" t="s">
        <v>64</v>
      </c>
      <c r="D20" s="16" t="s">
        <v>54</v>
      </c>
      <c r="E20" s="16" t="s">
        <v>55</v>
      </c>
      <c r="F20" s="16" t="s">
        <v>65</v>
      </c>
      <c r="G20" s="16" t="s">
        <v>56</v>
      </c>
      <c r="H20" s="16" t="s">
        <v>57</v>
      </c>
      <c r="I20" s="16" t="s">
        <v>66</v>
      </c>
      <c r="J20" s="16" t="s">
        <v>58</v>
      </c>
      <c r="K20" s="16" t="s">
        <v>59</v>
      </c>
      <c r="L20" s="16" t="s">
        <v>69</v>
      </c>
      <c r="M20" s="16" t="s">
        <v>60</v>
      </c>
      <c r="N20" s="16" t="s">
        <v>61</v>
      </c>
      <c r="O20" s="16" t="s">
        <v>70</v>
      </c>
      <c r="P20" s="16" t="s">
        <v>62</v>
      </c>
      <c r="Q20" s="16" t="s">
        <v>63</v>
      </c>
      <c r="R20" s="16" t="s">
        <v>0</v>
      </c>
    </row>
    <row r="21" spans="1:22" x14ac:dyDescent="0.2">
      <c r="A21" s="9" t="str">
        <f>A6</f>
        <v>VAPO_DISP</v>
      </c>
      <c r="B21" s="9" t="str">
        <f>B6</f>
        <v>DISPOSABLES</v>
      </c>
      <c r="C21" s="9" t="str">
        <f>C6</f>
        <v>2019Q1</v>
      </c>
      <c r="D21" s="9">
        <f>D6</f>
        <v>20190502</v>
      </c>
      <c r="E21" s="17">
        <f t="shared" ref="E21:Q21" si="19">$S6/E6-1</f>
        <v>0.21921383466322464</v>
      </c>
      <c r="F21" s="17">
        <f t="shared" si="19"/>
        <v>0.20616650211875198</v>
      </c>
      <c r="G21" s="17">
        <f>$S6/G6-1</f>
        <v>0.1694101027677597</v>
      </c>
      <c r="H21" s="17">
        <f t="shared" si="19"/>
        <v>0.16177194076016432</v>
      </c>
      <c r="I21" s="17">
        <f t="shared" si="19"/>
        <v>0.2136741265551414</v>
      </c>
      <c r="J21" s="17">
        <f t="shared" si="19"/>
        <v>0.19357262098457872</v>
      </c>
      <c r="K21" s="17"/>
      <c r="L21" s="17"/>
      <c r="M21" s="17"/>
      <c r="N21" s="17"/>
      <c r="O21" s="17"/>
      <c r="P21" s="17"/>
      <c r="Q21" s="17"/>
      <c r="R21" s="35"/>
    </row>
    <row r="22" spans="1:22" x14ac:dyDescent="0.2">
      <c r="A22" s="9" t="str">
        <f>A7</f>
        <v>VAPO_DISP</v>
      </c>
      <c r="B22" s="9" t="str">
        <f>B7</f>
        <v>DISPOSABLES</v>
      </c>
      <c r="C22" s="9" t="str">
        <f>C7</f>
        <v>2019Q2</v>
      </c>
      <c r="D22" s="9">
        <f>D7</f>
        <v>20190725</v>
      </c>
      <c r="E22" s="17">
        <f t="shared" ref="E22:Q22" si="20">$S7/E7-1</f>
        <v>3.901451551232693E-2</v>
      </c>
      <c r="F22" s="17">
        <f t="shared" si="20"/>
        <v>4.8662624421803802E-2</v>
      </c>
      <c r="G22" s="17">
        <f t="shared" si="20"/>
        <v>5.385507482289964E-2</v>
      </c>
      <c r="H22" s="17">
        <f t="shared" si="20"/>
        <v>-5.7397877239151462E-3</v>
      </c>
      <c r="I22" s="17">
        <f t="shared" si="20"/>
        <v>9.0743663995910939E-2</v>
      </c>
      <c r="J22" s="17">
        <f t="shared" si="20"/>
        <v>4.4381690851386768E-2</v>
      </c>
      <c r="K22" s="17">
        <f t="shared" si="20"/>
        <v>-0.1477996017004457</v>
      </c>
      <c r="L22" s="17">
        <f t="shared" si="20"/>
        <v>-0.13058220189358349</v>
      </c>
      <c r="M22" s="17">
        <f t="shared" si="20"/>
        <v>-9.8814802156544146E-2</v>
      </c>
      <c r="N22" s="17">
        <f t="shared" si="20"/>
        <v>-0.1441864126744824</v>
      </c>
      <c r="O22" s="17">
        <f t="shared" si="20"/>
        <v>-0.10128786621508745</v>
      </c>
      <c r="P22" s="17">
        <f t="shared" si="20"/>
        <v>-0.12499526841536002</v>
      </c>
      <c r="Q22" s="17">
        <f t="shared" si="20"/>
        <v>-0.12502143130265209</v>
      </c>
      <c r="R22" s="35"/>
    </row>
    <row r="23" spans="1:22" x14ac:dyDescent="0.2">
      <c r="A23" s="9" t="str">
        <f>A8</f>
        <v>VAPO_DISP</v>
      </c>
      <c r="B23" s="9" t="str">
        <f>B8</f>
        <v>DISPOSABLES</v>
      </c>
      <c r="C23" s="9" t="str">
        <f>C8</f>
        <v>2019Q3</v>
      </c>
      <c r="D23" s="9">
        <f>D8</f>
        <v>20191031</v>
      </c>
      <c r="E23" s="17">
        <f t="shared" ref="E23:Q23" si="21">$S8/E8-1</f>
        <v>-9.3368945801142189E-2</v>
      </c>
      <c r="F23" s="17">
        <f t="shared" si="21"/>
        <v>-7.8865819765666645E-2</v>
      </c>
      <c r="G23" s="17">
        <f t="shared" si="21"/>
        <v>8.3916673907478145E-3</v>
      </c>
      <c r="H23" s="17">
        <f t="shared" si="21"/>
        <v>-0.13595900989542942</v>
      </c>
      <c r="I23" s="17">
        <f t="shared" si="21"/>
        <v>-3.6670424722376471E-2</v>
      </c>
      <c r="J23" s="17">
        <f t="shared" si="21"/>
        <v>-6.9888514977182181E-2</v>
      </c>
      <c r="K23" s="17">
        <f t="shared" si="21"/>
        <v>-0.12741252344120746</v>
      </c>
      <c r="L23" s="17">
        <f t="shared" si="21"/>
        <v>-0.12161055540411303</v>
      </c>
      <c r="M23" s="17">
        <f t="shared" si="21"/>
        <v>-4.3140094419331754E-2</v>
      </c>
      <c r="N23" s="17">
        <f t="shared" si="21"/>
        <v>-0.1309709677242471</v>
      </c>
      <c r="O23" s="17">
        <f t="shared" si="21"/>
        <v>-0.11681396181712311</v>
      </c>
      <c r="P23" s="17">
        <f t="shared" si="21"/>
        <v>-0.10941421783774763</v>
      </c>
      <c r="Q23" s="17">
        <f t="shared" si="21"/>
        <v>-0.10918159182584297</v>
      </c>
      <c r="R23" s="35"/>
    </row>
    <row r="24" spans="1:22" x14ac:dyDescent="0.2">
      <c r="A24" s="9" t="str">
        <f>A9</f>
        <v>VAPO_DISP</v>
      </c>
      <c r="B24" s="9" t="str">
        <f>B9</f>
        <v>DISPOSABLES</v>
      </c>
      <c r="C24" s="9" t="str">
        <f>C9</f>
        <v>2019Q4</v>
      </c>
      <c r="D24" s="9">
        <f>D9</f>
        <v>20200227</v>
      </c>
      <c r="E24" s="17">
        <f t="shared" ref="E24:Q24" si="22">$S9/E9-1</f>
        <v>-8.6693865002441028E-2</v>
      </c>
      <c r="F24" s="17">
        <f t="shared" si="22"/>
        <v>-8.9751775309126813E-2</v>
      </c>
      <c r="G24" s="17">
        <f t="shared" si="22"/>
        <v>-8.9216776106536555E-2</v>
      </c>
      <c r="H24" s="17">
        <f t="shared" si="22"/>
        <v>-0.12139913422442483</v>
      </c>
      <c r="I24" s="17">
        <f t="shared" si="22"/>
        <v>-3.1911832061596535E-2</v>
      </c>
      <c r="J24" s="17">
        <f t="shared" si="22"/>
        <v>-8.468790805682902E-2</v>
      </c>
      <c r="K24" s="17">
        <f t="shared" si="22"/>
        <v>7.3625106572150489E-3</v>
      </c>
      <c r="L24" s="17">
        <f t="shared" si="22"/>
        <v>-1.1817991099506098E-2</v>
      </c>
      <c r="M24" s="17">
        <f t="shared" si="22"/>
        <v>-9.6796162298573907E-2</v>
      </c>
      <c r="N24" s="17">
        <f t="shared" si="22"/>
        <v>1.6850908507526352E-2</v>
      </c>
      <c r="O24" s="17">
        <f t="shared" si="22"/>
        <v>4.9397348352029358E-3</v>
      </c>
      <c r="P24" s="17">
        <f t="shared" si="22"/>
        <v>-1.5911418489025442E-2</v>
      </c>
      <c r="Q24" s="17">
        <f t="shared" si="22"/>
        <v>-1.7440751368193896E-2</v>
      </c>
      <c r="R24" s="35"/>
      <c r="V24" s="96"/>
    </row>
    <row r="25" spans="1:22" x14ac:dyDescent="0.2">
      <c r="A25" s="9" t="str">
        <f>A10</f>
        <v>VAPO_DISP</v>
      </c>
      <c r="B25" s="9" t="str">
        <f>B10</f>
        <v>DISPOSABLES</v>
      </c>
      <c r="C25" s="9" t="str">
        <f>C10</f>
        <v>2020Q1</v>
      </c>
      <c r="D25" s="9">
        <f>D10</f>
        <v>20200430</v>
      </c>
      <c r="E25" s="17">
        <f t="shared" ref="E25:Q25" si="23">$S10/E10-1</f>
        <v>-3.4720122075065252E-2</v>
      </c>
      <c r="F25" s="17">
        <f t="shared" si="23"/>
        <v>-5.2734745025490359E-2</v>
      </c>
      <c r="G25" s="17">
        <f t="shared" si="23"/>
        <v>-4.0591581121888876E-2</v>
      </c>
      <c r="H25" s="17">
        <f t="shared" si="23"/>
        <v>-2.8892451841325162E-2</v>
      </c>
      <c r="I25" s="17">
        <f t="shared" si="23"/>
        <v>1.4574095392138942E-2</v>
      </c>
      <c r="J25" s="17">
        <f t="shared" si="23"/>
        <v>-2.9000977946169848E-2</v>
      </c>
      <c r="K25" s="17">
        <f t="shared" si="23"/>
        <v>5.6907252602124148E-2</v>
      </c>
      <c r="L25" s="17">
        <f t="shared" si="23"/>
        <v>4.066696235107492E-2</v>
      </c>
      <c r="M25" s="17">
        <f t="shared" si="23"/>
        <v>5.3388329636532283E-2</v>
      </c>
      <c r="N25" s="17">
        <f t="shared" si="23"/>
        <v>0.10528863103434372</v>
      </c>
      <c r="O25" s="17">
        <f t="shared" si="23"/>
        <v>4.8018278699480277E-2</v>
      </c>
      <c r="P25" s="17">
        <f t="shared" si="23"/>
        <v>6.083928159676999E-2</v>
      </c>
      <c r="Q25" s="17">
        <f t="shared" si="23"/>
        <v>6.0451142033265182E-2</v>
      </c>
      <c r="R25" s="35"/>
    </row>
    <row r="26" spans="1:22" x14ac:dyDescent="0.2">
      <c r="A26" s="9" t="str">
        <f>A11</f>
        <v>VAPO_DISP</v>
      </c>
      <c r="B26" s="9" t="str">
        <f>B11</f>
        <v>DISPOSABLES</v>
      </c>
      <c r="C26" s="9" t="str">
        <f>C11</f>
        <v>2020Q2</v>
      </c>
      <c r="D26" s="9">
        <f>D11</f>
        <v>20200730</v>
      </c>
      <c r="E26" s="17">
        <f t="shared" ref="E26:Q26" si="24">$S11/E11-1</f>
        <v>-4.4776993027075274E-2</v>
      </c>
      <c r="F26" s="17">
        <f t="shared" si="24"/>
        <v>-6.1680530170464709E-2</v>
      </c>
      <c r="G26" s="17">
        <f t="shared" si="24"/>
        <v>6.4156886612045883E-2</v>
      </c>
      <c r="H26" s="17">
        <f t="shared" si="24"/>
        <v>-1.4696018522876275E-2</v>
      </c>
      <c r="I26" s="17">
        <f t="shared" si="24"/>
        <v>-2.0385363723619432E-2</v>
      </c>
      <c r="J26" s="17">
        <f t="shared" si="24"/>
        <v>-1.7304658617806279E-2</v>
      </c>
      <c r="K26" s="17">
        <f t="shared" si="24"/>
        <v>-1.0418606232245442E-2</v>
      </c>
      <c r="L26" s="17">
        <f t="shared" si="24"/>
        <v>-9.4438016152245119E-3</v>
      </c>
      <c r="M26" s="17">
        <f t="shared" si="24"/>
        <v>0.10918026741564635</v>
      </c>
      <c r="N26" s="17">
        <f t="shared" si="24"/>
        <v>1.4618806480669155E-2</v>
      </c>
      <c r="O26" s="17">
        <f t="shared" si="24"/>
        <v>-3.4457275495730522E-2</v>
      </c>
      <c r="P26" s="17">
        <f t="shared" si="24"/>
        <v>1.2045655106452946E-2</v>
      </c>
      <c r="Q26" s="17">
        <f t="shared" si="24"/>
        <v>1.1632879482587954E-2</v>
      </c>
      <c r="R26" s="35"/>
    </row>
    <row r="27" spans="1:22" x14ac:dyDescent="0.2">
      <c r="A27" s="9" t="str">
        <f>A12</f>
        <v>VAPO_DISP</v>
      </c>
      <c r="B27" s="9" t="str">
        <f>B12</f>
        <v>DISPOSABLES</v>
      </c>
      <c r="C27" s="9" t="str">
        <f>C12</f>
        <v>2020Q3</v>
      </c>
      <c r="D27" s="9">
        <f>D12</f>
        <v>20201029</v>
      </c>
      <c r="E27" s="17">
        <f t="shared" ref="E27:R27" si="25">$S12/E12-1</f>
        <v>5.4161927583738168E-2</v>
      </c>
      <c r="F27" s="17">
        <f t="shared" si="25"/>
        <v>6.9790894968547068E-2</v>
      </c>
      <c r="G27" s="17">
        <f t="shared" si="25"/>
        <v>9.1611271768067049E-2</v>
      </c>
      <c r="H27" s="17">
        <f t="shared" si="25"/>
        <v>6.7820350725594114E-2</v>
      </c>
      <c r="I27" s="17">
        <f t="shared" si="25"/>
        <v>0.10260035571583792</v>
      </c>
      <c r="J27" s="17">
        <f t="shared" si="25"/>
        <v>7.6914518957402533E-2</v>
      </c>
      <c r="K27" s="17">
        <f t="shared" si="25"/>
        <v>0.10357677724319903</v>
      </c>
      <c r="L27" s="17">
        <f t="shared" si="25"/>
        <v>0.14011371325684641</v>
      </c>
      <c r="M27" s="17">
        <f t="shared" si="25"/>
        <v>2.5799189481757301E-2</v>
      </c>
      <c r="N27" s="17">
        <f t="shared" si="25"/>
        <v>8.3747118452485836E-2</v>
      </c>
      <c r="O27" s="17">
        <f t="shared" si="25"/>
        <v>0.12554499992664359</v>
      </c>
      <c r="P27" s="17">
        <f t="shared" si="25"/>
        <v>9.5878319157071124E-2</v>
      </c>
      <c r="Q27" s="17">
        <f t="shared" si="25"/>
        <v>9.4532457284409954E-2</v>
      </c>
      <c r="R27" s="35">
        <f t="shared" si="25"/>
        <v>0.1685393258426966</v>
      </c>
    </row>
    <row r="28" spans="1:22" x14ac:dyDescent="0.2">
      <c r="A28" s="9" t="str">
        <f>A13</f>
        <v>VAPO_DISP</v>
      </c>
      <c r="B28" s="9" t="str">
        <f>B13</f>
        <v>DISPOSABLES</v>
      </c>
      <c r="C28" s="9" t="str">
        <f>C13</f>
        <v>2020Q4</v>
      </c>
      <c r="D28" s="9">
        <f>D13</f>
        <v>20210218</v>
      </c>
      <c r="E28" s="17">
        <f t="shared" ref="E28:R28" si="26">$S13/E13-1</f>
        <v>0.39936560226876328</v>
      </c>
      <c r="F28" s="17">
        <f t="shared" si="26"/>
        <v>0.41555626501138443</v>
      </c>
      <c r="G28" s="17">
        <f t="shared" si="26"/>
        <v>0.31505096874544658</v>
      </c>
      <c r="H28" s="17">
        <f t="shared" si="26"/>
        <v>0.30348038822512291</v>
      </c>
      <c r="I28" s="17">
        <f t="shared" si="26"/>
        <v>0.54316097802662222</v>
      </c>
      <c r="J28" s="17">
        <f t="shared" si="26"/>
        <v>0.39017487788286842</v>
      </c>
      <c r="K28" s="17">
        <f t="shared" si="26"/>
        <v>0.32746740861365775</v>
      </c>
      <c r="L28" s="17">
        <f t="shared" si="26"/>
        <v>0.32320836872798675</v>
      </c>
      <c r="M28" s="17">
        <f t="shared" si="26"/>
        <v>0.20468797158486418</v>
      </c>
      <c r="N28" s="17">
        <f t="shared" si="26"/>
        <v>0.22069258872936404</v>
      </c>
      <c r="O28" s="17">
        <f t="shared" si="26"/>
        <v>0.39956510083362029</v>
      </c>
      <c r="P28" s="17">
        <f t="shared" si="26"/>
        <v>0.29088693058827353</v>
      </c>
      <c r="Q28" s="17">
        <f t="shared" si="26"/>
        <v>0.29101127872976651</v>
      </c>
      <c r="R28" s="35">
        <f t="shared" si="26"/>
        <v>0.13636363636363646</v>
      </c>
    </row>
    <row r="29" spans="1:22" x14ac:dyDescent="0.2">
      <c r="A29" s="9" t="str">
        <f>A14</f>
        <v>VAPO_DISP</v>
      </c>
      <c r="B29" s="9" t="str">
        <f>B14</f>
        <v>DISPOSABLES</v>
      </c>
      <c r="C29" s="9" t="str">
        <f>C14</f>
        <v>2021Q1</v>
      </c>
      <c r="D29" s="9">
        <f>D14</f>
        <v>20210429</v>
      </c>
      <c r="E29" s="17">
        <f>$S14/E14-1</f>
        <v>6.9261910743661392E-2</v>
      </c>
      <c r="F29" s="17">
        <f>$S14/F14-1</f>
        <v>6.9391350352112191E-2</v>
      </c>
      <c r="G29" s="17">
        <f>$S14/G14-1</f>
        <v>0.16129117369469248</v>
      </c>
      <c r="H29" s="17">
        <f>$S14/H14-1</f>
        <v>0.1080884428325648</v>
      </c>
      <c r="I29" s="17">
        <f>$S14/I14-1</f>
        <v>0.22765049988455188</v>
      </c>
      <c r="J29" s="17">
        <f>$S14/J14-1</f>
        <v>0.12398308529544355</v>
      </c>
      <c r="K29" s="17">
        <f>$S14/K14-1</f>
        <v>-0.2358952449523638</v>
      </c>
      <c r="L29" s="17">
        <f>$S14/L14-1</f>
        <v>-0.24454338072989856</v>
      </c>
      <c r="M29" s="17">
        <f>$S14/M14-1</f>
        <v>-0.11692306891910076</v>
      </c>
      <c r="N29" s="17">
        <f>$S14/N14-1</f>
        <v>-0.14990018043816711</v>
      </c>
      <c r="O29" s="17">
        <f>$S14/O14-1</f>
        <v>-0.20445726831787958</v>
      </c>
      <c r="P29" s="17">
        <f>$S14/P14-1</f>
        <v>-0.19148079628141079</v>
      </c>
      <c r="Q29" s="17">
        <f>$S14/Q14-1</f>
        <v>-0.19300528672381956</v>
      </c>
      <c r="R29" s="35">
        <f t="shared" ref="R29:R30" si="27">$S14/R14-1</f>
        <v>-0.13194444444444442</v>
      </c>
    </row>
    <row r="30" spans="1:22" x14ac:dyDescent="0.2">
      <c r="A30" s="9" t="str">
        <f>A15</f>
        <v>VAPO_DISP</v>
      </c>
      <c r="B30" s="9" t="str">
        <f>B15</f>
        <v>DISPOSABLES</v>
      </c>
      <c r="C30" s="9" t="str">
        <f>C15</f>
        <v>2021Q2</v>
      </c>
      <c r="D30" s="9">
        <f>D15</f>
        <v>20210729</v>
      </c>
      <c r="E30" s="17">
        <f>$S15/E15-1</f>
        <v>-0.22648301748762956</v>
      </c>
      <c r="F30" s="17">
        <f>$S15/F15-1</f>
        <v>-0.22247246301019263</v>
      </c>
      <c r="G30" s="17">
        <f>$S15/G15-1</f>
        <v>-0.10662798814581009</v>
      </c>
      <c r="H30" s="17">
        <f>$S15/H15-1</f>
        <v>-0.24002609729560687</v>
      </c>
      <c r="I30" s="17">
        <f>$S15/I15-1</f>
        <v>-0.25919919839264494</v>
      </c>
      <c r="J30" s="17">
        <f>$S15/J15-1</f>
        <v>-0.21433113394123737</v>
      </c>
      <c r="K30" s="17">
        <f>$S15/K15-1</f>
        <v>-0.27658792037734059</v>
      </c>
      <c r="L30" s="17">
        <f>$S15/L15-1</f>
        <v>-0.27292516744801087</v>
      </c>
      <c r="M30" s="17">
        <f>$S15/M15-1</f>
        <v>-0.23070799805367292</v>
      </c>
      <c r="N30" s="17">
        <f>$S15/N15-1</f>
        <v>-0.31415772123595087</v>
      </c>
      <c r="O30" s="17">
        <f>$S15/O15-1</f>
        <v>-0.39657027657544242</v>
      </c>
      <c r="P30" s="17">
        <f>$S15/P15-1</f>
        <v>-0.30099582784001921</v>
      </c>
      <c r="Q30" s="17">
        <f>$S15/Q15-1</f>
        <v>-0.30260700133391816</v>
      </c>
      <c r="R30" s="35">
        <f t="shared" si="27"/>
        <v>-0.29126213592233019</v>
      </c>
    </row>
    <row r="31" spans="1:22" x14ac:dyDescent="0.2">
      <c r="A31" s="160" t="s">
        <v>74</v>
      </c>
      <c r="B31" s="160"/>
      <c r="C31" s="156"/>
      <c r="D31" s="157"/>
      <c r="E31" s="68" cm="1">
        <f t="array" ref="E31">SUM(ABS(E21:E30))/COUNT(E21:E30)</f>
        <v>0.12670607341650678</v>
      </c>
      <c r="F31" s="68" cm="1">
        <f t="array" ref="F31">SUM(ABS(F21:F30))/COUNT(F21:F30)</f>
        <v>0.13150729701535407</v>
      </c>
      <c r="G31" s="99" cm="1">
        <f t="array" ref="G31">SUM(ABS(G21:G30))/COUNT(G21:G30)</f>
        <v>0.11002034911758947</v>
      </c>
      <c r="H31" s="68" cm="1">
        <f t="array" ref="H31">SUM(ABS(H21:H30))/COUNT(H21:H30)</f>
        <v>0.11878736220470239</v>
      </c>
      <c r="I31" s="68" cm="1">
        <f t="array" ref="I31">SUM(ABS(I21:I30))/COUNT(I21:I30)</f>
        <v>0.15405705384704407</v>
      </c>
      <c r="J31" s="68" cm="1">
        <f t="array" ref="J31">SUM(ABS(J21:J30))/COUNT(J21:J30)</f>
        <v>0.12442399875109045</v>
      </c>
      <c r="K31" s="68" cm="1">
        <f t="array" ref="K31">SUM(ABS(K21:K30))/COUNT(K21:K30)</f>
        <v>0.14371420509108879</v>
      </c>
      <c r="L31" s="68" cm="1">
        <f t="array" ref="L31">SUM(ABS(L21:L30))/COUNT(L21:L30)</f>
        <v>0.14387912694736052</v>
      </c>
      <c r="M31" s="68" cm="1">
        <f t="array" ref="M31">SUM(ABS(M21:M30))/COUNT(M21:M30)</f>
        <v>0.1088264315517804</v>
      </c>
      <c r="N31" s="68" cm="1">
        <f t="array" ref="N31">SUM(ABS(N21:N30))/COUNT(N21:N30)</f>
        <v>0.1311570372530263</v>
      </c>
      <c r="O31" s="68" cm="1">
        <f t="array" ref="O31">SUM(ABS(O21:O30))/COUNT(O21:O30)</f>
        <v>0.15907275141291224</v>
      </c>
      <c r="P31" s="68" cm="1">
        <f t="array" ref="P31">SUM(ABS(P21:P30))/COUNT(P21:P30)</f>
        <v>0.13360530170134785</v>
      </c>
      <c r="Q31" s="68" cm="1">
        <f t="array" ref="Q31">SUM(ABS(Q21:Q30))/COUNT(Q21:Q30)</f>
        <v>0.13387598000938403</v>
      </c>
      <c r="R31" s="68" cm="1">
        <f t="array" ref="R31">SUM(ABS(R21:R30))/COUNT(R21:R30)</f>
        <v>0.18202738564327692</v>
      </c>
    </row>
    <row r="32" spans="1:22" x14ac:dyDescent="0.2">
      <c r="A32" s="161" t="s">
        <v>75</v>
      </c>
      <c r="B32" s="161"/>
      <c r="C32" s="158"/>
      <c r="D32" s="159"/>
      <c r="E32" s="69" cm="1">
        <f t="array" ref="E32">SQRT(SUM(POWER(E21:E30,2))/COUNT(E21:E30))</f>
        <v>0.16956976680534547</v>
      </c>
      <c r="F32" s="69" cm="1">
        <f t="array" ref="F32">SQRT(SUM(POWER(F21:F30,2))/COUNT(F21:F30))</f>
        <v>0.17251094230720451</v>
      </c>
      <c r="G32" s="100" cm="1">
        <f t="array" ref="G32">SQRT(SUM(POWER(G21:G30,2))/COUNT(G21:G30))</f>
        <v>0.13799568702404111</v>
      </c>
      <c r="H32" s="69" cm="1">
        <f t="array" ref="H32">SQRT(SUM(POWER(H21:H30,2))/COUNT(H21:H30))</f>
        <v>0.15048987997310045</v>
      </c>
      <c r="I32" s="69" cm="1">
        <f t="array" ref="I32">SQRT(SUM(POWER(I21:I30,2))/COUNT(I21:I30))</f>
        <v>0.21941780987169779</v>
      </c>
      <c r="J32" s="69" cm="1">
        <f t="array" ref="J32">SQRT(SUM(POWER(J21:J30,2))/COUNT(J21:J30))</f>
        <v>0.16495422615968711</v>
      </c>
      <c r="K32" s="69" cm="1">
        <f t="array" ref="K32">SQRT(SUM(POWER(K21:K30,2))/COUNT(K21:K30))</f>
        <v>0.17999702450880747</v>
      </c>
      <c r="L32" s="69" cm="1">
        <f t="array" ref="L32">SQRT(SUM(POWER(L21:L30,2))/COUNT(L21:L30))</f>
        <v>0.18015690849623092</v>
      </c>
      <c r="M32" s="69" cm="1">
        <f t="array" ref="M32">SQRT(SUM(POWER(M21:M30,2))/COUNT(M21:M30))</f>
        <v>0.12702822203599959</v>
      </c>
      <c r="N32" s="69" cm="1">
        <f t="array" ref="N32">SQRT(SUM(POWER(N21:N30,2))/COUNT(N21:N30))</f>
        <v>0.15860867669582959</v>
      </c>
      <c r="O32" s="69" cm="1">
        <f t="array" ref="O32">SQRT(SUM(POWER(O21:O30,2))/COUNT(O21:O30))</f>
        <v>0.2113203910505467</v>
      </c>
      <c r="P32" s="69" cm="1">
        <f t="array" ref="P32">SQRT(SUM(POWER(P21:P30,2))/COUNT(P21:P30))</f>
        <v>0.16758620322915588</v>
      </c>
      <c r="Q32" s="69" cm="1">
        <f t="array" ref="Q32">SQRT(SUM(POWER(Q21:Q30,2))/COUNT(Q21:Q30))</f>
        <v>0.16802473704549536</v>
      </c>
      <c r="R32" s="69" cm="1">
        <f t="array" ref="R32">SQRT(SUM(POWER(R21:R30,2))/COUNT(R21:R30))</f>
        <v>0.19316024042204943</v>
      </c>
    </row>
    <row r="33" spans="2:19" x14ac:dyDescent="0.2">
      <c r="G33" s="3">
        <f>AVERAGE(G26:G29,G21:G23)</f>
        <v>0.12339530654309416</v>
      </c>
      <c r="I33" s="3"/>
      <c r="J33" s="3"/>
      <c r="R33" s="3">
        <f>AVERAGE(R30:R30)</f>
        <v>-0.29126213592233019</v>
      </c>
      <c r="S33" t="e">
        <f>#REF!*(1+R33)</f>
        <v>#REF!</v>
      </c>
    </row>
    <row r="34" spans="2:19" x14ac:dyDescent="0.2">
      <c r="B34" t="s">
        <v>154</v>
      </c>
      <c r="G34" s="3">
        <f>AVERAGE(G30,G24:G25)</f>
        <v>-7.8812115124745175E-2</v>
      </c>
      <c r="J34" s="3"/>
      <c r="R34" s="3">
        <f>MEDIAN(R30:R30)</f>
        <v>-0.29126213592233019</v>
      </c>
      <c r="S34" t="e">
        <f>#REF!*(1+R34)</f>
        <v>#REF!</v>
      </c>
    </row>
    <row r="35" spans="2:19" x14ac:dyDescent="0.2">
      <c r="G35">
        <f>$G$16*(1+G33)</f>
        <v>19.210864092926393</v>
      </c>
    </row>
    <row r="36" spans="2:19" x14ac:dyDescent="0.2">
      <c r="G36">
        <f>$G$16*(1+G34)</f>
        <v>15.752972401892427</v>
      </c>
    </row>
  </sheetData>
  <mergeCells count="7">
    <mergeCell ref="A17:D17"/>
    <mergeCell ref="A4:B4"/>
    <mergeCell ref="A19:B19"/>
    <mergeCell ref="C31:D31"/>
    <mergeCell ref="C32:D32"/>
    <mergeCell ref="A31:B31"/>
    <mergeCell ref="A32:B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3"/>
  <sheetViews>
    <sheetView zoomScale="85" zoomScaleNormal="85" workbookViewId="0">
      <selection activeCell="E8" sqref="E8"/>
    </sheetView>
  </sheetViews>
  <sheetFormatPr defaultRowHeight="12.75" x14ac:dyDescent="0.2"/>
  <cols>
    <col min="1" max="1" width="9.140625" style="62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2" t="s">
        <v>100</v>
      </c>
      <c r="B1" t="s">
        <v>80</v>
      </c>
    </row>
    <row r="2" spans="1:17" x14ac:dyDescent="0.2">
      <c r="A2" s="62" t="s">
        <v>95</v>
      </c>
      <c r="B2" t="s">
        <v>78</v>
      </c>
    </row>
    <row r="3" spans="1:17" x14ac:dyDescent="0.2">
      <c r="A3" s="62" t="s">
        <v>96</v>
      </c>
      <c r="B3" t="s">
        <v>143</v>
      </c>
    </row>
    <row r="4" spans="1:17" x14ac:dyDescent="0.2">
      <c r="A4" s="62" t="s">
        <v>97</v>
      </c>
      <c r="B4" t="s">
        <v>162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2" t="s">
        <v>98</v>
      </c>
      <c r="B7" s="162" t="s">
        <v>79</v>
      </c>
      <c r="C7" s="162"/>
      <c r="D7" s="162" t="s">
        <v>108</v>
      </c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6"/>
      <c r="P7" s="6"/>
      <c r="Q7" s="6"/>
    </row>
    <row r="8" spans="1:17" ht="15" x14ac:dyDescent="0.2">
      <c r="A8" s="62" t="s">
        <v>56</v>
      </c>
      <c r="C8" s="66" t="s">
        <v>81</v>
      </c>
      <c r="D8" s="66" t="s">
        <v>82</v>
      </c>
      <c r="E8" s="66" t="s">
        <v>83</v>
      </c>
      <c r="F8" s="66" t="s">
        <v>84</v>
      </c>
      <c r="G8" s="66" t="s">
        <v>85</v>
      </c>
      <c r="H8" s="66" t="s">
        <v>86</v>
      </c>
      <c r="I8" s="66" t="s">
        <v>87</v>
      </c>
      <c r="J8" s="66" t="s">
        <v>88</v>
      </c>
      <c r="K8" s="66" t="s">
        <v>89</v>
      </c>
      <c r="L8" s="66" t="s">
        <v>90</v>
      </c>
      <c r="M8" s="66" t="s">
        <v>91</v>
      </c>
      <c r="O8" s="6"/>
      <c r="P8" s="6"/>
      <c r="Q8" s="6"/>
    </row>
    <row r="9" spans="1:17" ht="15" x14ac:dyDescent="0.2">
      <c r="B9" s="66" t="s">
        <v>92</v>
      </c>
      <c r="C9" s="2">
        <v>0.125730485017432</v>
      </c>
      <c r="D9" s="2">
        <v>0.1140563544265923</v>
      </c>
      <c r="E9" s="2">
        <v>0.1302638861513426</v>
      </c>
      <c r="F9" s="2">
        <v>0.1699682192661193</v>
      </c>
      <c r="G9" s="2">
        <v>0.1454480133124697</v>
      </c>
      <c r="H9" s="2">
        <v>0.13607430595756781</v>
      </c>
      <c r="I9" s="2">
        <v>0.16481178838522781</v>
      </c>
      <c r="J9" s="2">
        <v>0.15844511010239379</v>
      </c>
      <c r="K9" s="2">
        <v>0.1721236607494778</v>
      </c>
      <c r="L9" s="2">
        <v>0.25253033321493701</v>
      </c>
      <c r="M9" s="2">
        <v>1.26434042360885</v>
      </c>
      <c r="O9" s="6"/>
      <c r="P9" s="6"/>
      <c r="Q9" s="6"/>
    </row>
    <row r="10" spans="1:17" ht="15" x14ac:dyDescent="0.2">
      <c r="B10" s="66" t="s">
        <v>93</v>
      </c>
      <c r="C10" s="2">
        <v>0.16763785213221399</v>
      </c>
      <c r="D10" s="2">
        <v>0.131275149900872</v>
      </c>
      <c r="E10" s="2">
        <v>0.1495284384817917</v>
      </c>
      <c r="F10" s="2">
        <v>0.21540020703139151</v>
      </c>
      <c r="G10" s="2">
        <v>0.165610006852384</v>
      </c>
      <c r="H10" s="2">
        <v>0.1548908509289097</v>
      </c>
      <c r="I10" s="2">
        <v>0.1876390370808583</v>
      </c>
      <c r="J10" s="2">
        <v>0.1840243534683913</v>
      </c>
      <c r="K10" s="2">
        <v>0.1898179161770259</v>
      </c>
      <c r="L10" s="2">
        <v>0.41012946759421492</v>
      </c>
      <c r="M10" s="2">
        <v>2.7879464982618201</v>
      </c>
      <c r="O10" s="6"/>
      <c r="P10" s="6"/>
      <c r="Q10" s="6"/>
    </row>
    <row r="11" spans="1:17" ht="15" x14ac:dyDescent="0.2">
      <c r="B11" s="66" t="s">
        <v>94</v>
      </c>
      <c r="C11" s="2">
        <v>-2.4298835924713661E-2</v>
      </c>
      <c r="D11" s="2">
        <v>-7.2105958469721732E-2</v>
      </c>
      <c r="E11" s="2">
        <v>-9.8183455715128987E-2</v>
      </c>
      <c r="F11" s="2">
        <v>-8.5515282970478557E-2</v>
      </c>
      <c r="G11" s="2">
        <v>-9.4923351719891247E-2</v>
      </c>
      <c r="H11" s="2">
        <v>-0.10059586822804981</v>
      </c>
      <c r="I11" s="2">
        <v>-0.1053354208150383</v>
      </c>
      <c r="J11" s="2">
        <v>-0.1067762853774497</v>
      </c>
      <c r="K11" s="2">
        <v>-0.1053354208150383</v>
      </c>
      <c r="L11" s="2">
        <v>-0.1095382219365069</v>
      </c>
      <c r="M11" s="2">
        <v>-0.16084165068509881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A18" s="62" t="s">
        <v>99</v>
      </c>
      <c r="B18" t="s">
        <v>135</v>
      </c>
      <c r="O18" s="6"/>
      <c r="P18" s="6"/>
      <c r="Q18" s="6"/>
    </row>
    <row r="19" spans="1:17" x14ac:dyDescent="0.2">
      <c r="B19" t="s">
        <v>136</v>
      </c>
      <c r="H19" s="63" t="s">
        <v>102</v>
      </c>
      <c r="O19" s="6"/>
      <c r="P19" s="6"/>
      <c r="Q19" s="6"/>
    </row>
    <row r="20" spans="1:17" x14ac:dyDescent="0.2">
      <c r="H20" s="63"/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A23" s="62" t="s">
        <v>101</v>
      </c>
      <c r="B23" s="163" t="s">
        <v>104</v>
      </c>
      <c r="C23" s="163"/>
      <c r="D23" s="163"/>
      <c r="E23" s="163"/>
      <c r="F23" s="61" t="e">
        <f>#REF!+#REF!*'2. Past Proj &amp; Candidate Model'!#REF!</f>
        <v>#REF!</v>
      </c>
      <c r="G23" s="64" t="s">
        <v>105</v>
      </c>
      <c r="H23" s="2" t="e">
        <f>'2. Past Proj &amp; Candidate Model'!#REF!/'3. Improved Alpha Model'!F23-1</f>
        <v>#REF!</v>
      </c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B27" s="164" t="s">
        <v>155</v>
      </c>
      <c r="C27" s="164"/>
      <c r="D27" s="164"/>
      <c r="E27" s="3" t="e">
        <f>#REF!</f>
        <v>#REF!</v>
      </c>
      <c r="F27" t="s">
        <v>106</v>
      </c>
      <c r="G27" s="164" t="s">
        <v>107</v>
      </c>
      <c r="H27" s="164"/>
      <c r="I27" s="3" t="e">
        <f>#REF!</f>
        <v>#REF!</v>
      </c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A30" s="62" t="s">
        <v>103</v>
      </c>
      <c r="B30" t="s">
        <v>109</v>
      </c>
      <c r="O30" s="6"/>
      <c r="P30" s="6"/>
      <c r="Q30" s="6"/>
    </row>
    <row r="31" spans="1:17" x14ac:dyDescent="0.2">
      <c r="B31" t="s">
        <v>110</v>
      </c>
      <c r="O31" s="6"/>
      <c r="P31" s="6"/>
      <c r="Q31" s="6"/>
    </row>
    <row r="32" spans="1:17" x14ac:dyDescent="0.2">
      <c r="B32" t="s">
        <v>111</v>
      </c>
      <c r="O32" s="6"/>
      <c r="P32" s="6"/>
      <c r="Q32" s="6"/>
    </row>
    <row r="33" spans="2:17" x14ac:dyDescent="0.2">
      <c r="B33" t="s">
        <v>112</v>
      </c>
      <c r="O33" s="6"/>
      <c r="P33" s="6"/>
      <c r="Q33" s="6"/>
    </row>
    <row r="34" spans="2:17" x14ac:dyDescent="0.2">
      <c r="B34" t="s">
        <v>113</v>
      </c>
      <c r="O34" s="6"/>
      <c r="P34" s="6"/>
      <c r="Q34" s="6"/>
    </row>
    <row r="35" spans="2:17" x14ac:dyDescent="0.2">
      <c r="B35" t="s">
        <v>114</v>
      </c>
      <c r="O35" s="6"/>
      <c r="P35" s="6"/>
      <c r="Q35" s="6"/>
    </row>
    <row r="36" spans="2:17" x14ac:dyDescent="0.2">
      <c r="B36" t="s">
        <v>115</v>
      </c>
      <c r="O36" s="6"/>
      <c r="P36" s="6"/>
      <c r="Q36" s="6"/>
    </row>
    <row r="37" spans="2:17" x14ac:dyDescent="0.2">
      <c r="B37" t="s">
        <v>116</v>
      </c>
      <c r="O37" s="6"/>
      <c r="P37" s="6"/>
      <c r="Q37" s="6"/>
    </row>
    <row r="38" spans="2:17" x14ac:dyDescent="0.2">
      <c r="B38" t="s">
        <v>117</v>
      </c>
      <c r="O38" s="6"/>
      <c r="P38" s="6"/>
      <c r="Q38" s="6"/>
    </row>
    <row r="39" spans="2:17" x14ac:dyDescent="0.2">
      <c r="B39" t="s">
        <v>118</v>
      </c>
      <c r="O39" s="6"/>
      <c r="P39" s="6"/>
      <c r="Q39" s="6"/>
    </row>
    <row r="40" spans="2:17" x14ac:dyDescent="0.2">
      <c r="O40" s="6"/>
      <c r="P40" s="6"/>
      <c r="Q40" s="6"/>
    </row>
    <row r="41" spans="2:17" x14ac:dyDescent="0.2">
      <c r="O41" s="6"/>
      <c r="P41" s="6"/>
      <c r="Q41" s="6"/>
    </row>
    <row r="42" spans="2:17" x14ac:dyDescent="0.2">
      <c r="O42" s="6"/>
      <c r="P42" s="6"/>
    </row>
    <row r="43" spans="2:17" x14ac:dyDescent="0.2">
      <c r="O43" s="6"/>
      <c r="P43" s="6"/>
    </row>
  </sheetData>
  <mergeCells count="5">
    <mergeCell ref="D7:N7"/>
    <mergeCell ref="B7:C7"/>
    <mergeCell ref="B23:E23"/>
    <mergeCell ref="B27:D27"/>
    <mergeCell ref="G27:H27"/>
  </mergeCells>
  <conditionalFormatting sqref="C9:K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zoomScale="85" zoomScaleNormal="85" workbookViewId="0">
      <selection activeCell="D45" sqref="D45"/>
    </sheetView>
  </sheetViews>
  <sheetFormatPr defaultRowHeight="12.75" x14ac:dyDescent="0.2"/>
  <cols>
    <col min="1" max="1" width="9.140625" style="62"/>
    <col min="3" max="3" width="18.5703125" customWidth="1"/>
    <col min="4" max="13" width="14.7109375" customWidth="1"/>
    <col min="18" max="18" width="10.7109375" customWidth="1"/>
    <col min="19" max="19" width="12" customWidth="1"/>
    <col min="23" max="23" width="16.28515625" customWidth="1"/>
  </cols>
  <sheetData>
    <row r="1" spans="1:25" x14ac:dyDescent="0.2">
      <c r="A1" s="62" t="s">
        <v>120</v>
      </c>
      <c r="B1" t="s">
        <v>80</v>
      </c>
    </row>
    <row r="2" spans="1:25" x14ac:dyDescent="0.2">
      <c r="A2" s="62" t="s">
        <v>95</v>
      </c>
      <c r="B2" s="70" t="s">
        <v>156</v>
      </c>
      <c r="C2" s="71" t="s">
        <v>81</v>
      </c>
      <c r="D2" t="s">
        <v>157</v>
      </c>
    </row>
    <row r="4" spans="1:25" x14ac:dyDescent="0.2">
      <c r="A4" s="62" t="s">
        <v>96</v>
      </c>
      <c r="B4" t="s">
        <v>119</v>
      </c>
    </row>
    <row r="5" spans="1:25" ht="15" x14ac:dyDescent="0.2">
      <c r="A5" s="62" t="s">
        <v>164</v>
      </c>
      <c r="C5" s="66" t="s">
        <v>81</v>
      </c>
      <c r="D5" s="66" t="s">
        <v>82</v>
      </c>
      <c r="E5" s="66" t="s">
        <v>83</v>
      </c>
      <c r="F5" s="66" t="s">
        <v>84</v>
      </c>
      <c r="G5" s="66" t="s">
        <v>85</v>
      </c>
      <c r="H5" s="66" t="s">
        <v>86</v>
      </c>
      <c r="I5" s="66" t="s">
        <v>87</v>
      </c>
      <c r="J5" s="66" t="s">
        <v>88</v>
      </c>
      <c r="K5" s="66" t="s">
        <v>89</v>
      </c>
      <c r="L5" s="66" t="s">
        <v>90</v>
      </c>
      <c r="M5" s="66" t="s">
        <v>91</v>
      </c>
    </row>
    <row r="6" spans="1:25" ht="15" x14ac:dyDescent="0.2">
      <c r="B6" s="66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5" ht="15" x14ac:dyDescent="0.2">
      <c r="B7" s="66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5" ht="15" x14ac:dyDescent="0.2">
      <c r="B8" s="66" t="s">
        <v>94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0" spans="1:25" ht="15" x14ac:dyDescent="0.2">
      <c r="A10" s="62" t="s">
        <v>97</v>
      </c>
      <c r="B10" s="67" t="s">
        <v>158</v>
      </c>
    </row>
    <row r="12" spans="1:25" x14ac:dyDescent="0.2">
      <c r="A12" s="62" t="s">
        <v>98</v>
      </c>
      <c r="B12" t="s">
        <v>134</v>
      </c>
    </row>
    <row r="13" spans="1:25" ht="15" x14ac:dyDescent="0.2">
      <c r="B13" s="66" t="s">
        <v>121</v>
      </c>
      <c r="C13" s="66" t="s">
        <v>122</v>
      </c>
      <c r="D13" s="66" t="s">
        <v>81</v>
      </c>
      <c r="E13" s="66" t="s">
        <v>82</v>
      </c>
      <c r="F13" s="66" t="s">
        <v>83</v>
      </c>
      <c r="G13" s="66" t="s">
        <v>84</v>
      </c>
      <c r="H13" s="66" t="s">
        <v>85</v>
      </c>
      <c r="I13" s="66" t="s">
        <v>86</v>
      </c>
      <c r="J13" s="66" t="s">
        <v>87</v>
      </c>
      <c r="K13" s="66" t="s">
        <v>88</v>
      </c>
      <c r="L13" s="66" t="s">
        <v>89</v>
      </c>
      <c r="M13" s="66" t="s">
        <v>90</v>
      </c>
      <c r="N13" s="66" t="s">
        <v>91</v>
      </c>
      <c r="O13" s="66" t="s">
        <v>123</v>
      </c>
      <c r="P13" s="66" t="s">
        <v>124</v>
      </c>
      <c r="Q13" s="66" t="s">
        <v>125</v>
      </c>
      <c r="R13" s="66" t="s">
        <v>126</v>
      </c>
      <c r="S13" s="66" t="s">
        <v>127</v>
      </c>
      <c r="T13" s="66" t="s">
        <v>128</v>
      </c>
      <c r="U13" s="66" t="s">
        <v>129</v>
      </c>
      <c r="V13" s="66" t="s">
        <v>130</v>
      </c>
      <c r="W13" s="66" t="s">
        <v>131</v>
      </c>
      <c r="X13" s="66" t="s">
        <v>132</v>
      </c>
      <c r="Y13" s="66" t="s">
        <v>133</v>
      </c>
    </row>
    <row r="20" spans="2:25" x14ac:dyDescent="0.2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94" t="s">
        <v>144</v>
      </c>
      <c r="C29" s="94"/>
      <c r="D29" s="94"/>
      <c r="E29" t="e">
        <f t="shared" ref="E29:E34" si="0">E$28/(1+P29)</f>
        <v>#DIV/0!</v>
      </c>
      <c r="L29" s="93" t="s">
        <v>137</v>
      </c>
      <c r="M29" s="93"/>
      <c r="N29" s="93"/>
      <c r="O29" s="93"/>
      <c r="P29" s="3" t="e">
        <f>AVERAGE(P20:P27)</f>
        <v>#DIV/0!</v>
      </c>
    </row>
    <row r="30" spans="2:25" x14ac:dyDescent="0.2">
      <c r="B30" s="84" t="s">
        <v>145</v>
      </c>
      <c r="C30" s="84"/>
      <c r="D30" s="84"/>
      <c r="E30" t="e">
        <f t="shared" si="0"/>
        <v>#NUM!</v>
      </c>
      <c r="L30" s="84" t="s">
        <v>139</v>
      </c>
      <c r="M30" s="84"/>
      <c r="N30" s="84"/>
      <c r="O30" s="84"/>
      <c r="P30" s="1" t="e">
        <f>MEDIAN(P20:P27)</f>
        <v>#NUM!</v>
      </c>
    </row>
    <row r="31" spans="2:25" x14ac:dyDescent="0.2">
      <c r="B31" s="85" t="s">
        <v>146</v>
      </c>
      <c r="C31" s="85"/>
      <c r="D31" s="85"/>
      <c r="E31" t="e">
        <f t="shared" si="0"/>
        <v>#DIV/0!</v>
      </c>
      <c r="L31" s="85" t="s">
        <v>138</v>
      </c>
      <c r="M31" s="85"/>
      <c r="N31" s="85"/>
      <c r="O31" s="85"/>
      <c r="P31" s="1" t="e">
        <f>AVERAGE(P27,P26,P23:P24)</f>
        <v>#DIV/0!</v>
      </c>
    </row>
    <row r="32" spans="2:25" x14ac:dyDescent="0.2">
      <c r="B32" s="86" t="s">
        <v>147</v>
      </c>
      <c r="C32" s="86"/>
      <c r="D32" s="86"/>
      <c r="E32" t="e">
        <f t="shared" si="0"/>
        <v>#NUM!</v>
      </c>
      <c r="L32" s="86" t="s">
        <v>140</v>
      </c>
      <c r="M32" s="86"/>
      <c r="N32" s="86"/>
      <c r="O32" s="86"/>
      <c r="P32" s="1" t="e">
        <f>MEDIAN(P27,P26,P23:P24)</f>
        <v>#NUM!</v>
      </c>
    </row>
    <row r="33" spans="1:16" x14ac:dyDescent="0.2">
      <c r="B33" s="87" t="s">
        <v>148</v>
      </c>
      <c r="C33" s="87"/>
      <c r="D33" s="87"/>
      <c r="E33" t="e">
        <f t="shared" si="0"/>
        <v>#DIV/0!</v>
      </c>
      <c r="L33" s="87" t="s">
        <v>141</v>
      </c>
      <c r="M33" s="87"/>
      <c r="N33" s="87"/>
      <c r="O33" s="87"/>
      <c r="P33" s="1" t="e">
        <f>AVERAGE(P25,P20:P22)</f>
        <v>#DIV/0!</v>
      </c>
    </row>
    <row r="34" spans="1:16" x14ac:dyDescent="0.2">
      <c r="B34" s="88" t="s">
        <v>149</v>
      </c>
      <c r="C34" s="88"/>
      <c r="D34" s="88"/>
      <c r="E34" t="e">
        <f t="shared" si="0"/>
        <v>#NUM!</v>
      </c>
      <c r="L34" s="88" t="s">
        <v>142</v>
      </c>
      <c r="M34" s="88"/>
      <c r="N34" s="88"/>
      <c r="O34" s="88"/>
      <c r="P34" s="1" t="e">
        <f>MEDIAN(P25,P20:P22)</f>
        <v>#NUM!</v>
      </c>
    </row>
    <row r="36" spans="1:16" x14ac:dyDescent="0.2">
      <c r="A36" s="62" t="s">
        <v>99</v>
      </c>
      <c r="B36" t="s">
        <v>150</v>
      </c>
    </row>
    <row r="37" spans="1:16" x14ac:dyDescent="0.2">
      <c r="B37" t="s">
        <v>151</v>
      </c>
    </row>
    <row r="43" spans="1:16" x14ac:dyDescent="0.2">
      <c r="A43" s="62" t="s">
        <v>101</v>
      </c>
      <c r="B43" s="72" t="s">
        <v>152</v>
      </c>
      <c r="C43" s="73" t="e">
        <f>'2. Past Proj &amp; Candidate Model'!S34</f>
        <v>#REF!</v>
      </c>
      <c r="D43" t="s">
        <v>163</v>
      </c>
    </row>
    <row r="45" spans="1:16" x14ac:dyDescent="0.2">
      <c r="B45" s="165" t="s">
        <v>160</v>
      </c>
      <c r="C45" s="165"/>
      <c r="D45" s="2" t="e">
        <f>C43/'2. Past Proj &amp; Candidate Model'!#REF!-1</f>
        <v>#REF!</v>
      </c>
    </row>
    <row r="46" spans="1:16" x14ac:dyDescent="0.2">
      <c r="B46" s="153" t="s">
        <v>159</v>
      </c>
      <c r="C46" s="153"/>
      <c r="D46" s="2">
        <f>'1. Data &amp; Confidence Interval'!P24</f>
        <v>0.15245148110316653</v>
      </c>
    </row>
  </sheetData>
  <mergeCells count="2">
    <mergeCell ref="B46:C46"/>
    <mergeCell ref="B45:C45"/>
  </mergeCells>
  <conditionalFormatting sqref="P18:W2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0:P34 S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9:P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2021-10-29T18:49:59Z</dcterms:modified>
</cp:coreProperties>
</file>