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XENT\"/>
    </mc:Choice>
  </mc:AlternateContent>
  <xr:revisionPtr revIDLastSave="0" documentId="13_ncr:1_{BCF043F1-97B6-4C6B-9DC1-083C7118875A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4" l="1"/>
  <c r="G34" i="4"/>
  <c r="F34" i="4"/>
  <c r="Q34" i="4"/>
  <c r="P37" i="4"/>
  <c r="E37" i="4" s="1"/>
  <c r="P36" i="4"/>
  <c r="P35" i="4"/>
  <c r="P34" i="4"/>
  <c r="P33" i="4"/>
  <c r="P32" i="4"/>
  <c r="E32" i="4" s="1"/>
  <c r="P15" i="4"/>
  <c r="P16" i="4"/>
  <c r="P17" i="4"/>
  <c r="P18" i="4"/>
  <c r="P19" i="4"/>
  <c r="P20" i="4"/>
  <c r="P14" i="4"/>
  <c r="J13" i="2"/>
  <c r="G28" i="2"/>
  <c r="T25" i="1"/>
  <c r="Q25" i="1"/>
  <c r="F36" i="4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AJ17" i="1"/>
  <c r="AI17" i="1"/>
  <c r="AH17" i="1"/>
  <c r="AG17" i="1"/>
  <c r="AF17" i="1"/>
  <c r="AE17" i="1"/>
  <c r="AD17" i="1"/>
  <c r="AC17" i="1"/>
  <c r="AB17" i="1"/>
  <c r="AA17" i="1"/>
  <c r="AK24" i="1"/>
  <c r="G48" i="2"/>
  <c r="E34" i="4" l="1"/>
  <c r="C47" i="4"/>
  <c r="E36" i="4"/>
  <c r="E35" i="4"/>
  <c r="E33" i="4"/>
  <c r="R23" i="2"/>
  <c r="K42" i="2"/>
  <c r="J42" i="2"/>
  <c r="I42" i="2"/>
  <c r="H42" i="2"/>
  <c r="G42" i="2"/>
  <c r="F42" i="2"/>
  <c r="E42" i="2"/>
  <c r="R45" i="2" a="1"/>
  <c r="R45" i="2" s="1"/>
  <c r="Q45" i="2" a="1"/>
  <c r="Q45" i="2" s="1"/>
  <c r="O45" i="2" a="1"/>
  <c r="O45" i="2" s="1"/>
  <c r="N45" i="2" a="1"/>
  <c r="N45" i="2" s="1"/>
  <c r="L45" i="2" a="1"/>
  <c r="L45" i="2" s="1"/>
  <c r="K45" i="2" a="1"/>
  <c r="K45" i="2" s="1"/>
  <c r="R24" i="2"/>
  <c r="L23" i="2"/>
  <c r="M23" i="2"/>
  <c r="N23" i="2"/>
  <c r="O23" i="2"/>
  <c r="K23" i="2"/>
  <c r="J23" i="2"/>
  <c r="P23" i="2" s="1"/>
  <c r="Q23" i="2" s="1"/>
  <c r="E34" i="2"/>
  <c r="E33" i="2"/>
  <c r="D29" i="2"/>
  <c r="D28" i="2"/>
  <c r="J10" i="1"/>
  <c r="AJ10" i="1"/>
  <c r="AG18" i="1"/>
  <c r="AF18" i="1"/>
  <c r="AE18" i="1"/>
  <c r="AD18" i="1"/>
  <c r="AK26" i="1"/>
  <c r="AK18" i="1"/>
  <c r="AJ18" i="1"/>
  <c r="AI18" i="1"/>
  <c r="AH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K25" i="1" s="1"/>
  <c r="O18" i="1"/>
  <c r="N18" i="1"/>
  <c r="M18" i="1"/>
  <c r="L18" i="1"/>
  <c r="K18" i="1"/>
  <c r="J18" i="1"/>
  <c r="I18" i="1"/>
  <c r="H18" i="1"/>
  <c r="G18" i="1"/>
  <c r="F18" i="1"/>
  <c r="T24" i="1"/>
  <c r="Q24" i="1"/>
  <c r="AK23" i="1"/>
  <c r="AK22" i="1"/>
  <c r="AK21" i="1"/>
  <c r="AK20" i="1"/>
  <c r="T21" i="1"/>
  <c r="F17" i="1"/>
  <c r="E28" i="2"/>
  <c r="A28" i="2"/>
  <c r="B28" i="2"/>
  <c r="C28" i="2"/>
  <c r="F28" i="2"/>
  <c r="H28" i="2"/>
  <c r="I28" i="2"/>
  <c r="J28" i="2"/>
  <c r="R28" i="2"/>
  <c r="A29" i="2"/>
  <c r="B29" i="2"/>
  <c r="C29" i="2"/>
  <c r="A30" i="2"/>
  <c r="B30" i="2"/>
  <c r="C30" i="2"/>
  <c r="D30" i="2"/>
  <c r="AI20" i="1"/>
  <c r="C2" i="4"/>
  <c r="Q22" i="1"/>
  <c r="R22" i="1"/>
  <c r="Q20" i="1"/>
  <c r="R20" i="1"/>
  <c r="G17" i="1"/>
  <c r="S20" i="1"/>
  <c r="S22" i="1"/>
  <c r="E38" i="2" l="1"/>
  <c r="G36" i="2"/>
  <c r="E36" i="2"/>
  <c r="E40" i="2"/>
  <c r="H40" i="2"/>
  <c r="G40" i="2"/>
  <c r="J40" i="2"/>
  <c r="N30" i="2"/>
  <c r="L30" i="2"/>
  <c r="Q30" i="2"/>
  <c r="F30" i="2"/>
  <c r="G30" i="2"/>
  <c r="R30" i="2"/>
  <c r="J30" i="2"/>
  <c r="P30" i="2"/>
  <c r="H30" i="2"/>
  <c r="I30" i="2"/>
  <c r="E30" i="2"/>
  <c r="O30" i="2"/>
  <c r="K30" i="2"/>
  <c r="M30" i="2"/>
  <c r="E35" i="2"/>
  <c r="E41" i="2"/>
  <c r="J41" i="2"/>
  <c r="G41" i="2"/>
  <c r="E32" i="2"/>
  <c r="E31" i="2"/>
  <c r="E37" i="2"/>
  <c r="G37" i="2"/>
  <c r="M29" i="2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31" i="2"/>
  <c r="P31" i="2"/>
  <c r="O31" i="2"/>
  <c r="M31" i="2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J31" i="2"/>
  <c r="I31" i="2"/>
  <c r="G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4" i="3"/>
  <c r="E24" i="3"/>
  <c r="G43" i="2" l="1"/>
  <c r="E43" i="2"/>
  <c r="E39" i="2"/>
  <c r="H39" i="2"/>
  <c r="G39" i="2"/>
  <c r="G47" i="2" s="1"/>
  <c r="F35" i="4" s="1"/>
  <c r="G35" i="4" s="1"/>
  <c r="J39" i="2"/>
  <c r="N24" i="2"/>
  <c r="R29" i="2"/>
  <c r="F29" i="2"/>
  <c r="J24" i="2"/>
  <c r="K24" i="2"/>
  <c r="I29" i="2"/>
  <c r="G24" i="2"/>
  <c r="G29" i="2"/>
  <c r="I24" i="2"/>
  <c r="H29" i="2"/>
  <c r="H24" i="2"/>
  <c r="J29" i="2"/>
  <c r="F24" i="2"/>
  <c r="L29" i="2"/>
  <c r="E24" i="2"/>
  <c r="E29" i="2"/>
  <c r="O29" i="2"/>
  <c r="K31" i="2"/>
  <c r="N29" i="2"/>
  <c r="O24" i="2"/>
  <c r="R31" i="2"/>
  <c r="F31" i="2"/>
  <c r="L31" i="2"/>
  <c r="P29" i="2"/>
  <c r="M24" i="2"/>
  <c r="H31" i="2"/>
  <c r="N31" i="2"/>
  <c r="L24" i="2"/>
  <c r="E44" i="2"/>
  <c r="G44" i="2"/>
  <c r="K29" i="2"/>
  <c r="P24" i="2"/>
  <c r="C7" i="1"/>
  <c r="Q24" i="2"/>
  <c r="Q29" i="2"/>
  <c r="U21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F20" i="3"/>
  <c r="E45" i="2" l="1" a="1"/>
  <c r="E45" i="2" s="1"/>
  <c r="E46" i="2" a="1"/>
  <c r="E46" i="2" s="1"/>
  <c r="D50" i="4"/>
  <c r="U23" i="1"/>
  <c r="T23" i="1"/>
  <c r="B7" i="1"/>
  <c r="V21" i="1"/>
  <c r="R44" i="2"/>
  <c r="R43" i="2"/>
  <c r="R42" i="2"/>
  <c r="R41" i="2"/>
  <c r="R39" i="2"/>
  <c r="R38" i="2"/>
  <c r="R37" i="2"/>
  <c r="R36" i="2"/>
  <c r="R35" i="2"/>
  <c r="R34" i="2"/>
  <c r="R33" i="2"/>
  <c r="R32" i="2"/>
  <c r="M2" i="1" l="1"/>
  <c r="N2" i="1"/>
  <c r="N3" i="1"/>
  <c r="M3" i="1"/>
  <c r="H20" i="3"/>
  <c r="O2" i="1" l="1"/>
  <c r="P2" i="1" s="1"/>
  <c r="O3" i="1"/>
  <c r="P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G45" i="2" s="1" a="1"/>
  <c r="G45" i="2" s="1"/>
  <c r="H35" i="2"/>
  <c r="H45" i="2" s="1" a="1"/>
  <c r="H45" i="2" s="1"/>
  <c r="I35" i="2"/>
  <c r="I45" i="2" s="1" a="1"/>
  <c r="I45" i="2" s="1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F43" i="2"/>
  <c r="H43" i="2"/>
  <c r="I43" i="2"/>
  <c r="J43" i="2"/>
  <c r="F44" i="2"/>
  <c r="H44" i="2"/>
  <c r="I44" i="2"/>
  <c r="J44" i="2"/>
  <c r="F45" i="2" l="1" a="1"/>
  <c r="F45" i="2" s="1"/>
  <c r="J45" i="2" a="1"/>
  <c r="J45" i="2" s="1"/>
  <c r="G46" i="2" a="1"/>
  <c r="G46" i="2" s="1"/>
  <c r="F46" i="2" a="1"/>
  <c r="F46" i="2" s="1"/>
  <c r="P46" i="2" a="1"/>
  <c r="P46" i="2" s="1"/>
  <c r="P45" i="2" a="1"/>
  <c r="P45" i="2" s="1"/>
  <c r="Q46" i="2" a="1"/>
  <c r="Q46" i="2" s="1"/>
  <c r="O46" i="2" a="1"/>
  <c r="O46" i="2" s="1"/>
  <c r="N46" i="2" a="1"/>
  <c r="N46" i="2" s="1"/>
  <c r="M45" i="2" a="1"/>
  <c r="M45" i="2" s="1"/>
  <c r="M46" i="2" a="1"/>
  <c r="M46" i="2" s="1"/>
  <c r="L46" i="2" a="1"/>
  <c r="L46" i="2" s="1"/>
  <c r="H46" i="2" a="1"/>
  <c r="H46" i="2" s="1"/>
  <c r="K46" i="2" a="1"/>
  <c r="K46" i="2" s="1"/>
  <c r="J46" i="2" a="1"/>
  <c r="J46" i="2" s="1"/>
  <c r="R46" i="2" a="1"/>
  <c r="R46" i="2" s="1"/>
  <c r="I46" i="2" a="1"/>
  <c r="I46" i="2" s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D49" i="4" l="1"/>
  <c r="O4" i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<sst xmlns="http://schemas.openxmlformats.org/spreadsheetml/2006/main" count="314" uniqueCount="175">
  <si>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</si>
  <si>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</si>
  <si>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</si>
  <si>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</si>
  <si>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</si>
  <si>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</si>
  <si>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</si>
  <si>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</si>
  <si>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</si>
  <si>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</si>
  <si>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</si>
  <si>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</si>
  <si>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</si>
  <si>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</si>
  <si>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</si>
  <si>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</si>
  <si>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</si>
  <si>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</si>
  <si>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</si>
  <si>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</si>
  <si>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</si>
  <si>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</si>
  <si>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</si>
  <si>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</si>
  <si>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</si>
  <si>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</si>
  <si>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</si>
  <si>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</si>
  <si>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</si>
  <si>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</si>
  <si>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</si>
  <si>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</si>
  <si>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</si>
  <si>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</si>
  <si>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</si>
  <si>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</si>
  <si>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</si>
  <si>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</si>
  <si>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</si>
  <si>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</si>
  <si>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</si>
  <si>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</si>
  <si>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</si>
  <si>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</si>
  <si>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</si>
  <si>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</si>
  <si>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</si>
  <si>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</si>
  <si>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</si>
  <si>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</si>
  <si>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</si>
  <si>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</si>
  <si>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</si>
  <si>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</si>
  <si>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</si>
  <si>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</si>
  <si>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</si>
  <si>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</si>
  <si>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</si>
  <si>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</si>
  <si>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</si>
  <si>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</si>
  <si>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</si>
  <si>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</si>
  <si>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</si>
  <si>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</si>
  <si>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</si>
  <si>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</si>
  <si>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</si>
  <si>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</si>
  <si>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</si>
  <si>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</si>
  <si>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</si>
  <si>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</si>
  <si>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</si>
  <si>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</si>
  <si>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</si>
  <si>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</si>
  <si>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</si>
  <si>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</si>
  <si>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</si>
  <si>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</si>
  <si>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</si>
  <si>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</si>
  <si>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</si>
  <si>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</si>
  <si>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</si>
  <si>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</si>
  <si>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</si>
  <si>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</si>
  <si>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</si>
  <si>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</si>
  <si>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</si>
  <si>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</si>
  <si>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</si>
  <si>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</si>
  <si>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</si>
  <si>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</si>
  <si>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</si>
  <si>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</si>
  <si>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</si>
  <si>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</si>
  <si>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</si>
  <si>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</si>
  <si>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</si>
  <si>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</si>
  <si>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</si>
  <si>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</si>
  <si>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</si>
  <si>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</si>
  <si>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</si>
  <si>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</si>
  <si>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</si>
  <si>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</si>
  <si>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</si>
  <si>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</si>
  <si>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</si>
  <si>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</si>
  <si>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</si>
  <si>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</si>
  <si>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</si>
  <si>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</si>
  <si>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</si>
  <si>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</si>
  <si>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</si>
  <si>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</si>
  <si>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</si>
  <si>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</si>
  <si>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</si>
  <si>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</si>
  <si>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</si>
  <si>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</si>
  <si>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</si>
  <si>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</si>
  <si>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</si>
  <si>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</si>
  <si>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</si>
  <si>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</si>
  <si>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</si>
  <si>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</si>
  <si>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</si>
  <si>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</si>
  <si>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</si>
  <si>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</si>
  <si>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</si>
  <si>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</si>
  <si>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</si>
  <si>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</si>
  <si>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</si>
  <si>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</si>
  <si>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</si>
  <si>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</si>
  <si>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</si>
  <si>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</si>
  <si>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</si>
  <si>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</si>
  <si>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</si>
  <si>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</si>
  <si>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</si>
  <si>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</si>
  <si>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</si>
  <si>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</si>
  <si>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</si>
  <si>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</si>
  <si>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</si>
  <si>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</si>
  <si>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</si>
  <si>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</si>
  <si>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</si>
  <si>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</si>
  <si>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</si>
  <si>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CORRELATION</t>
  </si>
  <si>
    <t>SS NO LR</t>
  </si>
  <si>
    <t>XENT</t>
  </si>
  <si>
    <t>U.S.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</si>
</sst>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"/>
    <numFmt numFmtId="166" formatCode="0.0000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61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18" borderId="0" applyNumberFormat="0" applyBorder="0" applyAlignment="0" applyProtection="0"/>
  </cellStyleXfs>
  <cellXfs count="178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18" borderId="0" xfId="2"/>
    <xf numFmtId="43" fontId="0" fillId="0" borderId="0" xfId="0" applyNumberForma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E1" zoomScale="70" zoomScaleNormal="70" workbookViewId="0">
      <selection activeCell="T25" sqref="T25"/>
    </sheetView>
  </sheetViews>
  <sheetFormatPr defaultRowHeight="12.75" x14ac:dyDescent="0.2"/>
  <cols>
    <col min="1" max="1" width="17.85546875" bestFit="1" customWidth="1"/>
    <col min="2" max="5" width="17.85546875" customWidth="1"/>
    <col min="6" max="35" width="10.7109375" customWidth="1"/>
    <col min="36" max="36" width="17.85546875" customWidth="1"/>
    <col min="37" max="38" width="10.7109375" customWidth="1"/>
  </cols>
  <sheetData>
    <row r="1" spans="1:37" x14ac:dyDescent="0.2">
      <c r="A1" s="134" t="s">
        <v>173</v>
      </c>
      <c r="B1" s="135"/>
      <c r="C1" s="136"/>
      <c r="K1" s="143" t="s">
        <v>35</v>
      </c>
      <c r="L1" s="144"/>
      <c r="M1" s="61" t="s">
        <v>31</v>
      </c>
      <c r="N1" s="61" t="s">
        <v>32</v>
      </c>
      <c r="O1" s="4" t="s">
        <v>39</v>
      </c>
      <c r="P1" s="145" t="s">
        <v>41</v>
      </c>
      <c r="Q1" s="146"/>
    </row>
    <row r="2" spans="1:37" x14ac:dyDescent="0.2">
      <c r="A2" s="137"/>
      <c r="B2" s="138"/>
      <c r="C2" s="139"/>
      <c r="K2" s="59" t="s">
        <v>37</v>
      </c>
      <c r="L2" s="60"/>
      <c r="M2" s="62">
        <f>$B$7*($AK$25-2*$AK$26)</f>
        <v>23.230952130260356</v>
      </c>
      <c r="N2" s="62">
        <f>$B$7*($AK$25+2*$AK$26)</f>
        <v>28.074698674617547</v>
      </c>
      <c r="O2" s="64">
        <f>AVERAGE(M2:N2)</f>
        <v>25.65282540243895</v>
      </c>
      <c r="P2" s="147">
        <f>$O$2/AF14-1</f>
        <v>0.17673511020362143</v>
      </c>
      <c r="Q2" s="148"/>
    </row>
    <row r="3" spans="1:37" x14ac:dyDescent="0.2">
      <c r="A3" s="140"/>
      <c r="B3" s="141"/>
      <c r="C3" s="142"/>
      <c r="K3" s="45" t="s">
        <v>38</v>
      </c>
      <c r="L3" s="19"/>
      <c r="M3" s="63">
        <f>$C$7*($AK$25-2*$AK$26)</f>
        <v>24.02517271591028</v>
      </c>
      <c r="N3" s="63">
        <f>$C$7*($AK$25+2*$AK$26)</f>
        <v>29.034517432724126</v>
      </c>
      <c r="O3" s="65">
        <f>AVERAGE(M3:N3)</f>
        <v>26.529845074317201</v>
      </c>
      <c r="P3" s="149">
        <f>$O$3/AF15-1</f>
        <v>0.21696537038152286</v>
      </c>
      <c r="Q3" s="150"/>
    </row>
    <row r="4" spans="1:37" x14ac:dyDescent="0.2">
      <c r="A4" s="50"/>
      <c r="B4" s="50"/>
      <c r="C4" s="50"/>
      <c r="N4" s="4" t="s">
        <v>40</v>
      </c>
      <c r="O4" s="65">
        <f>AVERAGE(O2:O3)</f>
        <v>26.091335238378075</v>
      </c>
      <c r="P4" s="149">
        <f>$O$4/AF15-1</f>
        <v>0.19685024029257225</v>
      </c>
      <c r="Q4" s="150"/>
    </row>
    <row r="5" spans="1:37" x14ac:dyDescent="0.2">
      <c r="A5" s="58" t="s">
        <v>34</v>
      </c>
      <c r="B5" s="48" t="s">
        <v>31</v>
      </c>
      <c r="C5" s="49" t="s">
        <v>32</v>
      </c>
    </row>
    <row r="6" spans="1:37" ht="15.75" x14ac:dyDescent="0.25">
      <c r="A6" s="52" t="s">
        <v>33</v>
      </c>
      <c r="B6" s="56">
        <v>117</v>
      </c>
      <c r="C6" s="57">
        <v>121</v>
      </c>
    </row>
    <row r="7" spans="1:37" ht="14.25" x14ac:dyDescent="0.2">
      <c r="A7" s="53" t="s">
        <v>36</v>
      </c>
      <c r="B7" s="54">
        <f>B6*$AK$24</f>
        <v>105.61514749499266</v>
      </c>
      <c r="C7" s="55">
        <f>C6*$AK$24</f>
        <v>109.22592176832573</v>
      </c>
    </row>
    <row r="8" spans="1:37" x14ac:dyDescent="0.2">
      <c r="F8" s="50"/>
    </row>
    <row r="9" spans="1:37" x14ac:dyDescent="0.2">
      <c r="F9" s="50"/>
      <c r="G9" s="50"/>
      <c r="H9" s="50"/>
    </row>
    <row r="10" spans="1:37" x14ac:dyDescent="0.2">
      <c r="H10" s="118" t="s">
        <v>15</v>
      </c>
      <c r="I10" s="118"/>
      <c r="J10" s="35">
        <f>AVERAGE(J13:AJ13)</f>
        <v>1.2144708274571074</v>
      </c>
      <c r="AG10" s="118" t="s">
        <v>16</v>
      </c>
      <c r="AH10" s="118"/>
      <c r="AI10" s="118"/>
      <c r="AJ10" s="81">
        <f>AVERAGE(AF13:AJ13)</f>
        <v>1.3361460168080552</v>
      </c>
    </row>
    <row r="11" spans="1:37" x14ac:dyDescent="0.2">
      <c r="A11" s="51" t="s">
        <v>6</v>
      </c>
      <c r="B11" s="151">
        <v>2012</v>
      </c>
      <c r="C11" s="152"/>
      <c r="D11" s="152"/>
      <c r="E11" s="153"/>
      <c r="F11" s="124">
        <v>2014</v>
      </c>
      <c r="G11" s="124"/>
      <c r="H11" s="124"/>
      <c r="I11" s="125"/>
      <c r="J11" s="126">
        <v>2015</v>
      </c>
      <c r="K11" s="127"/>
      <c r="L11" s="127"/>
      <c r="M11" s="128"/>
      <c r="N11" s="126">
        <v>2016</v>
      </c>
      <c r="O11" s="127"/>
      <c r="P11" s="127"/>
      <c r="Q11" s="128"/>
      <c r="R11" s="160">
        <v>2017</v>
      </c>
      <c r="S11" s="161"/>
      <c r="T11" s="161"/>
      <c r="U11" s="162"/>
      <c r="V11" s="156">
        <v>2018</v>
      </c>
      <c r="W11" s="157"/>
      <c r="X11" s="157"/>
      <c r="Y11" s="158"/>
      <c r="Z11" s="120">
        <v>2019</v>
      </c>
      <c r="AA11" s="121"/>
      <c r="AB11" s="121"/>
      <c r="AC11" s="122"/>
      <c r="AD11" s="123">
        <v>2020</v>
      </c>
      <c r="AE11" s="124"/>
      <c r="AF11" s="124"/>
      <c r="AG11" s="125"/>
      <c r="AH11" s="126">
        <v>2021</v>
      </c>
      <c r="AI11" s="127"/>
      <c r="AJ11" s="127"/>
      <c r="AK11" s="128"/>
    </row>
    <row r="12" spans="1:37" x14ac:dyDescent="0.2">
      <c r="A12" s="14" t="s">
        <v>19</v>
      </c>
      <c r="B12" s="105" t="s">
        <v>20</v>
      </c>
      <c r="C12" s="105" t="s">
        <v>3</v>
      </c>
      <c r="D12" s="105" t="s">
        <v>4</v>
      </c>
      <c r="E12" s="105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7" t="s">
        <v>20</v>
      </c>
      <c r="AI12" s="38" t="s">
        <v>3</v>
      </c>
      <c r="AJ12" s="39" t="s">
        <v>21</v>
      </c>
      <c r="AK12" s="30" t="s">
        <v>22</v>
      </c>
    </row>
    <row r="13" spans="1:37" x14ac:dyDescent="0.2">
      <c r="A13" s="34" t="s">
        <v>2</v>
      </c>
      <c r="B13" s="106"/>
      <c r="C13" s="106"/>
      <c r="D13" s="106"/>
      <c r="E13" s="106"/>
      <c r="F13" s="85"/>
      <c r="G13" s="85"/>
      <c r="H13" s="85"/>
      <c r="I13" s="85"/>
      <c r="J13" s="85">
        <f>J15/F15</f>
        <v>1.7866666666666666</v>
      </c>
      <c r="K13" s="85">
        <f t="shared" ref="K13:AI13" si="0">K15/G15</f>
        <v>1.7674418604651163</v>
      </c>
      <c r="L13" s="85">
        <f t="shared" si="0"/>
        <v>1.5604395604395604</v>
      </c>
      <c r="M13" s="85">
        <f t="shared" si="0"/>
        <v>1.4029850746268657</v>
      </c>
      <c r="N13" s="85">
        <f t="shared" si="0"/>
        <v>1.2462686567164178</v>
      </c>
      <c r="O13" s="85">
        <f t="shared" si="0"/>
        <v>1.2697368421052633</v>
      </c>
      <c r="P13" s="85">
        <f t="shared" si="0"/>
        <v>1.295774647887324</v>
      </c>
      <c r="Q13" s="85">
        <f t="shared" si="0"/>
        <v>1.2819148936170213</v>
      </c>
      <c r="R13" s="85">
        <f t="shared" si="0"/>
        <v>1.2155688622754492</v>
      </c>
      <c r="S13" s="85">
        <f t="shared" si="0"/>
        <v>1.233160621761658</v>
      </c>
      <c r="T13" s="85">
        <f t="shared" si="0"/>
        <v>1.2065217391304348</v>
      </c>
      <c r="U13" s="85">
        <f t="shared" si="0"/>
        <v>1.2157676348547717</v>
      </c>
      <c r="V13" s="85">
        <f t="shared" si="0"/>
        <v>1.2118226600985222</v>
      </c>
      <c r="W13" s="85">
        <f t="shared" si="0"/>
        <v>1.0924369747899159</v>
      </c>
      <c r="X13" s="85">
        <f t="shared" si="0"/>
        <v>1.0900900900900901</v>
      </c>
      <c r="Y13" s="85">
        <f t="shared" si="0"/>
        <v>1.0989761092150172</v>
      </c>
      <c r="Z13" s="85">
        <f t="shared" si="0"/>
        <v>1.0609756097560976</v>
      </c>
      <c r="AA13" s="85">
        <f t="shared" si="0"/>
        <v>1.0038461538461538</v>
      </c>
      <c r="AB13" s="85">
        <f t="shared" si="0"/>
        <v>1.0041322314049588</v>
      </c>
      <c r="AC13" s="85">
        <f t="shared" si="0"/>
        <v>0.96583850931677018</v>
      </c>
      <c r="AD13" s="85">
        <f t="shared" si="0"/>
        <v>0.73563218390804586</v>
      </c>
      <c r="AE13" s="85">
        <f t="shared" si="0"/>
        <v>0.36398467432950188</v>
      </c>
      <c r="AF13" s="85">
        <f t="shared" si="0"/>
        <v>0.89711934156378603</v>
      </c>
      <c r="AG13" s="85">
        <f t="shared" si="0"/>
        <v>0.83279742765273301</v>
      </c>
      <c r="AH13" s="85">
        <f t="shared" si="0"/>
        <v>1.140625</v>
      </c>
      <c r="AI13" s="85">
        <f t="shared" si="0"/>
        <v>2.5578947368421052</v>
      </c>
      <c r="AJ13" s="85">
        <f>AJ14/AF14</f>
        <v>1.2522935779816513</v>
      </c>
      <c r="AK13" s="31"/>
    </row>
    <row r="14" spans="1:37" x14ac:dyDescent="0.2">
      <c r="A14" s="15" t="s">
        <v>0</v>
      </c>
      <c r="B14" s="6"/>
      <c r="C14" s="6"/>
      <c r="D14" s="6"/>
      <c r="E14" s="6"/>
      <c r="F14" s="7">
        <v>7.5</v>
      </c>
      <c r="G14" s="7">
        <v>8.6</v>
      </c>
      <c r="H14" s="7">
        <v>9.1</v>
      </c>
      <c r="I14" s="7">
        <v>13.4</v>
      </c>
      <c r="J14" s="9">
        <v>13.4</v>
      </c>
      <c r="K14" s="6">
        <v>15.2</v>
      </c>
      <c r="L14" s="6">
        <v>14.2</v>
      </c>
      <c r="M14" s="6">
        <v>18.8</v>
      </c>
      <c r="N14" s="9">
        <v>16.7</v>
      </c>
      <c r="O14" s="6">
        <v>19.3</v>
      </c>
      <c r="P14" s="6">
        <v>18.399999999999999</v>
      </c>
      <c r="Q14" s="6">
        <v>24.1</v>
      </c>
      <c r="R14" s="9">
        <v>20.3</v>
      </c>
      <c r="S14" s="6">
        <v>23.8</v>
      </c>
      <c r="T14" s="6">
        <v>22.2</v>
      </c>
      <c r="U14" s="6">
        <v>29.3</v>
      </c>
      <c r="V14" s="9">
        <v>24.6</v>
      </c>
      <c r="W14" s="6">
        <v>26</v>
      </c>
      <c r="X14" s="6">
        <v>24.2</v>
      </c>
      <c r="Y14" s="6">
        <v>32.200000000000003</v>
      </c>
      <c r="Z14" s="9">
        <v>26.1</v>
      </c>
      <c r="AA14" s="6">
        <v>26.1</v>
      </c>
      <c r="AB14" s="6">
        <v>24.3</v>
      </c>
      <c r="AC14" s="6">
        <v>31.1</v>
      </c>
      <c r="AD14" s="9">
        <v>19.2</v>
      </c>
      <c r="AE14" s="6">
        <v>9.5</v>
      </c>
      <c r="AF14" s="6">
        <v>21.8</v>
      </c>
      <c r="AG14" s="6">
        <v>25.9</v>
      </c>
      <c r="AH14" s="6">
        <v>21.9</v>
      </c>
      <c r="AI14" s="6">
        <v>24.3</v>
      </c>
      <c r="AJ14" s="6">
        <v>27.3</v>
      </c>
      <c r="AK14" s="6">
        <v>32.1</v>
      </c>
    </row>
    <row r="15" spans="1:37" x14ac:dyDescent="0.2">
      <c r="A15" s="15" t="s">
        <v>1</v>
      </c>
      <c r="B15" s="6"/>
      <c r="C15" s="6"/>
      <c r="D15" s="6"/>
      <c r="E15" s="6"/>
      <c r="F15" s="6">
        <v>7.5</v>
      </c>
      <c r="G15" s="6">
        <v>8.6</v>
      </c>
      <c r="H15" s="6">
        <v>9.1</v>
      </c>
      <c r="I15" s="6">
        <v>13.4</v>
      </c>
      <c r="J15" s="9">
        <v>13.4</v>
      </c>
      <c r="K15" s="6">
        <v>15.2</v>
      </c>
      <c r="L15" s="6">
        <v>14.2</v>
      </c>
      <c r="M15" s="6">
        <v>18.8</v>
      </c>
      <c r="N15" s="9">
        <v>16.7</v>
      </c>
      <c r="O15" s="6">
        <v>19.3</v>
      </c>
      <c r="P15" s="6">
        <v>18.399999999999999</v>
      </c>
      <c r="Q15" s="6">
        <v>24.1</v>
      </c>
      <c r="R15" s="9">
        <v>20.3</v>
      </c>
      <c r="S15" s="6">
        <v>23.8</v>
      </c>
      <c r="T15" s="6">
        <v>22.2</v>
      </c>
      <c r="U15" s="6">
        <v>29.3</v>
      </c>
      <c r="V15" s="9">
        <v>24.6</v>
      </c>
      <c r="W15" s="6">
        <v>26</v>
      </c>
      <c r="X15" s="6">
        <v>24.2</v>
      </c>
      <c r="Y15" s="6">
        <v>32.200000000000003</v>
      </c>
      <c r="Z15" s="9">
        <v>26.1</v>
      </c>
      <c r="AA15" s="6">
        <v>26.1</v>
      </c>
      <c r="AB15" s="6">
        <v>24.3</v>
      </c>
      <c r="AC15" s="6">
        <v>31.1</v>
      </c>
      <c r="AD15" s="9">
        <v>19.2</v>
      </c>
      <c r="AE15" s="6">
        <v>9.5</v>
      </c>
      <c r="AF15" s="6">
        <v>21.8</v>
      </c>
      <c r="AG15" s="6">
        <v>25.9</v>
      </c>
      <c r="AH15" s="9">
        <v>21.9</v>
      </c>
      <c r="AI15" s="6">
        <v>24.3</v>
      </c>
      <c r="AJ15" s="9"/>
      <c r="AK15" s="10"/>
    </row>
    <row r="16" spans="1:37" x14ac:dyDescent="0.2">
      <c r="A16" s="15" t="s">
        <v>157</v>
      </c>
      <c r="B16" s="9"/>
      <c r="C16" s="9"/>
      <c r="D16" s="9"/>
      <c r="E16" s="9"/>
      <c r="F16" s="9">
        <v>7.5</v>
      </c>
      <c r="G16" s="6">
        <v>8.6</v>
      </c>
      <c r="H16" s="6">
        <v>9.1</v>
      </c>
      <c r="I16" s="10">
        <v>13.4</v>
      </c>
      <c r="J16" s="9">
        <v>13.4</v>
      </c>
      <c r="K16" s="6">
        <v>15.2</v>
      </c>
      <c r="L16" s="6">
        <v>14.2</v>
      </c>
      <c r="M16" s="10">
        <v>18.8</v>
      </c>
      <c r="N16" s="9">
        <v>16.7</v>
      </c>
      <c r="O16" s="6">
        <v>19.3</v>
      </c>
      <c r="P16" s="6">
        <v>18.5</v>
      </c>
      <c r="Q16" s="10">
        <v>24.2</v>
      </c>
      <c r="R16" s="9">
        <v>20.5</v>
      </c>
      <c r="S16" s="6">
        <v>24</v>
      </c>
      <c r="T16" s="6">
        <v>22.3</v>
      </c>
      <c r="U16" s="10">
        <v>29.5</v>
      </c>
      <c r="V16" s="9">
        <v>24.7</v>
      </c>
      <c r="W16" s="6">
        <v>26.3</v>
      </c>
      <c r="X16" s="6">
        <v>24.7</v>
      </c>
      <c r="Y16" s="10">
        <v>32.799999999999997</v>
      </c>
      <c r="Z16" s="9">
        <v>26.7</v>
      </c>
      <c r="AA16" s="6">
        <v>26.7</v>
      </c>
      <c r="AB16" s="6">
        <v>24.7</v>
      </c>
      <c r="AC16" s="10">
        <v>31.8</v>
      </c>
      <c r="AD16" s="6">
        <v>19.8</v>
      </c>
      <c r="AE16" s="6">
        <v>9.8000000000000007</v>
      </c>
      <c r="AF16" s="10">
        <v>22.7</v>
      </c>
      <c r="AG16" s="9">
        <v>28.2</v>
      </c>
      <c r="AH16">
        <v>24.3</v>
      </c>
      <c r="AI16" s="82">
        <v>27.3</v>
      </c>
      <c r="AJ16">
        <v>30.3</v>
      </c>
      <c r="AK16" s="10"/>
    </row>
    <row r="17" spans="1:38" x14ac:dyDescent="0.2">
      <c r="A17" s="86" t="s">
        <v>18</v>
      </c>
      <c r="B17" s="87"/>
      <c r="C17" s="87"/>
      <c r="D17" s="87"/>
      <c r="E17" s="87"/>
      <c r="F17" s="87">
        <f>F15/F16</f>
        <v>1</v>
      </c>
      <c r="G17" s="87">
        <f t="shared" ref="G17" si="1">G15/G16</f>
        <v>1</v>
      </c>
      <c r="H17" s="87">
        <f t="shared" ref="H17:AI17" si="2">H15/H16</f>
        <v>1</v>
      </c>
      <c r="I17" s="87">
        <f t="shared" si="2"/>
        <v>1</v>
      </c>
      <c r="J17" s="87">
        <f t="shared" si="2"/>
        <v>1</v>
      </c>
      <c r="K17" s="87">
        <f t="shared" si="2"/>
        <v>1</v>
      </c>
      <c r="L17" s="87">
        <f t="shared" si="2"/>
        <v>1</v>
      </c>
      <c r="M17" s="87">
        <f t="shared" si="2"/>
        <v>1</v>
      </c>
      <c r="N17" s="87">
        <f t="shared" si="2"/>
        <v>1</v>
      </c>
      <c r="O17" s="87">
        <f t="shared" si="2"/>
        <v>1</v>
      </c>
      <c r="P17" s="87">
        <f t="shared" si="2"/>
        <v>0.99459459459459454</v>
      </c>
      <c r="Q17" s="87">
        <f t="shared" si="2"/>
        <v>0.99586776859504145</v>
      </c>
      <c r="R17" s="87">
        <f t="shared" si="2"/>
        <v>0.99024390243902438</v>
      </c>
      <c r="S17" s="87">
        <f t="shared" si="2"/>
        <v>0.9916666666666667</v>
      </c>
      <c r="T17" s="87">
        <f t="shared" si="2"/>
        <v>0.99551569506726456</v>
      </c>
      <c r="U17" s="87">
        <f t="shared" si="2"/>
        <v>0.99322033898305084</v>
      </c>
      <c r="V17" s="87">
        <f t="shared" si="2"/>
        <v>0.99595141700404866</v>
      </c>
      <c r="W17" s="87">
        <f t="shared" si="2"/>
        <v>0.98859315589353614</v>
      </c>
      <c r="X17" s="87">
        <f t="shared" si="2"/>
        <v>0.97975708502024295</v>
      </c>
      <c r="Y17" s="87">
        <f t="shared" si="2"/>
        <v>0.98170731707317094</v>
      </c>
      <c r="Z17" s="87">
        <f t="shared" si="2"/>
        <v>0.97752808988764051</v>
      </c>
      <c r="AA17" s="87">
        <f t="shared" si="2"/>
        <v>0.97752808988764051</v>
      </c>
      <c r="AB17" s="87">
        <f t="shared" si="2"/>
        <v>0.9838056680161944</v>
      </c>
      <c r="AC17" s="87">
        <f t="shared" si="2"/>
        <v>0.9779874213836478</v>
      </c>
      <c r="AD17" s="87">
        <f t="shared" si="2"/>
        <v>0.96969696969696961</v>
      </c>
      <c r="AE17" s="87">
        <f t="shared" si="2"/>
        <v>0.96938775510204078</v>
      </c>
      <c r="AF17" s="87">
        <f t="shared" si="2"/>
        <v>0.96035242290748901</v>
      </c>
      <c r="AG17" s="87">
        <f t="shared" si="2"/>
        <v>0.91843971631205668</v>
      </c>
      <c r="AH17" s="87">
        <f t="shared" si="2"/>
        <v>0.90123456790123446</v>
      </c>
      <c r="AI17" s="87">
        <f t="shared" si="2"/>
        <v>0.89010989010989017</v>
      </c>
      <c r="AJ17" s="88">
        <f>AJ14/AJ16</f>
        <v>0.90099009900990101</v>
      </c>
      <c r="AK17" s="89"/>
    </row>
    <row r="18" spans="1:38" x14ac:dyDescent="0.2">
      <c r="A18" s="86" t="s">
        <v>24</v>
      </c>
      <c r="B18" s="87"/>
      <c r="C18" s="87"/>
      <c r="D18" s="87"/>
      <c r="E18" s="90"/>
      <c r="F18" s="87">
        <f>F15/SUM(F15:I15)</f>
        <v>0.19430051813471502</v>
      </c>
      <c r="G18" s="87">
        <f>G15/SUM(F15:I15)</f>
        <v>0.22279792746113988</v>
      </c>
      <c r="H18" s="87">
        <f>H15/SUM(F15:I15)</f>
        <v>0.23575129533678754</v>
      </c>
      <c r="I18" s="90">
        <f>I15/SUM(F15:I15)</f>
        <v>0.34715025906735753</v>
      </c>
      <c r="J18" s="87">
        <f>J15/SUM(J15:M15)</f>
        <v>0.21753246753246755</v>
      </c>
      <c r="K18" s="87">
        <f>K15/SUM(J15:M15)</f>
        <v>0.24675324675324675</v>
      </c>
      <c r="L18" s="87">
        <f>L15/SUM(J15:M15)</f>
        <v>0.23051948051948054</v>
      </c>
      <c r="M18" s="90">
        <f>M15/SUM(J15:M15)</f>
        <v>0.30519480519480524</v>
      </c>
      <c r="N18" s="87">
        <f>N15/SUM(N15:Q15)</f>
        <v>0.21273885350318469</v>
      </c>
      <c r="O18" s="87">
        <f>O15/SUM(N15:Q15)</f>
        <v>0.24585987261146497</v>
      </c>
      <c r="P18" s="87">
        <f>P15/SUM(N15:Q15)</f>
        <v>0.2343949044585987</v>
      </c>
      <c r="Q18" s="90">
        <f>Q15/SUM(N15:Q15)</f>
        <v>0.30700636942675164</v>
      </c>
      <c r="R18" s="87">
        <f>R15/SUM(R15:U15)</f>
        <v>0.21234309623430964</v>
      </c>
      <c r="S18" s="87">
        <f>S15/SUM(R15:U15)</f>
        <v>0.2489539748953975</v>
      </c>
      <c r="T18" s="87">
        <f>T15/SUM(R15:U15)</f>
        <v>0.23221757322175732</v>
      </c>
      <c r="U18" s="90">
        <f>U15/SUM(R15:U15)</f>
        <v>0.30648535564853557</v>
      </c>
      <c r="V18" s="87">
        <f>V15/SUM(V15:Y15)</f>
        <v>0.22990654205607478</v>
      </c>
      <c r="W18" s="87">
        <f>W15/SUM(V15:Y15)</f>
        <v>0.24299065420560748</v>
      </c>
      <c r="X18" s="87">
        <f>X15/SUM(V15:Y15)</f>
        <v>0.22616822429906541</v>
      </c>
      <c r="Y18" s="90">
        <f>Y15/SUM(V15:Y15)</f>
        <v>0.30093457943925234</v>
      </c>
      <c r="Z18" s="87">
        <f>Z15/SUM(Z15:AC15)</f>
        <v>0.24256505576208182</v>
      </c>
      <c r="AA18" s="87">
        <f>AA15/SUM(Z15:AC15)</f>
        <v>0.24256505576208182</v>
      </c>
      <c r="AB18" s="87">
        <f>AB15/SUM(Z15:AC15)</f>
        <v>0.2258364312267658</v>
      </c>
      <c r="AC18" s="90">
        <f>AC15/SUM(Z15:AC15)</f>
        <v>0.28903345724907065</v>
      </c>
      <c r="AD18" s="87">
        <f>AD15/SUM(AD15:AG15)</f>
        <v>0.2513089005235602</v>
      </c>
      <c r="AE18" s="87">
        <f>AE15/SUM(AD15:AG15)</f>
        <v>0.12434554973821989</v>
      </c>
      <c r="AF18" s="87">
        <f>AF15/SUM(AD15:AG15)</f>
        <v>0.28534031413612565</v>
      </c>
      <c r="AG18" s="90">
        <f>AG15/SUM(AD15:AG15)</f>
        <v>0.33900523560209422</v>
      </c>
      <c r="AH18" s="87">
        <f>AH15/SUM(AH15:AI15,AJ14:AK14)</f>
        <v>0.20738636363636365</v>
      </c>
      <c r="AI18" s="87">
        <f>AI15/SUM(AH15:AI15,AJ14:AK14)</f>
        <v>0.23011363636363638</v>
      </c>
      <c r="AJ18" s="87">
        <f>AJ14/SUM(AH15:AI15,AJ14:AK14)</f>
        <v>0.25852272727272729</v>
      </c>
      <c r="AK18" s="90">
        <f>AK14/SUM(AH15:AI15,AJ14:AK14)</f>
        <v>0.30397727272727276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/>
      <c r="L19" s="12"/>
      <c r="M19" s="6"/>
      <c r="N19" s="9"/>
      <c r="O19" s="12"/>
      <c r="P19" s="12"/>
      <c r="Q19" s="6">
        <v>23.4</v>
      </c>
      <c r="R19" s="83">
        <v>19.100000000000001</v>
      </c>
      <c r="S19" s="83">
        <v>25.7</v>
      </c>
      <c r="T19" s="83">
        <v>21.3</v>
      </c>
      <c r="U19" s="83">
        <v>27.9</v>
      </c>
      <c r="V19" s="83">
        <v>23.7</v>
      </c>
      <c r="W19" s="63">
        <v>27.9</v>
      </c>
      <c r="X19" s="63">
        <v>24.1</v>
      </c>
      <c r="Y19" s="63">
        <v>32</v>
      </c>
      <c r="Z19" s="83">
        <v>26</v>
      </c>
      <c r="AA19" s="63">
        <v>26.8</v>
      </c>
      <c r="AB19" s="63">
        <v>23.9</v>
      </c>
      <c r="AC19" s="63">
        <v>30.4</v>
      </c>
      <c r="AD19" s="83">
        <v>22.7</v>
      </c>
      <c r="AE19" s="63">
        <v>4.4000000000000004</v>
      </c>
      <c r="AF19" s="63">
        <v>20.8</v>
      </c>
      <c r="AG19" s="63">
        <v>26.5</v>
      </c>
      <c r="AH19" s="83">
        <v>21.8</v>
      </c>
      <c r="AI19" s="63">
        <v>25.6</v>
      </c>
      <c r="AJ19" s="84"/>
      <c r="AK19" s="13"/>
    </row>
    <row r="20" spans="1:38" x14ac:dyDescent="0.2">
      <c r="I20" s="7"/>
      <c r="J20" s="7"/>
      <c r="K20" s="7"/>
      <c r="L20" s="7"/>
      <c r="M20" s="7"/>
      <c r="N20" s="7"/>
      <c r="O20" s="129" t="s">
        <v>7</v>
      </c>
      <c r="P20" s="130"/>
      <c r="Q20" s="7">
        <f t="shared" ref="Q20:AH20" si="3">IF(Q15&gt;Q19,1,0)</f>
        <v>1</v>
      </c>
      <c r="R20" s="7">
        <f t="shared" si="3"/>
        <v>1</v>
      </c>
      <c r="S20" s="7">
        <f t="shared" si="3"/>
        <v>0</v>
      </c>
      <c r="T20" s="7">
        <f t="shared" si="3"/>
        <v>1</v>
      </c>
      <c r="U20" s="7">
        <f t="shared" si="3"/>
        <v>1</v>
      </c>
      <c r="V20" s="7">
        <f t="shared" si="3"/>
        <v>1</v>
      </c>
      <c r="W20" s="7">
        <f t="shared" si="3"/>
        <v>0</v>
      </c>
      <c r="X20" s="7">
        <f t="shared" si="3"/>
        <v>1</v>
      </c>
      <c r="Y20" s="7">
        <f t="shared" si="3"/>
        <v>1</v>
      </c>
      <c r="Z20" s="7">
        <f t="shared" si="3"/>
        <v>1</v>
      </c>
      <c r="AA20" s="7">
        <f t="shared" si="3"/>
        <v>0</v>
      </c>
      <c r="AB20" s="7">
        <f t="shared" si="3"/>
        <v>1</v>
      </c>
      <c r="AC20" s="7">
        <f t="shared" si="3"/>
        <v>1</v>
      </c>
      <c r="AD20" s="7">
        <f t="shared" si="3"/>
        <v>0</v>
      </c>
      <c r="AE20" s="7">
        <f t="shared" si="3"/>
        <v>1</v>
      </c>
      <c r="AF20" s="7">
        <f t="shared" si="3"/>
        <v>1</v>
      </c>
      <c r="AG20" s="7">
        <f t="shared" si="3"/>
        <v>0</v>
      </c>
      <c r="AH20" s="7">
        <f t="shared" si="3"/>
        <v>1</v>
      </c>
      <c r="AI20" s="8">
        <f>IF(AI15&gt;AI19,1,0)</f>
        <v>0</v>
      </c>
      <c r="AJ20" s="45" t="s">
        <v>8</v>
      </c>
      <c r="AK20" s="42">
        <f>AVERAGE(Q20:AI20)</f>
        <v>0.68421052631578949</v>
      </c>
    </row>
    <row r="21" spans="1:38" x14ac:dyDescent="0.2">
      <c r="L21" s="6"/>
      <c r="M21" s="6"/>
      <c r="N21" s="6"/>
      <c r="O21" s="154" t="s">
        <v>9</v>
      </c>
      <c r="P21" s="155"/>
      <c r="Q21" s="6"/>
      <c r="R21" s="6"/>
      <c r="S21" s="6"/>
      <c r="T21" s="6">
        <f t="shared" ref="T21" si="4">AVERAGE(Q20:T20)</f>
        <v>0.75</v>
      </c>
      <c r="U21" s="6">
        <f t="shared" ref="U21" si="5">AVERAGE(R20:U20)</f>
        <v>0.75</v>
      </c>
      <c r="V21" s="6">
        <f t="shared" ref="V21:AI21" si="6">AVERAGE(S20:V20)</f>
        <v>0.75</v>
      </c>
      <c r="W21" s="6">
        <f t="shared" si="6"/>
        <v>0.75</v>
      </c>
      <c r="X21" s="6">
        <f t="shared" si="6"/>
        <v>0.75</v>
      </c>
      <c r="Y21" s="6">
        <f t="shared" si="6"/>
        <v>0.75</v>
      </c>
      <c r="Z21" s="6">
        <f t="shared" si="6"/>
        <v>0.75</v>
      </c>
      <c r="AA21" s="6">
        <f t="shared" si="6"/>
        <v>0.75</v>
      </c>
      <c r="AB21" s="6">
        <f t="shared" si="6"/>
        <v>0.75</v>
      </c>
      <c r="AC21" s="6">
        <f t="shared" si="6"/>
        <v>0.75</v>
      </c>
      <c r="AD21" s="6">
        <f t="shared" si="6"/>
        <v>0.5</v>
      </c>
      <c r="AE21" s="6">
        <f t="shared" si="6"/>
        <v>0.75</v>
      </c>
      <c r="AF21" s="6">
        <f t="shared" si="6"/>
        <v>0.75</v>
      </c>
      <c r="AG21" s="6">
        <f t="shared" si="6"/>
        <v>0.5</v>
      </c>
      <c r="AH21" s="6">
        <f>AVERAGE(AE20:AH20)</f>
        <v>0.75</v>
      </c>
      <c r="AI21" s="10">
        <f t="shared" si="6"/>
        <v>0.5</v>
      </c>
      <c r="AJ21" s="41" t="s">
        <v>10</v>
      </c>
      <c r="AK21" s="42">
        <f>AVERAGE(T21:AI21)</f>
        <v>0.703125</v>
      </c>
    </row>
    <row r="22" spans="1:38" x14ac:dyDescent="0.2">
      <c r="I22" s="18"/>
      <c r="J22" s="18"/>
      <c r="K22" s="18"/>
      <c r="L22" s="18"/>
      <c r="M22" s="18"/>
      <c r="N22" s="18"/>
      <c r="O22" s="114" t="s">
        <v>11</v>
      </c>
      <c r="P22" s="159"/>
      <c r="Q22" s="18">
        <f t="shared" ref="Q22:AI22" si="7">Q15/Q19-1</f>
        <v>2.991452991453003E-2</v>
      </c>
      <c r="R22" s="18">
        <f t="shared" si="7"/>
        <v>6.2827225130890119E-2</v>
      </c>
      <c r="S22" s="18">
        <f t="shared" si="7"/>
        <v>-7.3929961089494123E-2</v>
      </c>
      <c r="T22" s="18">
        <f t="shared" si="7"/>
        <v>4.2253521126760507E-2</v>
      </c>
      <c r="U22" s="18">
        <f t="shared" si="7"/>
        <v>5.017921146953408E-2</v>
      </c>
      <c r="V22" s="18">
        <f t="shared" si="7"/>
        <v>3.7974683544303778E-2</v>
      </c>
      <c r="W22" s="18">
        <f t="shared" si="7"/>
        <v>-6.8100358422939045E-2</v>
      </c>
      <c r="X22" s="18">
        <f t="shared" si="7"/>
        <v>4.1493775933609811E-3</v>
      </c>
      <c r="Y22" s="18">
        <f t="shared" si="7"/>
        <v>6.2500000000000888E-3</v>
      </c>
      <c r="Z22" s="18">
        <f t="shared" si="7"/>
        <v>3.8461538461538325E-3</v>
      </c>
      <c r="AA22" s="18">
        <f t="shared" si="7"/>
        <v>-2.6119402985074647E-2</v>
      </c>
      <c r="AB22" s="18">
        <f t="shared" si="7"/>
        <v>1.6736401673640211E-2</v>
      </c>
      <c r="AC22" s="18">
        <f t="shared" si="7"/>
        <v>2.3026315789473673E-2</v>
      </c>
      <c r="AD22" s="18">
        <f t="shared" si="7"/>
        <v>-0.1541850220264317</v>
      </c>
      <c r="AE22" s="18">
        <f t="shared" si="7"/>
        <v>1.1590909090909087</v>
      </c>
      <c r="AF22" s="18">
        <f t="shared" si="7"/>
        <v>4.8076923076923128E-2</v>
      </c>
      <c r="AG22" s="18">
        <f t="shared" si="7"/>
        <v>-2.264150943396237E-2</v>
      </c>
      <c r="AH22" s="18">
        <f t="shared" si="7"/>
        <v>4.5871559633026138E-3</v>
      </c>
      <c r="AI22" s="40">
        <f t="shared" si="7"/>
        <v>-5.078125E-2</v>
      </c>
      <c r="AJ22" s="41" t="s">
        <v>13</v>
      </c>
      <c r="AK22" s="43">
        <f>MEDIAN(Q22:AI22)</f>
        <v>6.2500000000000888E-3</v>
      </c>
    </row>
    <row r="23" spans="1:38" x14ac:dyDescent="0.2">
      <c r="L23" s="32"/>
      <c r="M23" s="32"/>
      <c r="N23" s="32"/>
      <c r="O23" s="154" t="s">
        <v>12</v>
      </c>
      <c r="P23" s="155"/>
      <c r="Q23" s="32"/>
      <c r="R23" s="32"/>
      <c r="S23" s="32"/>
      <c r="T23" s="32">
        <f t="shared" ref="T23" si="8">AVERAGE(Q22:T22)</f>
        <v>1.5266328770671633E-2</v>
      </c>
      <c r="U23" s="32">
        <f t="shared" ref="U23" si="9">AVERAGE(R22:U22)</f>
        <v>2.0332499159422646E-2</v>
      </c>
      <c r="V23" s="32">
        <f t="shared" ref="V23:AI23" si="10">AVERAGE(S22:V22)</f>
        <v>1.411936376277606E-2</v>
      </c>
      <c r="W23" s="32">
        <f t="shared" si="10"/>
        <v>1.557676442941483E-2</v>
      </c>
      <c r="X23" s="32">
        <f t="shared" si="10"/>
        <v>6.0507285460649485E-3</v>
      </c>
      <c r="Y23" s="32">
        <f t="shared" si="10"/>
        <v>-4.9315743213185492E-3</v>
      </c>
      <c r="Z23" s="32">
        <f t="shared" si="10"/>
        <v>-1.3463706745856036E-2</v>
      </c>
      <c r="AA23" s="32">
        <f t="shared" si="10"/>
        <v>-2.9684678863899361E-3</v>
      </c>
      <c r="AB23" s="32">
        <f t="shared" si="10"/>
        <v>1.782881336798714E-4</v>
      </c>
      <c r="AC23" s="32">
        <f t="shared" si="10"/>
        <v>4.3723670810482673E-3</v>
      </c>
      <c r="AD23" s="32">
        <f t="shared" si="10"/>
        <v>-3.5135426887098115E-2</v>
      </c>
      <c r="AE23" s="32">
        <f t="shared" si="10"/>
        <v>0.2611671511318977</v>
      </c>
      <c r="AF23" s="32">
        <f t="shared" si="10"/>
        <v>0.26900228148271849</v>
      </c>
      <c r="AG23" s="32">
        <f t="shared" si="10"/>
        <v>0.25758532517685939</v>
      </c>
      <c r="AH23" s="32">
        <f t="shared" si="10"/>
        <v>0.297278369674293</v>
      </c>
      <c r="AI23" s="33">
        <f t="shared" si="10"/>
        <v>-5.1896700984341571E-3</v>
      </c>
      <c r="AJ23" s="19" t="s">
        <v>14</v>
      </c>
      <c r="AK23" s="33">
        <f>MEDIAN(T23:AI23)</f>
        <v>1.0085046154420504E-2</v>
      </c>
    </row>
    <row r="24" spans="1:38" x14ac:dyDescent="0.2">
      <c r="O24" s="129" t="s">
        <v>25</v>
      </c>
      <c r="P24" s="130"/>
      <c r="Q24" s="101">
        <f>AVERAGE(Q22:R22,T22:V22,X22:Z22,AB22:AC22,AE22:AF22,AH22)</f>
        <v>0.11453172370921398</v>
      </c>
      <c r="R24" s="114" t="s">
        <v>29</v>
      </c>
      <c r="S24" s="115"/>
      <c r="T24" s="46">
        <f>MEDIAN(Q22:R22,T22:V22,X22:Z22,AB22:AC22,AE22:AF22,AH22)</f>
        <v>2.991452991453003E-2</v>
      </c>
      <c r="AF24" s="3"/>
      <c r="AG24" s="131" t="s">
        <v>23</v>
      </c>
      <c r="AH24" s="132"/>
      <c r="AI24" s="132"/>
      <c r="AJ24" s="133"/>
      <c r="AK24" s="44">
        <f>AVERAGE(AG17:AJ17)</f>
        <v>0.90269356833327052</v>
      </c>
    </row>
    <row r="25" spans="1:38" x14ac:dyDescent="0.2">
      <c r="O25" s="116" t="s">
        <v>26</v>
      </c>
      <c r="P25" s="119"/>
      <c r="Q25" s="100">
        <f>AVERAGE(S22,W22,AA22,AD22,AG22,AI22)</f>
        <v>-6.5959583992983642E-2</v>
      </c>
      <c r="R25" s="116" t="s">
        <v>30</v>
      </c>
      <c r="S25" s="117"/>
      <c r="T25" s="33">
        <f>MEDIAN(S22,W22,AA22,AD22,AG22,AI22)</f>
        <v>-5.9440804211469522E-2</v>
      </c>
      <c r="AG25" s="110" t="s">
        <v>27</v>
      </c>
      <c r="AH25" s="111"/>
      <c r="AI25" s="111"/>
      <c r="AJ25" s="111"/>
      <c r="AK25" s="46">
        <f>AVERAGE(AJ18,P18,H18)</f>
        <v>0.24288964235603783</v>
      </c>
    </row>
    <row r="26" spans="1:38" x14ac:dyDescent="0.2">
      <c r="AG26" s="112" t="s">
        <v>28</v>
      </c>
      <c r="AH26" s="113"/>
      <c r="AI26" s="113"/>
      <c r="AJ26" s="113"/>
      <c r="AK26" s="47">
        <f>_xlfn.STDEV.S(AJ18,AB18,T18,H18,L18,P18)</f>
        <v>1.1465558348500238E-2</v>
      </c>
    </row>
    <row r="29" spans="1:38" ht="18" customHeight="1" x14ac:dyDescent="0.2"/>
  </sheetData>
  <mergeCells count="28">
    <mergeCell ref="P4:Q4"/>
    <mergeCell ref="B11:E11"/>
    <mergeCell ref="O21:P21"/>
    <mergeCell ref="V11:Y11"/>
    <mergeCell ref="O24:P24"/>
    <mergeCell ref="O23:P23"/>
    <mergeCell ref="O22:P22"/>
    <mergeCell ref="F11:I11"/>
    <mergeCell ref="J11:M11"/>
    <mergeCell ref="N11:Q11"/>
    <mergeCell ref="R11:U11"/>
    <mergeCell ref="A1:C3"/>
    <mergeCell ref="K1:L1"/>
    <mergeCell ref="P1:Q1"/>
    <mergeCell ref="P2:Q2"/>
    <mergeCell ref="P3:Q3"/>
    <mergeCell ref="AG25:AJ25"/>
    <mergeCell ref="AG26:AJ26"/>
    <mergeCell ref="R24:S24"/>
    <mergeCell ref="R25:S25"/>
    <mergeCell ref="H10:I10"/>
    <mergeCell ref="AG10:AI10"/>
    <mergeCell ref="O25:P25"/>
    <mergeCell ref="Z11:AC11"/>
    <mergeCell ref="AD11:AG11"/>
    <mergeCell ref="AH11:AK11"/>
    <mergeCell ref="O20:P20"/>
    <mergeCell ref="AG24:AJ24"/>
  </mergeCells>
  <conditionalFormatting sqref="I20:N20 Q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:N21 Q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N22 Q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L23:N23 Q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I22:N22 Q22:AI22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L23:N23 Q23:AI23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topLeftCell="A4" zoomScale="85" zoomScaleNormal="85" workbookViewId="0">
      <selection activeCell="D17" sqref="D17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65" t="s">
        <v>75</v>
      </c>
      <c r="B4" s="165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173</v>
      </c>
      <c r="B6" t="s">
        <v>174</v>
      </c>
      <c r="C6" s="107" t="s">
        <v>169</v>
      </c>
      <c r="D6">
        <v>20170727</v>
      </c>
      <c r="E6">
        <v>27.239129999999999</v>
      </c>
      <c r="F6">
        <v>25.657384</v>
      </c>
      <c r="G6" s="108">
        <v>22.644805000000002</v>
      </c>
      <c r="H6">
        <v>22.486093</v>
      </c>
      <c r="I6" s="108">
        <v>22.071062999999999</v>
      </c>
      <c r="J6" s="108">
        <v>24.019694999999999</v>
      </c>
      <c r="R6">
        <v>25.7</v>
      </c>
      <c r="S6">
        <v>23.8</v>
      </c>
    </row>
    <row r="7" spans="1:21" x14ac:dyDescent="0.2">
      <c r="A7" t="s">
        <v>173</v>
      </c>
      <c r="B7" t="s">
        <v>174</v>
      </c>
      <c r="C7" s="107" t="s">
        <v>170</v>
      </c>
      <c r="D7">
        <v>20171026</v>
      </c>
      <c r="E7">
        <v>28.961711999999999</v>
      </c>
      <c r="F7">
        <v>29.25197</v>
      </c>
      <c r="G7" s="108">
        <v>25.367766</v>
      </c>
      <c r="H7">
        <v>25.909988999999999</v>
      </c>
      <c r="I7" s="108">
        <v>26.520965</v>
      </c>
      <c r="J7" s="108">
        <v>27.202480399999999</v>
      </c>
      <c r="K7" s="109">
        <v>25.305094017319899</v>
      </c>
      <c r="L7" s="109">
        <v>27.13436747877336</v>
      </c>
      <c r="M7" s="109">
        <v>26.661869280835052</v>
      </c>
      <c r="N7" s="109">
        <v>27.423961032270036</v>
      </c>
      <c r="O7" s="109">
        <v>28.598485129601599</v>
      </c>
      <c r="P7" s="109">
        <v>26.953674204439313</v>
      </c>
      <c r="Q7" s="109">
        <v>27.012908523873222</v>
      </c>
      <c r="R7">
        <v>21.3</v>
      </c>
      <c r="S7">
        <v>22.2</v>
      </c>
      <c r="T7" s="92"/>
      <c r="U7" s="91"/>
    </row>
    <row r="8" spans="1:21" x14ac:dyDescent="0.2">
      <c r="A8" t="s">
        <v>173</v>
      </c>
      <c r="B8" t="s">
        <v>174</v>
      </c>
      <c r="C8" s="107" t="s">
        <v>167</v>
      </c>
      <c r="D8">
        <v>20180222</v>
      </c>
      <c r="E8">
        <v>36.044466</v>
      </c>
      <c r="F8">
        <v>36.045426999999997</v>
      </c>
      <c r="G8" s="108">
        <v>33.117342000000001</v>
      </c>
      <c r="H8">
        <v>30.204411</v>
      </c>
      <c r="I8" s="108">
        <v>29.369976000000001</v>
      </c>
      <c r="J8" s="108">
        <v>32.9563244</v>
      </c>
      <c r="K8" s="109">
        <v>27.629138263649608</v>
      </c>
      <c r="L8" s="109">
        <v>27.355712432359251</v>
      </c>
      <c r="M8" s="109">
        <v>28.981858016192675</v>
      </c>
      <c r="N8" s="109">
        <v>25.879514043792145</v>
      </c>
      <c r="O8" s="109">
        <v>24.58483193202057</v>
      </c>
      <c r="P8" s="109">
        <v>26.895723879650333</v>
      </c>
      <c r="Q8" s="109">
        <v>26.887796427944096</v>
      </c>
      <c r="R8">
        <v>27.9</v>
      </c>
      <c r="S8">
        <v>29.3</v>
      </c>
      <c r="T8" s="92"/>
      <c r="U8" s="91"/>
    </row>
    <row r="9" spans="1:21" x14ac:dyDescent="0.2">
      <c r="A9" t="s">
        <v>173</v>
      </c>
      <c r="B9" t="s">
        <v>174</v>
      </c>
      <c r="C9" s="107" t="s">
        <v>42</v>
      </c>
      <c r="D9">
        <v>20180426</v>
      </c>
      <c r="E9">
        <v>28.027052999999999</v>
      </c>
      <c r="F9">
        <v>27.635411000000001</v>
      </c>
      <c r="G9" s="108">
        <v>21.735882</v>
      </c>
      <c r="H9">
        <v>25.410986999999999</v>
      </c>
      <c r="I9" s="108">
        <v>26.731404000000001</v>
      </c>
      <c r="J9" s="108">
        <v>25.908147400000001</v>
      </c>
      <c r="K9" s="109">
        <v>22.782766511230875</v>
      </c>
      <c r="L9" s="109">
        <v>22.463807747373895</v>
      </c>
      <c r="M9" s="109">
        <v>19.23044858491361</v>
      </c>
      <c r="N9" s="109">
        <v>24.65010554584229</v>
      </c>
      <c r="O9" s="109">
        <v>26.66771458035921</v>
      </c>
      <c r="P9" s="109">
        <v>23.033779787044455</v>
      </c>
      <c r="Q9" s="109">
        <v>23.138103792794055</v>
      </c>
      <c r="R9">
        <v>23.7</v>
      </c>
      <c r="S9">
        <v>24.400000000000002</v>
      </c>
      <c r="T9" s="9"/>
      <c r="U9" s="62"/>
    </row>
    <row r="10" spans="1:21" x14ac:dyDescent="0.2">
      <c r="A10" t="s">
        <v>173</v>
      </c>
      <c r="B10" t="s">
        <v>174</v>
      </c>
      <c r="C10" s="107" t="s">
        <v>43</v>
      </c>
      <c r="D10">
        <v>20180726</v>
      </c>
      <c r="E10">
        <v>26.330946999999998</v>
      </c>
      <c r="F10">
        <v>25.883590999999999</v>
      </c>
      <c r="G10" s="108">
        <v>23.137768000000001</v>
      </c>
      <c r="H10">
        <v>28.422758999999999</v>
      </c>
      <c r="I10" s="108">
        <v>27.081295999999998</v>
      </c>
      <c r="J10" s="108">
        <v>26.171272200000001</v>
      </c>
      <c r="K10" s="109">
        <v>22.923391438978619</v>
      </c>
      <c r="L10" s="109">
        <v>22.853274025850386</v>
      </c>
      <c r="M10" s="109">
        <v>25.973712003037193</v>
      </c>
      <c r="N10" s="109">
        <v>27.291947361194591</v>
      </c>
      <c r="O10" s="109">
        <v>24.719375847224484</v>
      </c>
      <c r="P10" s="109">
        <v>24.647807958665545</v>
      </c>
      <c r="Q10" s="109">
        <v>24.734918105825134</v>
      </c>
      <c r="R10">
        <v>27.9</v>
      </c>
      <c r="S10">
        <v>25.5</v>
      </c>
      <c r="T10" s="9"/>
      <c r="U10" s="62"/>
    </row>
    <row r="11" spans="1:21" x14ac:dyDescent="0.2">
      <c r="A11" t="s">
        <v>173</v>
      </c>
      <c r="B11" t="s">
        <v>174</v>
      </c>
      <c r="C11" s="107" t="s">
        <v>44</v>
      </c>
      <c r="D11">
        <v>20181025</v>
      </c>
      <c r="E11">
        <v>31.157758000000001</v>
      </c>
      <c r="F11">
        <v>31.880286000000002</v>
      </c>
      <c r="G11" s="108">
        <v>24.444399000000001</v>
      </c>
      <c r="H11">
        <v>29.556632</v>
      </c>
      <c r="I11" s="108">
        <v>29.078289999999999</v>
      </c>
      <c r="J11" s="108">
        <v>29.223472999999998</v>
      </c>
      <c r="K11" s="109">
        <v>30.174487419689086</v>
      </c>
      <c r="L11" s="109">
        <v>31.407824864795622</v>
      </c>
      <c r="M11" s="109">
        <v>26.940030451511142</v>
      </c>
      <c r="N11" s="109">
        <v>26.517274976718483</v>
      </c>
      <c r="O11" s="109">
        <v>27.380388109933886</v>
      </c>
      <c r="P11" s="109">
        <v>28.473914290647286</v>
      </c>
      <c r="Q11" s="109">
        <v>28.482320018882586</v>
      </c>
      <c r="R11">
        <v>24.1</v>
      </c>
      <c r="S11">
        <v>23.4</v>
      </c>
      <c r="T11" s="9"/>
      <c r="U11" s="62"/>
    </row>
    <row r="12" spans="1:21" x14ac:dyDescent="0.2">
      <c r="A12" t="s">
        <v>173</v>
      </c>
      <c r="B12" t="s">
        <v>174</v>
      </c>
      <c r="C12" s="107" t="s">
        <v>45</v>
      </c>
      <c r="D12">
        <v>20190221</v>
      </c>
      <c r="E12">
        <v>22.108336999999999</v>
      </c>
      <c r="F12">
        <v>22.836542999999999</v>
      </c>
      <c r="G12" s="108">
        <v>24.795832999999998</v>
      </c>
      <c r="H12">
        <v>23.047456</v>
      </c>
      <c r="I12" s="108">
        <v>26.267144999999999</v>
      </c>
      <c r="J12" s="108">
        <v>23.811062799999998</v>
      </c>
      <c r="K12" s="109">
        <v>16.6037327140162</v>
      </c>
      <c r="L12" s="109">
        <v>16.761929494609927</v>
      </c>
      <c r="M12" s="109">
        <v>23.736418809069509</v>
      </c>
      <c r="N12" s="109">
        <v>18.246682179485131</v>
      </c>
      <c r="O12" s="109">
        <v>21.137803942391383</v>
      </c>
      <c r="P12" s="109">
        <v>19.066141437740814</v>
      </c>
      <c r="Q12" s="109">
        <v>19.258784762885494</v>
      </c>
      <c r="R12">
        <v>32</v>
      </c>
      <c r="S12">
        <v>30.900000000000002</v>
      </c>
      <c r="T12" s="9"/>
      <c r="U12" s="62"/>
    </row>
    <row r="13" spans="1:21" x14ac:dyDescent="0.2">
      <c r="A13" t="s">
        <v>173</v>
      </c>
      <c r="B13" t="s">
        <v>174</v>
      </c>
      <c r="C13" s="107" t="s">
        <v>46</v>
      </c>
      <c r="D13">
        <v>20190502</v>
      </c>
      <c r="E13">
        <v>25.039076000000001</v>
      </c>
      <c r="F13">
        <v>25.139412</v>
      </c>
      <c r="G13" s="108">
        <v>22.573626999999998</v>
      </c>
      <c r="H13">
        <v>23.282613000000001</v>
      </c>
      <c r="I13" s="108">
        <v>22.169353999999998</v>
      </c>
      <c r="J13" s="108">
        <f>AVERAGE(E13:I13)</f>
        <v>23.640816399999999</v>
      </c>
      <c r="K13" s="109">
        <v>31.938724816796494</v>
      </c>
      <c r="L13" s="109">
        <v>30.828685156067625</v>
      </c>
      <c r="M13" s="109">
        <v>26.081936517317246</v>
      </c>
      <c r="N13" s="109">
        <v>29.06850031083691</v>
      </c>
      <c r="O13" s="109">
        <v>26.588028619021976</v>
      </c>
      <c r="P13" s="109">
        <v>28.769842334799105</v>
      </c>
      <c r="Q13" s="109">
        <v>28.879286292473225</v>
      </c>
      <c r="R13">
        <v>26</v>
      </c>
      <c r="S13">
        <v>24.9</v>
      </c>
      <c r="T13" s="9"/>
      <c r="U13" s="62"/>
    </row>
    <row r="14" spans="1:21" x14ac:dyDescent="0.2">
      <c r="A14" t="s">
        <v>173</v>
      </c>
      <c r="B14" t="s">
        <v>174</v>
      </c>
      <c r="C14" s="107" t="s">
        <v>47</v>
      </c>
      <c r="D14">
        <v>20190725</v>
      </c>
      <c r="E14">
        <v>26.907029000000001</v>
      </c>
      <c r="F14">
        <v>25.962060999999999</v>
      </c>
      <c r="G14" s="108">
        <v>25.856438000000001</v>
      </c>
      <c r="H14">
        <v>25.989232999999999</v>
      </c>
      <c r="I14" s="108">
        <v>24.639707999999999</v>
      </c>
      <c r="J14" s="108">
        <v>25.870893800000001</v>
      </c>
      <c r="K14" s="109">
        <v>29.319052072850806</v>
      </c>
      <c r="L14" s="109">
        <v>28.373416230399808</v>
      </c>
      <c r="M14" s="109">
        <v>30.761533817388784</v>
      </c>
      <c r="N14" s="109">
        <v>29.847342437576994</v>
      </c>
      <c r="O14" s="109">
        <v>27.145283034395245</v>
      </c>
      <c r="P14" s="109">
        <v>29.057148800030916</v>
      </c>
      <c r="Q14" s="109">
        <v>29.083962732107093</v>
      </c>
      <c r="R14">
        <v>26.8</v>
      </c>
      <c r="S14">
        <v>24.8</v>
      </c>
      <c r="T14" s="9"/>
      <c r="U14" s="62"/>
    </row>
    <row r="15" spans="1:21" x14ac:dyDescent="0.2">
      <c r="A15" t="s">
        <v>173</v>
      </c>
      <c r="B15" t="s">
        <v>174</v>
      </c>
      <c r="C15" s="107" t="s">
        <v>48</v>
      </c>
      <c r="D15">
        <v>20191024</v>
      </c>
      <c r="E15">
        <v>24.349148</v>
      </c>
      <c r="F15">
        <v>24.685551</v>
      </c>
      <c r="G15" s="108">
        <v>22.568064</v>
      </c>
      <c r="H15">
        <v>23.032036999999999</v>
      </c>
      <c r="I15" s="108">
        <v>21.880547</v>
      </c>
      <c r="J15" s="108">
        <v>23.303069400000005</v>
      </c>
      <c r="K15" s="109">
        <v>22.442420915367503</v>
      </c>
      <c r="L15" s="109">
        <v>23.580626545789261</v>
      </c>
      <c r="M15" s="109">
        <v>21.645981832455032</v>
      </c>
      <c r="N15" s="109">
        <v>21.978121385883146</v>
      </c>
      <c r="O15" s="109">
        <v>22.022889459566649</v>
      </c>
      <c r="P15" s="109">
        <v>22.338467529869423</v>
      </c>
      <c r="Q15" s="109">
        <v>22.334751278155171</v>
      </c>
      <c r="R15">
        <v>23.9</v>
      </c>
      <c r="S15">
        <v>22.9</v>
      </c>
      <c r="T15" s="9"/>
      <c r="U15" s="62"/>
    </row>
    <row r="16" spans="1:21" x14ac:dyDescent="0.2">
      <c r="A16" t="s">
        <v>173</v>
      </c>
      <c r="B16" t="s">
        <v>174</v>
      </c>
      <c r="C16" s="107" t="s">
        <v>49</v>
      </c>
      <c r="D16">
        <v>20200213</v>
      </c>
      <c r="E16">
        <v>30.168353</v>
      </c>
      <c r="F16">
        <v>29.287072999999999</v>
      </c>
      <c r="G16" s="108">
        <v>31.39359</v>
      </c>
      <c r="H16">
        <v>31.589444</v>
      </c>
      <c r="I16" s="108">
        <v>23.465413000000002</v>
      </c>
      <c r="J16" s="108">
        <v>29.180774599999999</v>
      </c>
      <c r="K16" s="109">
        <v>28.372872993338408</v>
      </c>
      <c r="L16" s="109">
        <v>27.168685507566749</v>
      </c>
      <c r="M16" s="109">
        <v>31.855333758358714</v>
      </c>
      <c r="N16" s="109">
        <v>31.408349491623344</v>
      </c>
      <c r="O16" s="109">
        <v>24.558707682216539</v>
      </c>
      <c r="P16" s="109">
        <v>28.676039489458834</v>
      </c>
      <c r="Q16" s="109">
        <v>28.673331487093765</v>
      </c>
      <c r="R16">
        <v>30.4</v>
      </c>
      <c r="S16">
        <v>29.5</v>
      </c>
      <c r="T16" s="9"/>
      <c r="U16" s="62"/>
    </row>
    <row r="17" spans="1:21" x14ac:dyDescent="0.2">
      <c r="A17" t="s">
        <v>173</v>
      </c>
      <c r="B17" t="s">
        <v>174</v>
      </c>
      <c r="C17" s="107" t="s">
        <v>50</v>
      </c>
      <c r="D17">
        <v>20200507</v>
      </c>
      <c r="E17">
        <v>26.096139999999998</v>
      </c>
      <c r="F17">
        <v>26.174094</v>
      </c>
      <c r="G17" s="108">
        <v>19.948632</v>
      </c>
      <c r="H17">
        <v>24.185568</v>
      </c>
      <c r="I17" s="108">
        <v>20.283439999999999</v>
      </c>
      <c r="J17" s="108">
        <v>22.009349799999999</v>
      </c>
      <c r="K17" s="109">
        <v>22.507223579623322</v>
      </c>
      <c r="L17" s="109">
        <v>23.907484984928331</v>
      </c>
      <c r="M17" s="109">
        <v>17.913538098063967</v>
      </c>
      <c r="N17" s="109">
        <v>22.44481588533182</v>
      </c>
      <c r="O17" s="109">
        <v>25.390707868640536</v>
      </c>
      <c r="P17" s="109">
        <v>22.250122829158894</v>
      </c>
      <c r="Q17" s="109">
        <v>22.402315540957812</v>
      </c>
      <c r="R17">
        <v>22.7</v>
      </c>
      <c r="S17">
        <v>18.5</v>
      </c>
      <c r="T17" s="9"/>
      <c r="U17" s="62"/>
    </row>
    <row r="18" spans="1:21" x14ac:dyDescent="0.2">
      <c r="A18" t="s">
        <v>173</v>
      </c>
      <c r="B18" t="s">
        <v>174</v>
      </c>
      <c r="C18" s="107" t="s">
        <v>51</v>
      </c>
      <c r="D18">
        <v>20200730</v>
      </c>
      <c r="E18">
        <v>15.028757000000001</v>
      </c>
      <c r="F18">
        <v>14.949403</v>
      </c>
      <c r="G18" s="108">
        <v>7.7282479999999998</v>
      </c>
      <c r="H18">
        <v>13.913378</v>
      </c>
      <c r="I18" s="108">
        <v>11.723708</v>
      </c>
      <c r="J18" s="108">
        <v>12.668698800000001</v>
      </c>
      <c r="K18" s="109">
        <v>12.079342084432009</v>
      </c>
      <c r="L18" s="109">
        <v>11.652194694198306</v>
      </c>
      <c r="M18" s="109">
        <v>7.4998476399722831</v>
      </c>
      <c r="N18" s="109">
        <v>10.709477909531158</v>
      </c>
      <c r="O18" s="109">
        <v>10.738799311393375</v>
      </c>
      <c r="P18" s="109">
        <v>10.648698390899309</v>
      </c>
      <c r="Q18" s="109">
        <v>10.55472667173774</v>
      </c>
      <c r="R18">
        <v>4.4000000000000004</v>
      </c>
      <c r="S18">
        <v>9.1999999999999993</v>
      </c>
      <c r="T18" s="9"/>
      <c r="U18" s="62"/>
    </row>
    <row r="19" spans="1:21" x14ac:dyDescent="0.2">
      <c r="A19" t="s">
        <v>173</v>
      </c>
      <c r="B19" t="s">
        <v>174</v>
      </c>
      <c r="C19" s="107" t="s">
        <v>52</v>
      </c>
      <c r="D19">
        <v>20201022</v>
      </c>
      <c r="E19">
        <v>11.773213</v>
      </c>
      <c r="F19">
        <v>13.423973</v>
      </c>
      <c r="G19" s="108">
        <v>17.415381</v>
      </c>
      <c r="H19">
        <v>10.858775</v>
      </c>
      <c r="I19" s="108">
        <v>10.515601</v>
      </c>
      <c r="J19" s="108">
        <v>12.7973886</v>
      </c>
      <c r="K19" s="109">
        <v>7.207087026558483</v>
      </c>
      <c r="L19" s="109">
        <v>8.2612363584017352</v>
      </c>
      <c r="M19" s="109">
        <v>20.73193111815252</v>
      </c>
      <c r="N19" s="109">
        <v>7.1801923300006649</v>
      </c>
      <c r="O19" s="109">
        <v>8.2519565652778102</v>
      </c>
      <c r="P19" s="109">
        <v>9.2934544406407369</v>
      </c>
      <c r="Q19" s="109">
        <v>10.154309639838658</v>
      </c>
      <c r="R19">
        <v>20.8</v>
      </c>
      <c r="S19">
        <v>20.100000000000001</v>
      </c>
      <c r="T19" s="9"/>
      <c r="U19" s="62"/>
    </row>
    <row r="20" spans="1:21" x14ac:dyDescent="0.2">
      <c r="A20" t="s">
        <v>173</v>
      </c>
      <c r="B20" t="s">
        <v>174</v>
      </c>
      <c r="C20" s="107" t="s">
        <v>53</v>
      </c>
      <c r="D20">
        <v>20210304</v>
      </c>
      <c r="E20">
        <v>14.455401999999999</v>
      </c>
      <c r="F20">
        <v>14.656021000000001</v>
      </c>
      <c r="G20" s="108">
        <v>21.519392</v>
      </c>
      <c r="H20">
        <v>15.922311000000001</v>
      </c>
      <c r="I20" s="108">
        <v>13.431556</v>
      </c>
      <c r="J20" s="108">
        <v>15.996936399999999</v>
      </c>
      <c r="K20" s="109">
        <v>24.679208657823484</v>
      </c>
      <c r="L20" s="109">
        <v>21.944771648453109</v>
      </c>
      <c r="M20" s="109">
        <v>24.836653254958939</v>
      </c>
      <c r="N20" s="109">
        <v>29.472795144940385</v>
      </c>
      <c r="O20" s="109">
        <v>25.673689558970526</v>
      </c>
      <c r="P20" s="109">
        <v>25.125315147498142</v>
      </c>
      <c r="Q20" s="109">
        <v>25.288738902107429</v>
      </c>
      <c r="R20">
        <v>26.5</v>
      </c>
      <c r="S20">
        <v>23.299999999999997</v>
      </c>
    </row>
    <row r="21" spans="1:21" x14ac:dyDescent="0.2">
      <c r="A21" t="s">
        <v>173</v>
      </c>
      <c r="B21" t="s">
        <v>174</v>
      </c>
      <c r="C21" s="107" t="s">
        <v>54</v>
      </c>
      <c r="D21">
        <v>20210506</v>
      </c>
      <c r="E21">
        <v>16.889357</v>
      </c>
      <c r="F21">
        <v>15.878724999999999</v>
      </c>
      <c r="G21" s="108">
        <v>17.992315000000001</v>
      </c>
      <c r="H21">
        <v>15.876201999999999</v>
      </c>
      <c r="I21" s="108">
        <v>13.447100000000001</v>
      </c>
      <c r="J21" s="108">
        <v>16.0167398</v>
      </c>
      <c r="K21" s="109">
        <v>27.223180517567066</v>
      </c>
      <c r="L21" s="109">
        <v>25.243842957102743</v>
      </c>
      <c r="M21" s="109">
        <v>19.481077323188313</v>
      </c>
      <c r="N21" s="109">
        <v>23.232526145231049</v>
      </c>
      <c r="O21" s="109">
        <v>23.326964500613329</v>
      </c>
      <c r="P21" s="109">
        <v>23.328844224197823</v>
      </c>
      <c r="Q21" s="109">
        <v>23.639405944650054</v>
      </c>
      <c r="R21">
        <v>21.8</v>
      </c>
      <c r="S21">
        <v>19.5</v>
      </c>
    </row>
    <row r="22" spans="1:21" x14ac:dyDescent="0.2">
      <c r="A22" t="s">
        <v>173</v>
      </c>
      <c r="B22" t="s">
        <v>174</v>
      </c>
      <c r="C22" s="107" t="s">
        <v>55</v>
      </c>
      <c r="D22">
        <v>20210729</v>
      </c>
      <c r="E22">
        <v>23.377983</v>
      </c>
      <c r="F22">
        <v>20.653054999999998</v>
      </c>
      <c r="G22" s="108">
        <v>21.312121000000001</v>
      </c>
      <c r="H22">
        <v>23.790317999999999</v>
      </c>
      <c r="I22" s="108">
        <v>17.144687999999999</v>
      </c>
      <c r="J22" s="108">
        <v>21.255633</v>
      </c>
      <c r="K22" s="109">
        <v>26.991594084961317</v>
      </c>
      <c r="L22" s="109">
        <v>25.363155574518732</v>
      </c>
      <c r="M22" s="109">
        <v>23.097992642970066</v>
      </c>
      <c r="N22" s="109">
        <v>29.22054034081955</v>
      </c>
      <c r="O22" s="109">
        <v>24.8619714287839</v>
      </c>
      <c r="P22" s="109">
        <v>25.878227946239097</v>
      </c>
      <c r="Q22" s="109">
        <v>25.902247003048775</v>
      </c>
      <c r="R22">
        <v>25.6</v>
      </c>
      <c r="S22">
        <v>21.6</v>
      </c>
    </row>
    <row r="23" spans="1:21" x14ac:dyDescent="0.2">
      <c r="A23" t="s">
        <v>173</v>
      </c>
      <c r="B23" t="s">
        <v>174</v>
      </c>
      <c r="C23" t="s">
        <v>71</v>
      </c>
      <c r="D23">
        <v>20211028</v>
      </c>
      <c r="E23">
        <v>26.979754</v>
      </c>
      <c r="F23">
        <v>24.009733000000001</v>
      </c>
      <c r="G23">
        <v>20.014593000000001</v>
      </c>
      <c r="H23">
        <v>25.347875999999999</v>
      </c>
      <c r="I23">
        <v>19.074271</v>
      </c>
      <c r="J23">
        <f>AVERAGE(E23:I23)</f>
        <v>23.085245399999998</v>
      </c>
      <c r="K23">
        <f>(E23/E22)*$S22</f>
        <v>24.927842851113375</v>
      </c>
      <c r="L23">
        <f t="shared" ref="L23:P23" si="0">(F23/F22)*$S22</f>
        <v>25.110582080956064</v>
      </c>
      <c r="M23">
        <f t="shared" si="0"/>
        <v>20.284945304129987</v>
      </c>
      <c r="N23">
        <f t="shared" si="0"/>
        <v>23.014157339132666</v>
      </c>
      <c r="O23">
        <f t="shared" si="0"/>
        <v>24.031014947603602</v>
      </c>
      <c r="P23">
        <f t="shared" si="0"/>
        <v>23.459254336956231</v>
      </c>
      <c r="Q23">
        <f>AVERAGE(K23:P23)</f>
        <v>23.471299476648653</v>
      </c>
      <c r="R23" s="6">
        <f>'1. Data &amp; Confidence Interval'!AJ14</f>
        <v>27.3</v>
      </c>
      <c r="S23" s="10"/>
    </row>
    <row r="24" spans="1:21" x14ac:dyDescent="0.2">
      <c r="A24" s="163" t="s">
        <v>171</v>
      </c>
      <c r="B24" s="164"/>
      <c r="C24" s="164"/>
      <c r="D24" s="164"/>
      <c r="E24" s="103">
        <f t="shared" ref="E24:Q24" si="1">CORREL(E6:E22,$S6:$S22)</f>
        <v>0.56655623278897749</v>
      </c>
      <c r="F24" s="103">
        <f t="shared" si="1"/>
        <v>0.57733314493011523</v>
      </c>
      <c r="G24" s="104">
        <f t="shared" si="1"/>
        <v>0.89545114127204228</v>
      </c>
      <c r="H24" s="103">
        <f t="shared" si="1"/>
        <v>0.64411670882548477</v>
      </c>
      <c r="I24" s="103">
        <f t="shared" si="1"/>
        <v>0.67839926225618163</v>
      </c>
      <c r="J24" s="104">
        <f t="shared" si="1"/>
        <v>0.71622697373152699</v>
      </c>
      <c r="K24" s="103">
        <f t="shared" si="1"/>
        <v>0.42958932540144745</v>
      </c>
      <c r="L24" s="103">
        <f t="shared" si="1"/>
        <v>0.43214432132625552</v>
      </c>
      <c r="M24" s="103">
        <f t="shared" si="1"/>
        <v>0.8320520586894864</v>
      </c>
      <c r="N24" s="103">
        <f t="shared" si="1"/>
        <v>0.52890856724043145</v>
      </c>
      <c r="O24" s="103">
        <f t="shared" si="1"/>
        <v>0.51099022205060685</v>
      </c>
      <c r="P24" s="103">
        <f t="shared" si="1"/>
        <v>0.57596934183671611</v>
      </c>
      <c r="Q24" s="103">
        <f t="shared" si="1"/>
        <v>0.58476824130837857</v>
      </c>
      <c r="R24" s="104">
        <f>CORREL(R6:R22,$S6:$S22)</f>
        <v>0.93652863079782511</v>
      </c>
      <c r="S24" s="5"/>
    </row>
    <row r="26" spans="1:21" x14ac:dyDescent="0.2">
      <c r="A26" s="166" t="s">
        <v>76</v>
      </c>
      <c r="B26" s="167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9" si="2">A6</f>
        <v>XENT</v>
      </c>
      <c r="B28" s="9" t="str">
        <f t="shared" si="2"/>
        <v>U.S. SALES</v>
      </c>
      <c r="C28" s="9" t="str">
        <f t="shared" si="2"/>
        <v>2017Q2</v>
      </c>
      <c r="D28" s="9">
        <f t="shared" si="2"/>
        <v>20170727</v>
      </c>
      <c r="E28" s="18">
        <f t="shared" ref="E28:E38" si="3">$S6/E6-1</f>
        <v>-0.12625696929380636</v>
      </c>
      <c r="F28" s="18">
        <f t="shared" ref="E28:R39" si="4">$S6/F6-1</f>
        <v>-7.2391791774251035E-2</v>
      </c>
      <c r="G28" s="18">
        <f>$S6/G6-1</f>
        <v>5.101368724526445E-2</v>
      </c>
      <c r="H28" s="18">
        <f t="shared" si="4"/>
        <v>5.8431982826007145E-2</v>
      </c>
      <c r="I28" s="18">
        <f t="shared" si="4"/>
        <v>7.8335012681536975E-2</v>
      </c>
      <c r="J28" s="18">
        <f t="shared" si="4"/>
        <v>-9.1464525257293205E-3</v>
      </c>
      <c r="K28" s="18"/>
      <c r="L28" s="18"/>
      <c r="M28" s="18"/>
      <c r="N28" s="18"/>
      <c r="O28" s="18"/>
      <c r="P28" s="18"/>
      <c r="Q28" s="18"/>
      <c r="R28" s="40">
        <f t="shared" si="4"/>
        <v>-7.3929961089494123E-2</v>
      </c>
    </row>
    <row r="29" spans="1:21" x14ac:dyDescent="0.2">
      <c r="A29" s="9" t="str">
        <f t="shared" si="2"/>
        <v>XENT</v>
      </c>
      <c r="B29" s="9" t="str">
        <f t="shared" si="2"/>
        <v>U.S. SALES</v>
      </c>
      <c r="C29" s="9" t="str">
        <f t="shared" si="2"/>
        <v>2017Q3</v>
      </c>
      <c r="D29" s="9">
        <f t="shared" si="2"/>
        <v>20171026</v>
      </c>
      <c r="E29" s="18">
        <f t="shared" si="3"/>
        <v>-0.23347072852599315</v>
      </c>
      <c r="F29" s="18">
        <f t="shared" si="4"/>
        <v>-0.24107675483052937</v>
      </c>
      <c r="G29" s="18">
        <f t="shared" si="4"/>
        <v>-0.12487366841841729</v>
      </c>
      <c r="H29" s="18">
        <f t="shared" si="4"/>
        <v>-0.14318759456053798</v>
      </c>
      <c r="I29" s="18">
        <f t="shared" si="4"/>
        <v>-0.16292638672838644</v>
      </c>
      <c r="J29" s="18">
        <f t="shared" si="4"/>
        <v>-0.18389795071775883</v>
      </c>
      <c r="K29" s="18">
        <f t="shared" si="4"/>
        <v>-0.12270628258463057</v>
      </c>
      <c r="L29" s="18">
        <f t="shared" si="4"/>
        <v>-0.1818493643765019</v>
      </c>
      <c r="M29" s="18">
        <f t="shared" si="4"/>
        <v>-0.1673502046625932</v>
      </c>
      <c r="N29" s="18">
        <f t="shared" si="4"/>
        <v>-0.19048893141741818</v>
      </c>
      <c r="O29" s="18">
        <f t="shared" si="4"/>
        <v>-0.22373510696825971</v>
      </c>
      <c r="P29" s="18">
        <f t="shared" si="4"/>
        <v>-0.17636460871284021</v>
      </c>
      <c r="Q29" s="18">
        <f t="shared" si="4"/>
        <v>-0.17817068901039346</v>
      </c>
      <c r="R29" s="40">
        <f t="shared" si="4"/>
        <v>4.2253521126760507E-2</v>
      </c>
    </row>
    <row r="30" spans="1:21" x14ac:dyDescent="0.2">
      <c r="A30" s="9" t="str">
        <f t="shared" ref="A30:D30" si="5">A8</f>
        <v>XENT</v>
      </c>
      <c r="B30" s="9" t="str">
        <f t="shared" si="5"/>
        <v>U.S. SALES</v>
      </c>
      <c r="C30" s="9" t="str">
        <f t="shared" si="5"/>
        <v>2017Q4</v>
      </c>
      <c r="D30" s="9">
        <f t="shared" si="5"/>
        <v>20180222</v>
      </c>
      <c r="E30" s="18">
        <f t="shared" si="3"/>
        <v>-0.18711515937009582</v>
      </c>
      <c r="F30" s="18">
        <f t="shared" si="4"/>
        <v>-0.18713683153205529</v>
      </c>
      <c r="G30" s="18">
        <f t="shared" si="4"/>
        <v>-0.11526716123534309</v>
      </c>
      <c r="H30" s="18">
        <f t="shared" si="4"/>
        <v>-2.9943010641723777E-2</v>
      </c>
      <c r="I30" s="18">
        <f t="shared" si="4"/>
        <v>-2.3825691924297399E-3</v>
      </c>
      <c r="J30" s="18">
        <f t="shared" si="4"/>
        <v>-0.11094454453179248</v>
      </c>
      <c r="K30" s="18">
        <f t="shared" si="4"/>
        <v>6.0474623580593967E-2</v>
      </c>
      <c r="L30" s="18">
        <f t="shared" si="4"/>
        <v>7.1074280095912989E-2</v>
      </c>
      <c r="M30" s="18">
        <f t="shared" si="4"/>
        <v>1.0977280463853489E-2</v>
      </c>
      <c r="N30" s="18">
        <f t="shared" si="4"/>
        <v>0.13216963620027267</v>
      </c>
      <c r="O30" s="18">
        <f t="shared" si="4"/>
        <v>0.19179175521790537</v>
      </c>
      <c r="P30" s="18">
        <f t="shared" si="4"/>
        <v>8.9392504589503652E-2</v>
      </c>
      <c r="Q30" s="18">
        <f t="shared" si="4"/>
        <v>8.9713695152382922E-2</v>
      </c>
      <c r="R30" s="40">
        <f t="shared" si="4"/>
        <v>5.017921146953408E-2</v>
      </c>
    </row>
    <row r="31" spans="1:21" x14ac:dyDescent="0.2">
      <c r="A31" s="9" t="str">
        <f>A9</f>
        <v>XENT</v>
      </c>
      <c r="B31" s="9" t="str">
        <f t="shared" ref="B31:D31" si="6">B9</f>
        <v>U.S. SALES</v>
      </c>
      <c r="C31" s="9" t="str">
        <f t="shared" si="6"/>
        <v>2018Q1</v>
      </c>
      <c r="D31" s="9">
        <f t="shared" si="6"/>
        <v>20180426</v>
      </c>
      <c r="E31" s="18">
        <f t="shared" si="3"/>
        <v>-0.12941257148941054</v>
      </c>
      <c r="F31" s="18">
        <f t="shared" ref="F31:J31" si="7">$S9/F9-1</f>
        <v>-0.11707482837870586</v>
      </c>
      <c r="G31" s="18">
        <f t="shared" si="7"/>
        <v>0.12256774305270901</v>
      </c>
      <c r="H31" s="18">
        <f t="shared" si="7"/>
        <v>-3.9785428248025001E-2</v>
      </c>
      <c r="I31" s="18">
        <f t="shared" si="7"/>
        <v>-8.7215920271153657E-2</v>
      </c>
      <c r="J31" s="18">
        <f t="shared" si="7"/>
        <v>-5.8211317726253098E-2</v>
      </c>
      <c r="K31" s="18">
        <f t="shared" ref="K31:Q31" si="8">$S9/K9-1</f>
        <v>7.0984947678408794E-2</v>
      </c>
      <c r="L31" s="18">
        <f t="shared" si="8"/>
        <v>8.6191632086615177E-2</v>
      </c>
      <c r="M31" s="18">
        <f t="shared" si="8"/>
        <v>0.26882115579674681</v>
      </c>
      <c r="N31" s="18">
        <f t="shared" si="8"/>
        <v>-1.0146226164312488E-2</v>
      </c>
      <c r="O31" s="18">
        <f t="shared" si="8"/>
        <v>-8.5035955125655205E-2</v>
      </c>
      <c r="P31" s="18">
        <f t="shared" si="8"/>
        <v>5.9313765503827165E-2</v>
      </c>
      <c r="Q31" s="18">
        <f t="shared" si="8"/>
        <v>5.4537580888497139E-2</v>
      </c>
      <c r="R31" s="40">
        <f>$S9/R9-1</f>
        <v>2.9535864978903037E-2</v>
      </c>
    </row>
    <row r="32" spans="1:21" x14ac:dyDescent="0.2">
      <c r="A32" s="9" t="str">
        <f t="shared" ref="A32:D32" si="9">A10</f>
        <v>XENT</v>
      </c>
      <c r="B32" s="9" t="str">
        <f t="shared" si="9"/>
        <v>U.S. SALES</v>
      </c>
      <c r="C32" s="9" t="str">
        <f t="shared" si="9"/>
        <v>2018Q2</v>
      </c>
      <c r="D32" s="9">
        <f t="shared" si="9"/>
        <v>20180726</v>
      </c>
      <c r="E32" s="18">
        <f t="shared" si="3"/>
        <v>-3.155780914374251E-2</v>
      </c>
      <c r="F32" s="18">
        <f t="shared" ref="F32:J32" si="10">$S10/F10-1</f>
        <v>-1.4819852469466044E-2</v>
      </c>
      <c r="G32" s="18">
        <f t="shared" si="10"/>
        <v>0.1020942037278616</v>
      </c>
      <c r="H32" s="18">
        <f t="shared" si="10"/>
        <v>-0.10283164276909218</v>
      </c>
      <c r="I32" s="18">
        <f t="shared" si="10"/>
        <v>-5.8390706264574543E-2</v>
      </c>
      <c r="J32" s="18">
        <f t="shared" si="10"/>
        <v>-2.5649200194402533E-2</v>
      </c>
      <c r="K32" s="18">
        <f t="shared" ref="K32:Q32" si="11">$S10/K10-1</f>
        <v>0.11240084469526401</v>
      </c>
      <c r="L32" s="18">
        <f t="shared" si="11"/>
        <v>0.11581386418225148</v>
      </c>
      <c r="M32" s="18">
        <f t="shared" si="11"/>
        <v>-1.8238132577345856E-2</v>
      </c>
      <c r="N32" s="18">
        <f t="shared" si="11"/>
        <v>-6.5658464655493742E-2</v>
      </c>
      <c r="O32" s="18">
        <f t="shared" si="11"/>
        <v>3.157944430312809E-2</v>
      </c>
      <c r="P32" s="18">
        <f t="shared" si="11"/>
        <v>3.4574759863578164E-2</v>
      </c>
      <c r="Q32" s="18">
        <f t="shared" si="11"/>
        <v>3.0931248322778382E-2</v>
      </c>
      <c r="R32" s="40">
        <f t="shared" ref="R32:R39" si="12">$S10/R10-1</f>
        <v>-8.602150537634401E-2</v>
      </c>
    </row>
    <row r="33" spans="1:18" x14ac:dyDescent="0.2">
      <c r="A33" s="9" t="str">
        <f t="shared" ref="A33:D33" si="13">A11</f>
        <v>XENT</v>
      </c>
      <c r="B33" s="9" t="str">
        <f t="shared" si="13"/>
        <v>U.S. SALES</v>
      </c>
      <c r="C33" s="9" t="str">
        <f t="shared" si="13"/>
        <v>2018Q3</v>
      </c>
      <c r="D33" s="9">
        <f t="shared" si="13"/>
        <v>20181025</v>
      </c>
      <c r="E33" s="18">
        <f t="shared" si="3"/>
        <v>-0.24898319063906982</v>
      </c>
      <c r="F33" s="18">
        <f t="shared" ref="F33:J33" si="14">$S11/F11-1</f>
        <v>-0.26600407537121851</v>
      </c>
      <c r="G33" s="18">
        <f t="shared" si="14"/>
        <v>-4.2725493066939513E-2</v>
      </c>
      <c r="H33" s="18">
        <f t="shared" si="14"/>
        <v>-0.20829951125689838</v>
      </c>
      <c r="I33" s="18">
        <f t="shared" si="14"/>
        <v>-0.19527592578518205</v>
      </c>
      <c r="J33" s="18">
        <f t="shared" si="14"/>
        <v>-0.19927381663363553</v>
      </c>
      <c r="K33" s="18">
        <f t="shared" ref="K33:Q33" si="15">$S11/K11-1</f>
        <v>-0.22451043908267621</v>
      </c>
      <c r="L33" s="18">
        <f t="shared" si="15"/>
        <v>-0.25496273298987437</v>
      </c>
      <c r="M33" s="18">
        <f t="shared" si="15"/>
        <v>-0.13140409985366486</v>
      </c>
      <c r="N33" s="18">
        <f t="shared" si="15"/>
        <v>-0.11755638463814155</v>
      </c>
      <c r="O33" s="18">
        <f t="shared" si="15"/>
        <v>-0.14537369207304118</v>
      </c>
      <c r="P33" s="18">
        <f t="shared" si="15"/>
        <v>-0.17819518029222614</v>
      </c>
      <c r="Q33" s="18">
        <f t="shared" si="15"/>
        <v>-0.17843771207939596</v>
      </c>
      <c r="R33" s="40">
        <f t="shared" si="12"/>
        <v>-2.904564315352709E-2</v>
      </c>
    </row>
    <row r="34" spans="1:18" x14ac:dyDescent="0.2">
      <c r="A34" s="9" t="str">
        <f t="shared" ref="A34:D34" si="16">A12</f>
        <v>XENT</v>
      </c>
      <c r="B34" s="9" t="str">
        <f t="shared" si="16"/>
        <v>U.S. SALES</v>
      </c>
      <c r="C34" s="9" t="str">
        <f t="shared" si="16"/>
        <v>2018Q4</v>
      </c>
      <c r="D34" s="9">
        <f t="shared" si="16"/>
        <v>20190221</v>
      </c>
      <c r="E34" s="18">
        <f t="shared" si="3"/>
        <v>0.39766279119049086</v>
      </c>
      <c r="F34" s="18">
        <f t="shared" ref="F34:J34" si="17">$S12/F12-1</f>
        <v>0.35309446793238375</v>
      </c>
      <c r="G34" s="18">
        <f t="shared" si="17"/>
        <v>0.24617712984274442</v>
      </c>
      <c r="H34" s="18">
        <f t="shared" si="17"/>
        <v>0.34071196404496895</v>
      </c>
      <c r="I34" s="18">
        <f t="shared" si="17"/>
        <v>0.17637451653006075</v>
      </c>
      <c r="J34" s="18">
        <f t="shared" si="17"/>
        <v>0.29771611874460313</v>
      </c>
      <c r="K34" s="18">
        <f t="shared" ref="K34:Q34" si="18">$S12/K12-1</f>
        <v>0.86102730826999352</v>
      </c>
      <c r="L34" s="18">
        <f t="shared" si="18"/>
        <v>0.84346318900436867</v>
      </c>
      <c r="M34" s="18">
        <f t="shared" si="18"/>
        <v>0.30179705070730134</v>
      </c>
      <c r="N34" s="18">
        <f t="shared" si="18"/>
        <v>0.69345855296044356</v>
      </c>
      <c r="O34" s="18">
        <f t="shared" si="18"/>
        <v>0.46183586924234632</v>
      </c>
      <c r="P34" s="18">
        <f t="shared" si="18"/>
        <v>0.62067401529050059</v>
      </c>
      <c r="Q34" s="18">
        <f t="shared" si="18"/>
        <v>0.60446260656844975</v>
      </c>
      <c r="R34" s="40">
        <f t="shared" si="12"/>
        <v>-3.4374999999999933E-2</v>
      </c>
    </row>
    <row r="35" spans="1:18" x14ac:dyDescent="0.2">
      <c r="A35" s="9" t="str">
        <f t="shared" ref="A35:D35" si="19">A13</f>
        <v>XENT</v>
      </c>
      <c r="B35" s="9" t="str">
        <f t="shared" si="19"/>
        <v>U.S. SALES</v>
      </c>
      <c r="C35" s="9" t="str">
        <f t="shared" si="19"/>
        <v>2019Q1</v>
      </c>
      <c r="D35" s="9">
        <f t="shared" si="19"/>
        <v>20190502</v>
      </c>
      <c r="E35" s="18">
        <f t="shared" si="3"/>
        <v>-5.5543583157782184E-3</v>
      </c>
      <c r="F35" s="18">
        <f t="shared" ref="F35:J35" si="20">$S13/F13-1</f>
        <v>-9.5233731003733224E-3</v>
      </c>
      <c r="G35" s="18">
        <f t="shared" si="20"/>
        <v>0.10305712059475414</v>
      </c>
      <c r="H35" s="18">
        <f t="shared" si="20"/>
        <v>6.9467589398148677E-2</v>
      </c>
      <c r="I35" s="18">
        <f t="shared" si="20"/>
        <v>0.12317210505998499</v>
      </c>
      <c r="J35" s="18">
        <f t="shared" si="20"/>
        <v>5.3263118273698895E-2</v>
      </c>
      <c r="K35" s="18">
        <f t="shared" ref="K35:Q35" si="21">$S13/K13-1</f>
        <v>-0.2203821491675475</v>
      </c>
      <c r="L35" s="18">
        <f t="shared" si="21"/>
        <v>-0.19231067189710349</v>
      </c>
      <c r="M35" s="18">
        <f t="shared" si="21"/>
        <v>-4.5316286868979039E-2</v>
      </c>
      <c r="N35" s="18">
        <f t="shared" si="21"/>
        <v>-0.14340266151545733</v>
      </c>
      <c r="O35" s="18">
        <f t="shared" si="21"/>
        <v>-6.3488295548708162E-2</v>
      </c>
      <c r="P35" s="18">
        <f t="shared" si="21"/>
        <v>-0.13451037686495293</v>
      </c>
      <c r="Q35" s="18">
        <f t="shared" si="21"/>
        <v>-0.13779032667820268</v>
      </c>
      <c r="R35" s="40">
        <f t="shared" si="12"/>
        <v>-4.2307692307692379E-2</v>
      </c>
    </row>
    <row r="36" spans="1:18" x14ac:dyDescent="0.2">
      <c r="A36" s="9" t="str">
        <f t="shared" ref="A36:D36" si="22">A14</f>
        <v>XENT</v>
      </c>
      <c r="B36" s="9" t="str">
        <f t="shared" si="22"/>
        <v>U.S. SALES</v>
      </c>
      <c r="C36" s="9" t="str">
        <f t="shared" si="22"/>
        <v>2019Q2</v>
      </c>
      <c r="D36" s="9">
        <f t="shared" si="22"/>
        <v>20190725</v>
      </c>
      <c r="E36" s="18">
        <f t="shared" si="3"/>
        <v>-7.8307753710006422E-2</v>
      </c>
      <c r="F36" s="18">
        <f t="shared" ref="F36:J36" si="23">$S14/F14-1</f>
        <v>-4.4759967246051802E-2</v>
      </c>
      <c r="G36" s="18">
        <f>$S14/G14-1</f>
        <v>-4.0857832003000527E-2</v>
      </c>
      <c r="H36" s="18">
        <f t="shared" si="23"/>
        <v>-4.5758680142657493E-2</v>
      </c>
      <c r="I36" s="18">
        <f t="shared" si="23"/>
        <v>6.5054342364772033E-3</v>
      </c>
      <c r="J36" s="18">
        <f t="shared" si="23"/>
        <v>-4.1393768931168529E-2</v>
      </c>
      <c r="K36" s="18">
        <f t="shared" ref="K36:Q36" si="24">$S14/K14-1</f>
        <v>-0.15413363507189948</v>
      </c>
      <c r="L36" s="18">
        <f t="shared" si="24"/>
        <v>-0.12594240331804607</v>
      </c>
      <c r="M36" s="18">
        <f t="shared" si="24"/>
        <v>-0.19379832789803431</v>
      </c>
      <c r="N36" s="18">
        <f t="shared" si="24"/>
        <v>-0.16910525445047753</v>
      </c>
      <c r="O36" s="18">
        <f t="shared" si="24"/>
        <v>-8.6397442657848988E-2</v>
      </c>
      <c r="P36" s="18">
        <f t="shared" si="24"/>
        <v>-0.14650951575904059</v>
      </c>
      <c r="Q36" s="18">
        <f t="shared" si="24"/>
        <v>-0.1472963905079494</v>
      </c>
      <c r="R36" s="40">
        <f t="shared" si="12"/>
        <v>-7.4626865671641784E-2</v>
      </c>
    </row>
    <row r="37" spans="1:18" x14ac:dyDescent="0.2">
      <c r="A37" s="9" t="str">
        <f t="shared" ref="A37:D37" si="25">A15</f>
        <v>XENT</v>
      </c>
      <c r="B37" s="9" t="str">
        <f t="shared" si="25"/>
        <v>U.S. SALES</v>
      </c>
      <c r="C37" s="9" t="str">
        <f t="shared" si="25"/>
        <v>2019Q3</v>
      </c>
      <c r="D37" s="9">
        <f t="shared" si="25"/>
        <v>20191024</v>
      </c>
      <c r="E37" s="18">
        <f t="shared" si="3"/>
        <v>-5.951534731317909E-2</v>
      </c>
      <c r="F37" s="18">
        <f t="shared" ref="F37:J37" si="26">$S15/F15-1</f>
        <v>-7.233182682452588E-2</v>
      </c>
      <c r="G37" s="18">
        <f>$S15/G15-1</f>
        <v>1.4708217771803422E-2</v>
      </c>
      <c r="H37" s="18">
        <f t="shared" si="26"/>
        <v>-5.7327539027486329E-3</v>
      </c>
      <c r="I37" s="18">
        <f t="shared" si="26"/>
        <v>4.6591751111158208E-2</v>
      </c>
      <c r="J37" s="18">
        <f t="shared" si="26"/>
        <v>-1.729683729989695E-2</v>
      </c>
      <c r="K37" s="18">
        <f t="shared" ref="K37:Q37" si="27">$S15/K15-1</f>
        <v>2.0389025157226515E-2</v>
      </c>
      <c r="L37" s="18">
        <f t="shared" si="27"/>
        <v>-2.8863802429829888E-2</v>
      </c>
      <c r="M37" s="18">
        <f t="shared" si="27"/>
        <v>5.7933069391416847E-2</v>
      </c>
      <c r="N37" s="18">
        <f t="shared" si="27"/>
        <v>4.1945287221363259E-2</v>
      </c>
      <c r="O37" s="18">
        <f t="shared" si="27"/>
        <v>3.9827223491435859E-2</v>
      </c>
      <c r="P37" s="18">
        <f t="shared" si="27"/>
        <v>2.5137466094293792E-2</v>
      </c>
      <c r="Q37" s="18">
        <f t="shared" si="27"/>
        <v>2.5308037452724141E-2</v>
      </c>
      <c r="R37" s="40">
        <f t="shared" si="12"/>
        <v>-4.1841004184100417E-2</v>
      </c>
    </row>
    <row r="38" spans="1:18" x14ac:dyDescent="0.2">
      <c r="A38" s="9" t="str">
        <f t="shared" ref="A38:D38" si="28">A16</f>
        <v>XENT</v>
      </c>
      <c r="B38" s="9" t="str">
        <f t="shared" si="28"/>
        <v>U.S. SALES</v>
      </c>
      <c r="C38" s="9" t="str">
        <f t="shared" si="28"/>
        <v>2019Q4</v>
      </c>
      <c r="D38" s="9">
        <f t="shared" si="28"/>
        <v>20200213</v>
      </c>
      <c r="E38" s="18">
        <f t="shared" si="3"/>
        <v>-2.2154109639329622E-2</v>
      </c>
      <c r="F38" s="18">
        <f t="shared" ref="F38:J38" si="29">$S16/F16-1</f>
        <v>7.2703407404353104E-3</v>
      </c>
      <c r="G38" s="18">
        <f t="shared" si="29"/>
        <v>-6.0317727281269828E-2</v>
      </c>
      <c r="H38" s="18">
        <f t="shared" si="29"/>
        <v>-6.614374092814046E-2</v>
      </c>
      <c r="I38" s="18">
        <f t="shared" si="29"/>
        <v>0.25716943486142774</v>
      </c>
      <c r="J38" s="18">
        <f t="shared" si="29"/>
        <v>1.0939579376347375E-2</v>
      </c>
      <c r="K38" s="18">
        <f t="shared" ref="K38:Q38" si="30">$S16/K16-1</f>
        <v>3.9725515527674116E-2</v>
      </c>
      <c r="L38" s="18">
        <f t="shared" si="30"/>
        <v>8.5808880660934284E-2</v>
      </c>
      <c r="M38" s="18">
        <f t="shared" si="30"/>
        <v>-7.3938442341408006E-2</v>
      </c>
      <c r="N38" s="18">
        <f t="shared" si="30"/>
        <v>-6.0759305169229116E-2</v>
      </c>
      <c r="O38" s="18">
        <f t="shared" si="30"/>
        <v>0.20120327102396973</v>
      </c>
      <c r="P38" s="18">
        <f t="shared" si="30"/>
        <v>2.8733413860866364E-2</v>
      </c>
      <c r="Q38" s="18">
        <f t="shared" si="30"/>
        <v>2.8830570778924924E-2</v>
      </c>
      <c r="R38" s="40">
        <f t="shared" si="12"/>
        <v>-2.960526315789469E-2</v>
      </c>
    </row>
    <row r="39" spans="1:18" x14ac:dyDescent="0.2">
      <c r="A39" s="9" t="str">
        <f t="shared" ref="A39:D39" si="31">A17</f>
        <v>XENT</v>
      </c>
      <c r="B39" s="9" t="str">
        <f t="shared" si="31"/>
        <v>U.S. SALES</v>
      </c>
      <c r="C39" s="9" t="str">
        <f t="shared" si="31"/>
        <v>2020Q1</v>
      </c>
      <c r="D39" s="9">
        <f t="shared" si="31"/>
        <v>20200507</v>
      </c>
      <c r="E39" s="18">
        <f t="shared" si="4"/>
        <v>-0.29108289578458724</v>
      </c>
      <c r="F39" s="18">
        <f t="shared" ref="F39:J39" si="32">$S17/F17-1</f>
        <v>-0.29319425535798871</v>
      </c>
      <c r="G39" s="18">
        <f t="shared" ref="G39:G44" si="33">$S17/G17-1</f>
        <v>-7.2618112359784881E-2</v>
      </c>
      <c r="H39" s="18">
        <f t="shared" si="32"/>
        <v>-0.23508102021833843</v>
      </c>
      <c r="I39" s="18">
        <f t="shared" si="32"/>
        <v>-8.7925913947535461E-2</v>
      </c>
      <c r="J39" s="18">
        <f t="shared" si="32"/>
        <v>-0.15944813599173202</v>
      </c>
      <c r="K39" s="18">
        <f t="shared" ref="K39:Q39" si="34">$S17/K17-1</f>
        <v>-0.17804166584328152</v>
      </c>
      <c r="L39" s="18">
        <f t="shared" si="34"/>
        <v>-0.22618376580963229</v>
      </c>
      <c r="M39" s="18">
        <f t="shared" si="34"/>
        <v>3.2738474037097953E-2</v>
      </c>
      <c r="N39" s="18">
        <f t="shared" si="34"/>
        <v>-0.17575621495339799</v>
      </c>
      <c r="O39" s="18">
        <f t="shared" si="34"/>
        <v>-0.27138699339497685</v>
      </c>
      <c r="P39" s="18">
        <f t="shared" si="34"/>
        <v>-0.16854391582253825</v>
      </c>
      <c r="Q39" s="18">
        <f t="shared" si="34"/>
        <v>-0.17419250852990031</v>
      </c>
      <c r="R39" s="40">
        <f t="shared" si="12"/>
        <v>-0.18502202643171806</v>
      </c>
    </row>
    <row r="40" spans="1:18" x14ac:dyDescent="0.2">
      <c r="A40" s="9" t="str">
        <f t="shared" ref="A40:D40" si="35">A18</f>
        <v>XENT</v>
      </c>
      <c r="B40" s="9" t="str">
        <f t="shared" si="35"/>
        <v>U.S. SALES</v>
      </c>
      <c r="C40" s="9" t="str">
        <f t="shared" si="35"/>
        <v>2020Q2</v>
      </c>
      <c r="D40" s="9">
        <f t="shared" si="35"/>
        <v>20200730</v>
      </c>
      <c r="E40" s="18">
        <f>$S18/E18-1</f>
        <v>-0.38784025851239734</v>
      </c>
      <c r="F40" s="18">
        <f t="shared" ref="F40:J40" si="36">$S18/F18-1</f>
        <v>-0.38459080941225554</v>
      </c>
      <c r="G40" s="18">
        <f t="shared" si="33"/>
        <v>0.19043798801487721</v>
      </c>
      <c r="H40" s="18">
        <f t="shared" si="36"/>
        <v>-0.33876589854742689</v>
      </c>
      <c r="I40" s="18">
        <f t="shared" si="36"/>
        <v>-0.21526534096550354</v>
      </c>
      <c r="J40" s="18">
        <f t="shared" si="36"/>
        <v>-0.2738007158241067</v>
      </c>
      <c r="K40" s="18">
        <f t="shared" ref="K40:Q40" si="37">$S18/K18-1</f>
        <v>-0.23836911516422221</v>
      </c>
      <c r="L40" s="18">
        <f t="shared" si="37"/>
        <v>-0.2104491693242363</v>
      </c>
      <c r="M40" s="18">
        <f t="shared" si="37"/>
        <v>0.22669158650188259</v>
      </c>
      <c r="N40" s="18">
        <f t="shared" si="37"/>
        <v>-0.14094785219994355</v>
      </c>
      <c r="O40" s="18">
        <f t="shared" si="37"/>
        <v>-0.1432934229211994</v>
      </c>
      <c r="P40" s="18">
        <f t="shared" si="37"/>
        <v>-0.13604464486827894</v>
      </c>
      <c r="Q40" s="18">
        <f t="shared" si="37"/>
        <v>-0.12835260579179897</v>
      </c>
      <c r="R40" s="40">
        <f t="shared" ref="R40" si="38">$S18/R18-1</f>
        <v>1.0909090909090904</v>
      </c>
    </row>
    <row r="41" spans="1:18" x14ac:dyDescent="0.2">
      <c r="A41" s="9" t="str">
        <f t="shared" ref="A41:D41" si="39">A19</f>
        <v>XENT</v>
      </c>
      <c r="B41" s="9" t="str">
        <f t="shared" si="39"/>
        <v>U.S. SALES</v>
      </c>
      <c r="C41" s="9" t="str">
        <f t="shared" si="39"/>
        <v>2020Q3</v>
      </c>
      <c r="D41" s="9">
        <f t="shared" si="39"/>
        <v>20201022</v>
      </c>
      <c r="E41" s="18">
        <f>$S19/E19-1</f>
        <v>0.70726546780390365</v>
      </c>
      <c r="F41" s="18">
        <f t="shared" ref="F41:I41" si="40">$S19/F19-1</f>
        <v>0.49732124759190155</v>
      </c>
      <c r="G41" s="18">
        <f t="shared" si="33"/>
        <v>0.15415218306162815</v>
      </c>
      <c r="H41" s="18">
        <f t="shared" si="40"/>
        <v>0.85103752495101914</v>
      </c>
      <c r="I41" s="18">
        <f t="shared" si="40"/>
        <v>0.91144567010482813</v>
      </c>
      <c r="J41" s="18">
        <f>$S19/J19-1</f>
        <v>0.57063293365960632</v>
      </c>
      <c r="K41" s="18">
        <f t="shared" ref="K41:Q41" si="41">$S19/K19-1</f>
        <v>1.7889215054474126</v>
      </c>
      <c r="L41" s="18">
        <f t="shared" si="41"/>
        <v>1.4330498642080567</v>
      </c>
      <c r="M41" s="18">
        <f t="shared" si="41"/>
        <v>-3.0481054299819177E-2</v>
      </c>
      <c r="N41" s="18">
        <f t="shared" si="41"/>
        <v>1.7993679105247784</v>
      </c>
      <c r="O41" s="18">
        <f t="shared" si="41"/>
        <v>1.4357859667579715</v>
      </c>
      <c r="P41" s="18">
        <f t="shared" si="41"/>
        <v>1.1628125610754281</v>
      </c>
      <c r="Q41" s="18">
        <f t="shared" si="41"/>
        <v>0.97945509964962718</v>
      </c>
      <c r="R41" s="40">
        <f>$S19/R19-1</f>
        <v>-3.3653846153846145E-2</v>
      </c>
    </row>
    <row r="42" spans="1:18" x14ac:dyDescent="0.2">
      <c r="A42" s="9" t="str">
        <f t="shared" ref="A42:D42" si="42">A20</f>
        <v>XENT</v>
      </c>
      <c r="B42" s="9" t="str">
        <f t="shared" si="42"/>
        <v>U.S. SALES</v>
      </c>
      <c r="C42" s="9" t="str">
        <f t="shared" si="42"/>
        <v>2020Q4</v>
      </c>
      <c r="D42" s="9">
        <f t="shared" si="42"/>
        <v>20210304</v>
      </c>
      <c r="E42" s="18">
        <f>$S20/E20-1</f>
        <v>0.61185417050317925</v>
      </c>
      <c r="F42" s="18">
        <f>$S20/F20-1</f>
        <v>0.58979029847187014</v>
      </c>
      <c r="G42" s="18">
        <f>$S20/G20-1</f>
        <v>8.2744345193395574E-2</v>
      </c>
      <c r="H42" s="18">
        <f>$S20/H20-1</f>
        <v>0.46335541367079158</v>
      </c>
      <c r="I42" s="18">
        <f>$S20/I20-1</f>
        <v>0.73472083204656236</v>
      </c>
      <c r="J42" s="18">
        <f>$S20/J20-1</f>
        <v>0.45652888886899601</v>
      </c>
      <c r="K42" s="18">
        <f>$S20/K20-1</f>
        <v>-5.5885449041181756E-2</v>
      </c>
      <c r="L42" s="18">
        <f t="shared" ref="L42:Q42" si="43">$S20/L20-1</f>
        <v>6.1756320514841923E-2</v>
      </c>
      <c r="M42" s="18">
        <f t="shared" si="43"/>
        <v>-6.1870383226940273E-2</v>
      </c>
      <c r="N42" s="18">
        <f t="shared" si="43"/>
        <v>-0.20944043870233586</v>
      </c>
      <c r="O42" s="18">
        <f t="shared" si="43"/>
        <v>-9.2456113622404912E-2</v>
      </c>
      <c r="P42" s="18">
        <f t="shared" si="43"/>
        <v>-7.2648447861554555E-2</v>
      </c>
      <c r="Q42" s="18">
        <f t="shared" si="43"/>
        <v>-7.864128416232341E-2</v>
      </c>
      <c r="R42" s="40">
        <f>$S20/R20-1</f>
        <v>-0.12075471698113216</v>
      </c>
    </row>
    <row r="43" spans="1:18" x14ac:dyDescent="0.2">
      <c r="A43" s="9" t="str">
        <f t="shared" ref="A43:D43" si="44">A21</f>
        <v>XENT</v>
      </c>
      <c r="B43" s="9" t="str">
        <f t="shared" si="44"/>
        <v>U.S. SALES</v>
      </c>
      <c r="C43" s="9" t="str">
        <f t="shared" si="44"/>
        <v>2021Q1</v>
      </c>
      <c r="D43" s="9">
        <f t="shared" si="44"/>
        <v>20210506</v>
      </c>
      <c r="E43" s="18">
        <f>$S21/E21-1</f>
        <v>0.15457326172926544</v>
      </c>
      <c r="F43" s="18">
        <f t="shared" ref="F43:J43" si="45">$S21/F21-1</f>
        <v>0.22805829813161949</v>
      </c>
      <c r="G43" s="18">
        <f t="shared" si="33"/>
        <v>8.3796054037515333E-2</v>
      </c>
      <c r="H43" s="18">
        <f t="shared" si="45"/>
        <v>0.22825345759647053</v>
      </c>
      <c r="I43" s="18">
        <f t="shared" si="45"/>
        <v>0.45012679313755366</v>
      </c>
      <c r="J43" s="18">
        <f t="shared" si="45"/>
        <v>0.21747623071207034</v>
      </c>
      <c r="K43" s="18">
        <f t="shared" ref="K43:Q43" si="46">$S21/K21-1</f>
        <v>-0.28369868511812246</v>
      </c>
      <c r="L43" s="18">
        <f t="shared" si="46"/>
        <v>-0.22753441173213385</v>
      </c>
      <c r="M43" s="18">
        <f t="shared" si="46"/>
        <v>9.7133626122225536E-4</v>
      </c>
      <c r="N43" s="18">
        <f t="shared" si="46"/>
        <v>-0.1606595047778403</v>
      </c>
      <c r="O43" s="18">
        <f t="shared" si="46"/>
        <v>-0.16405754381427162</v>
      </c>
      <c r="P43" s="18">
        <f t="shared" si="46"/>
        <v>-0.16412489994795187</v>
      </c>
      <c r="Q43" s="18">
        <f t="shared" si="46"/>
        <v>-0.17510617459432654</v>
      </c>
      <c r="R43" s="40">
        <f>$S21/R21-1</f>
        <v>-0.10550458715596334</v>
      </c>
    </row>
    <row r="44" spans="1:18" x14ac:dyDescent="0.2">
      <c r="A44" s="9" t="str">
        <f t="shared" ref="A44:D44" si="47">A22</f>
        <v>XENT</v>
      </c>
      <c r="B44" s="9" t="str">
        <f t="shared" si="47"/>
        <v>U.S. SALES</v>
      </c>
      <c r="C44" s="9" t="str">
        <f t="shared" si="47"/>
        <v>2021Q2</v>
      </c>
      <c r="D44" s="9">
        <f t="shared" si="47"/>
        <v>20210729</v>
      </c>
      <c r="E44" s="18">
        <f>$S22/E22-1</f>
        <v>-7.6053738254493464E-2</v>
      </c>
      <c r="F44" s="18">
        <f t="shared" ref="F44:J44" si="48">$S22/F22-1</f>
        <v>4.585011757340518E-2</v>
      </c>
      <c r="G44" s="18">
        <f t="shared" si="33"/>
        <v>1.3507759269947739E-2</v>
      </c>
      <c r="H44" s="18">
        <f t="shared" si="48"/>
        <v>-9.2067621794714838E-2</v>
      </c>
      <c r="I44" s="18">
        <f t="shared" si="48"/>
        <v>0.25986544637032782</v>
      </c>
      <c r="J44" s="18">
        <f t="shared" si="48"/>
        <v>1.6201211227160339E-2</v>
      </c>
      <c r="K44" s="18">
        <f t="shared" ref="K44:Q44" si="49">$S22/K22-1</f>
        <v>-0.19975085828536909</v>
      </c>
      <c r="L44" s="18">
        <f t="shared" si="49"/>
        <v>-0.14837095342739648</v>
      </c>
      <c r="M44" s="18">
        <f t="shared" si="49"/>
        <v>-6.4853802065175659E-2</v>
      </c>
      <c r="N44" s="18">
        <f t="shared" si="49"/>
        <v>-0.26079395698833319</v>
      </c>
      <c r="O44" s="18">
        <f t="shared" si="49"/>
        <v>-0.13120324903146485</v>
      </c>
      <c r="P44" s="18">
        <f t="shared" si="49"/>
        <v>-0.16532151873485812</v>
      </c>
      <c r="Q44" s="18">
        <f t="shared" si="49"/>
        <v>-0.16609551297006719</v>
      </c>
      <c r="R44" s="40">
        <f>$S22/R22-1</f>
        <v>-0.15625</v>
      </c>
    </row>
    <row r="45" spans="1:18" x14ac:dyDescent="0.2">
      <c r="A45" s="172" t="s">
        <v>77</v>
      </c>
      <c r="B45" s="172"/>
      <c r="C45" s="168"/>
      <c r="D45" s="169"/>
      <c r="E45" s="73" cm="1">
        <f t="array" ref="E45">SUM(ABS(E28:E44))/COUNT(E28:E44)</f>
        <v>0.22050944595404287</v>
      </c>
      <c r="F45" s="73" cm="1">
        <f t="array" ref="F45">SUM(ABS(F28:F44))/COUNT(F28:F44)</f>
        <v>0.20142877274935506</v>
      </c>
      <c r="G45" s="75" cm="1">
        <f t="array" ref="G45">SUM(ABS(G28:G44))/COUNT(G28:G44)</f>
        <v>9.5348025069250358E-2</v>
      </c>
      <c r="H45" s="73" cm="1">
        <f t="array" ref="H45">SUM(ABS(H28:H44))/COUNT(H28:H44)</f>
        <v>0.19522675502927708</v>
      </c>
      <c r="I45" s="73" cm="1">
        <f t="array" ref="I45">SUM(ABS(I28:I44))/COUNT(I28:I44)</f>
        <v>0.22668763289968724</v>
      </c>
      <c r="J45" s="73" cm="1">
        <f t="array" ref="J45">SUM(ABS(J28:J44))/COUNT(J28:J44)</f>
        <v>0.15893063654346817</v>
      </c>
      <c r="K45" s="73" cm="1">
        <f t="array" ref="K45">SUM(ABS(K28:K44))/COUNT(K28:K44)</f>
        <v>0.28946262810721901</v>
      </c>
      <c r="L45" s="73" cm="1">
        <f t="array" ref="L45">SUM(ABS(L28:L44))/COUNT(L28:L44)</f>
        <v>0.2683515816286085</v>
      </c>
      <c r="M45" s="73" cm="1">
        <f t="array" ref="M45">SUM(ABS(M28:M44))/COUNT(M28:M44)</f>
        <v>0.1054487929345926</v>
      </c>
      <c r="N45" s="73" cm="1">
        <f t="array" ref="N45">SUM(ABS(N28:N44))/COUNT(N28:N44)</f>
        <v>0.27322853640870248</v>
      </c>
      <c r="O45" s="73" cm="1">
        <f t="array" ref="O45">SUM(ABS(O28:O44))/COUNT(O28:O44)</f>
        <v>0.23552820907466171</v>
      </c>
      <c r="P45" s="73" cm="1">
        <f t="array" ref="P45">SUM(ABS(P28:P44))/COUNT(P28:P44)</f>
        <v>0.21018134969638996</v>
      </c>
      <c r="Q45" s="73" cm="1">
        <f t="array" ref="Q45">SUM(ABS(Q28:Q44))/COUNT(Q28:Q44)</f>
        <v>0.1985826276961089</v>
      </c>
      <c r="R45" s="73" cm="1">
        <f t="array" ref="R45">SUM(ABS(R28:R44))/COUNT(R28:R44)</f>
        <v>0.1309303411851554</v>
      </c>
    </row>
    <row r="46" spans="1:18" x14ac:dyDescent="0.2">
      <c r="A46" s="173" t="s">
        <v>78</v>
      </c>
      <c r="B46" s="173"/>
      <c r="C46" s="170"/>
      <c r="D46" s="171"/>
      <c r="E46" s="74" cm="1">
        <f t="array" ref="E46">SQRT(SUM(POWER(E28:E44,2))/COUNT(E28:E44))</f>
        <v>0.29634494079168217</v>
      </c>
      <c r="F46" s="74" cm="1">
        <f t="array" ref="F46">SQRT(SUM(POWER(F28:F44,2))/COUNT(F28:F44))</f>
        <v>0.26549448696083544</v>
      </c>
      <c r="G46" s="76" cm="1">
        <f t="array" ref="G46">SQRT(SUM(POWER(G28:G44,2))/COUNT(G28:G44))</f>
        <v>0.11242135637899832</v>
      </c>
      <c r="H46" s="74" cm="1">
        <f t="array" ref="H46">SQRT(SUM(POWER(H28:H44,2))/COUNT(H28:H44))</f>
        <v>0.28463973117428593</v>
      </c>
      <c r="I46" s="74" cm="1">
        <f t="array" ref="I46">SQRT(SUM(POWER(I28:I44,2))/COUNT(I28:I44))</f>
        <v>0.33353954070699648</v>
      </c>
      <c r="J46" s="74" cm="1">
        <f t="array" ref="J46">SQRT(SUM(POWER(J28:J44,2))/COUNT(J28:J44))</f>
        <v>0.22564429928533425</v>
      </c>
      <c r="K46" s="74" cm="1">
        <f t="array" ref="K46">SQRT(SUM(POWER(K28:K44,2))/COUNT(K28:K44))</f>
        <v>0.5192991936678647</v>
      </c>
      <c r="L46" s="74" cm="1">
        <f t="array" ref="L46">SQRT(SUM(POWER(L28:L44,2))/COUNT(L28:L44))</f>
        <v>0.44180874395358977</v>
      </c>
      <c r="M46" s="74" cm="1">
        <f t="array" ref="M46">SQRT(SUM(POWER(M28:M44,2))/COUNT(M28:M44))</f>
        <v>0.14118514107873695</v>
      </c>
      <c r="N46" s="74" cm="1">
        <f t="array" ref="N46">SQRT(SUM(POWER(N28:N44,2))/COUNT(N28:N44))</f>
        <v>0.50209914284645374</v>
      </c>
      <c r="O46" s="74" cm="1">
        <f t="array" ref="O46">SQRT(SUM(POWER(O28:O44,2))/COUNT(O28:O44))</f>
        <v>0.40244584475925566</v>
      </c>
      <c r="P46" s="74" cm="1">
        <f t="array" ref="P46">SQRT(SUM(POWER(P28:P44,2))/COUNT(P28:P44))</f>
        <v>0.35003648040710372</v>
      </c>
      <c r="Q46" s="74" cm="1">
        <f t="array" ref="Q46">SQRT(SUM(POWER(Q28:Q44,2))/COUNT(Q28:Q44))</f>
        <v>0.31161651589068157</v>
      </c>
      <c r="R46" s="74" cm="1">
        <f t="array" ref="R46">SQRT(SUM(POWER(R28:R44,2))/COUNT(R28:R44))</f>
        <v>0.27713109221839399</v>
      </c>
    </row>
    <row r="47" spans="1:18" x14ac:dyDescent="0.2">
      <c r="F47" s="3"/>
      <c r="G47" s="3">
        <f>AVERAGE(G38:G39,G36,G33,G29:G30)</f>
        <v>-7.6109999060792521E-2</v>
      </c>
      <c r="J47" s="3"/>
    </row>
    <row r="48" spans="1:18" x14ac:dyDescent="0.2">
      <c r="B48" t="s">
        <v>158</v>
      </c>
      <c r="F48" s="3"/>
      <c r="G48" s="3">
        <f>AVERAGE(G29:G30)</f>
        <v>-0.12007041482688019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C9" sqref="C9:M11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4" t="s">
        <v>82</v>
      </c>
      <c r="C7" s="174"/>
      <c r="D7" s="174" t="s">
        <v>112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6"/>
      <c r="P7" s="6"/>
      <c r="Q7" s="6"/>
    </row>
    <row r="8" spans="1:17" ht="15" x14ac:dyDescent="0.2">
      <c r="A8" s="67" t="s">
        <v>172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0.14230634520011151</v>
      </c>
      <c r="D9" s="2">
        <v>7.5361791976297138E-2</v>
      </c>
      <c r="E9" s="2">
        <v>0.1095687469667156</v>
      </c>
      <c r="F9" s="2">
        <v>0.1315346359174282</v>
      </c>
      <c r="G9" s="2">
        <v>0.1199203636827389</v>
      </c>
      <c r="H9" s="2">
        <v>0.11653763360717399</v>
      </c>
      <c r="I9" s="2">
        <v>0.1235683263893196</v>
      </c>
      <c r="J9" s="2">
        <v>0.11947921497958031</v>
      </c>
      <c r="K9" s="2">
        <v>0.1224104722164964</v>
      </c>
      <c r="L9" s="2">
        <v>0.19580991263126471</v>
      </c>
      <c r="M9" s="2">
        <v>1.1738850866904671</v>
      </c>
      <c r="O9" s="6"/>
      <c r="P9" s="6"/>
      <c r="Q9" s="6"/>
    </row>
    <row r="10" spans="1:17" ht="15" x14ac:dyDescent="0.2">
      <c r="B10" s="71" t="s">
        <v>96</v>
      </c>
      <c r="C10" s="2">
        <v>0.2008298277167396</v>
      </c>
      <c r="D10" s="2">
        <v>8.7425240610468233E-2</v>
      </c>
      <c r="E10" s="2">
        <v>0.191881429268034</v>
      </c>
      <c r="F10" s="2">
        <v>0.21149382411193901</v>
      </c>
      <c r="G10" s="2">
        <v>0.2359159489536391</v>
      </c>
      <c r="H10" s="2">
        <v>0.21140474630190209</v>
      </c>
      <c r="I10" s="2">
        <v>0.2308402898672508</v>
      </c>
      <c r="J10" s="2">
        <v>0.2357547208813002</v>
      </c>
      <c r="K10" s="2">
        <v>0.23570427069489699</v>
      </c>
      <c r="L10" s="2">
        <v>0.44628406084128242</v>
      </c>
      <c r="M10" s="2">
        <v>3.4754355670627799</v>
      </c>
      <c r="O10" s="6"/>
      <c r="P10" s="6"/>
      <c r="Q10" s="6"/>
    </row>
    <row r="11" spans="1:17" ht="15" x14ac:dyDescent="0.2">
      <c r="B11" s="71" t="s">
        <v>97</v>
      </c>
      <c r="C11" s="2">
        <v>6.2410934058815933E-2</v>
      </c>
      <c r="D11" s="2">
        <v>-4.5457983020034842E-2</v>
      </c>
      <c r="E11" s="2">
        <v>1.557755350034651E-2</v>
      </c>
      <c r="F11" s="2">
        <v>4.9749358475961181E-2</v>
      </c>
      <c r="G11" s="2">
        <v>4.0972044422043052E-2</v>
      </c>
      <c r="H11" s="2">
        <v>1.558020659212378E-2</v>
      </c>
      <c r="I11" s="2">
        <v>1.5628109629662101E-2</v>
      </c>
      <c r="J11" s="2">
        <v>3.9583709690057867E-2</v>
      </c>
      <c r="K11" s="2">
        <v>3.7670391019431149E-2</v>
      </c>
      <c r="L11" s="2">
        <v>9.032468653673853E-3</v>
      </c>
      <c r="M11" s="2">
        <v>-1.9343764366852589E-3</v>
      </c>
      <c r="O11" s="6"/>
      <c r="P11" s="6"/>
      <c r="Q11" s="6"/>
    </row>
    <row r="12" spans="1:17" ht="15" x14ac:dyDescent="0.2">
      <c r="B12" s="9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102</v>
      </c>
      <c r="B15" t="s">
        <v>105</v>
      </c>
      <c r="O15" s="6"/>
      <c r="P15" s="6"/>
      <c r="Q15" s="6"/>
    </row>
    <row r="16" spans="1:17" x14ac:dyDescent="0.2">
      <c r="B16" t="s">
        <v>139</v>
      </c>
      <c r="H16" s="68" t="s">
        <v>106</v>
      </c>
      <c r="O16" s="6"/>
      <c r="P16" s="6"/>
      <c r="Q16" s="6"/>
    </row>
    <row r="17" spans="1:17" x14ac:dyDescent="0.2">
      <c r="B17" t="s">
        <v>140</v>
      </c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104</v>
      </c>
      <c r="B20" s="175" t="s">
        <v>108</v>
      </c>
      <c r="C20" s="175"/>
      <c r="D20" s="175"/>
      <c r="E20" s="175"/>
      <c r="F20" s="66" t="e">
        <f>#REF!+#REF!*'2. Past Proj &amp; Candidate Model'!R22</f>
        <v>#REF!</v>
      </c>
      <c r="G20" s="69" t="s">
        <v>109</v>
      </c>
      <c r="H20" s="2" t="e">
        <f>'2. Past Proj &amp; Candidate Model'!S22/'3.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6" t="s">
        <v>159</v>
      </c>
      <c r="C24" s="176"/>
      <c r="D24" s="176"/>
      <c r="E24" s="3">
        <f>C9</f>
        <v>0.14230634520011151</v>
      </c>
      <c r="F24" t="s">
        <v>110</v>
      </c>
      <c r="G24" s="176" t="s">
        <v>111</v>
      </c>
      <c r="H24" s="176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50"/>
  <sheetViews>
    <sheetView tabSelected="1" zoomScale="85" zoomScaleNormal="85" workbookViewId="0">
      <selection activeCell="O25" sqref="O25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78" t="str">
        <f>D5</f>
        <v>PROJ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172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0.1293694047273741</v>
      </c>
      <c r="D6" s="2">
        <v>9.4423552734103966E-2</v>
      </c>
      <c r="E6" s="2">
        <v>0.1290468339849539</v>
      </c>
      <c r="F6" s="2">
        <v>0.1253024390333527</v>
      </c>
      <c r="G6" s="2">
        <v>0.11960167481821719</v>
      </c>
      <c r="H6" s="2">
        <v>0.1342457802661326</v>
      </c>
      <c r="I6" s="2">
        <v>0.1329429699343038</v>
      </c>
      <c r="J6" s="2">
        <v>0.11940864114198251</v>
      </c>
      <c r="K6" s="2">
        <v>0.12094345797511551</v>
      </c>
      <c r="L6" s="2">
        <v>0.1234909686137118</v>
      </c>
      <c r="M6" s="2">
        <v>0.77025377393904659</v>
      </c>
    </row>
    <row r="7" spans="1:25" ht="15" x14ac:dyDescent="0.2">
      <c r="B7" s="71" t="s">
        <v>96</v>
      </c>
      <c r="C7" s="2">
        <v>0.19148372753254869</v>
      </c>
      <c r="D7" s="2">
        <v>0.12028055004119689</v>
      </c>
      <c r="E7" s="2">
        <v>0.21328204423367969</v>
      </c>
      <c r="F7" s="2">
        <v>0.20254357914927801</v>
      </c>
      <c r="G7" s="2">
        <v>0.21950959677287821</v>
      </c>
      <c r="H7" s="2">
        <v>0.22843136963048349</v>
      </c>
      <c r="I7" s="2">
        <v>0.23055079214377089</v>
      </c>
      <c r="J7" s="2">
        <v>0.21943978088508509</v>
      </c>
      <c r="K7" s="2">
        <v>0.2192883866681952</v>
      </c>
      <c r="L7" s="2">
        <v>0.19819313043483189</v>
      </c>
      <c r="M7" s="2">
        <v>2.242499137793593</v>
      </c>
    </row>
    <row r="8" spans="1:25" ht="15" x14ac:dyDescent="0.2">
      <c r="B8" s="71" t="s">
        <v>97</v>
      </c>
      <c r="C8" s="2">
        <v>4.4176706827309342E-2</v>
      </c>
      <c r="D8" s="2">
        <v>-7.6420944206008645E-2</v>
      </c>
      <c r="E8" s="2">
        <v>1.2921578933160699E-2</v>
      </c>
      <c r="F8" s="2">
        <v>4.4796470334447218E-2</v>
      </c>
      <c r="G8" s="2">
        <v>2.8184459012575939E-2</v>
      </c>
      <c r="H8" s="2">
        <v>1.292560165795353E-2</v>
      </c>
      <c r="I8" s="2">
        <v>1.299840512817241E-2</v>
      </c>
      <c r="J8" s="2">
        <v>2.816949895988774E-2</v>
      </c>
      <c r="K8" s="2">
        <v>2.0198639274376928E-2</v>
      </c>
      <c r="L8" s="2">
        <v>-5.8781213162236723E-3</v>
      </c>
      <c r="M8" s="2">
        <v>-6.0951279539839254E-3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93</v>
      </c>
      <c r="N13" s="71" t="s">
        <v>94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169</v>
      </c>
      <c r="C14">
        <v>23.8</v>
      </c>
      <c r="D14">
        <v>25.7</v>
      </c>
      <c r="E14">
        <v>22.644805000000002</v>
      </c>
      <c r="O14" s="2"/>
      <c r="P14" s="2">
        <f>E14/C14-1</f>
        <v>-4.8537605042016763E-2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170</v>
      </c>
      <c r="C15">
        <v>22.2</v>
      </c>
      <c r="D15">
        <v>21.3</v>
      </c>
      <c r="E15">
        <v>25.367766</v>
      </c>
      <c r="O15" s="2"/>
      <c r="P15" s="2">
        <f t="shared" ref="P15:P20" si="0">E15/C15-1</f>
        <v>0.14269216216216218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167</v>
      </c>
      <c r="C16">
        <v>29.3</v>
      </c>
      <c r="D16">
        <v>27.9</v>
      </c>
      <c r="E16">
        <v>33.117342000000001</v>
      </c>
      <c r="O16" s="2"/>
      <c r="P16" s="2">
        <f t="shared" si="0"/>
        <v>0.13028470989761098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t="s">
        <v>42</v>
      </c>
      <c r="C17">
        <v>24.4</v>
      </c>
      <c r="D17">
        <v>23.7</v>
      </c>
      <c r="E17">
        <v>21.735882</v>
      </c>
      <c r="O17" s="2"/>
      <c r="P17" s="2">
        <f t="shared" si="0"/>
        <v>-0.10918516393442612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t="s">
        <v>43</v>
      </c>
      <c r="C18">
        <v>25.5</v>
      </c>
      <c r="D18">
        <v>27.9</v>
      </c>
      <c r="E18">
        <v>23.137768000000001</v>
      </c>
      <c r="O18" s="2"/>
      <c r="P18" s="2">
        <f t="shared" si="0"/>
        <v>-9.2636549019607828E-2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t="s">
        <v>44</v>
      </c>
      <c r="C19">
        <v>23.4</v>
      </c>
      <c r="D19">
        <v>24.1</v>
      </c>
      <c r="E19">
        <v>24.444399000000001</v>
      </c>
      <c r="O19" s="2"/>
      <c r="P19" s="2">
        <f t="shared" si="0"/>
        <v>4.4632435897435929E-2</v>
      </c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t="s">
        <v>45</v>
      </c>
      <c r="C20">
        <v>30.9</v>
      </c>
      <c r="D20">
        <v>32</v>
      </c>
      <c r="E20">
        <v>24.795832999999998</v>
      </c>
      <c r="O20" s="2"/>
      <c r="P20" s="2">
        <f t="shared" si="0"/>
        <v>-0.19754585760517807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t="s">
        <v>46</v>
      </c>
      <c r="C21">
        <v>24.9</v>
      </c>
      <c r="D21">
        <v>26</v>
      </c>
      <c r="E21">
        <v>22.573626999999998</v>
      </c>
      <c r="F21">
        <v>24.57710731352083</v>
      </c>
      <c r="G21">
        <v>25.571197137030051</v>
      </c>
      <c r="H21">
        <v>24.911481115405479</v>
      </c>
      <c r="I21">
        <v>24.577231169230021</v>
      </c>
      <c r="J21">
        <v>24.743308613046711</v>
      </c>
      <c r="K21">
        <v>24.911514488311219</v>
      </c>
      <c r="L21">
        <v>24.972966468473921</v>
      </c>
      <c r="M21">
        <v>24.662705969284382</v>
      </c>
      <c r="N21">
        <v>25.035537772339129</v>
      </c>
      <c r="O21" s="2">
        <v>4.4176706827309342E-2</v>
      </c>
      <c r="P21" s="2">
        <v>-9.3428634538152644E-2</v>
      </c>
      <c r="Q21" s="2">
        <v>-1.296757777024782E-2</v>
      </c>
      <c r="R21" s="2">
        <v>2.695570831446004E-2</v>
      </c>
      <c r="S21" s="2">
        <v>4.6108897210750399E-4</v>
      </c>
      <c r="T21" s="2">
        <v>-1.296260364538071E-2</v>
      </c>
      <c r="U21" s="2">
        <v>-6.2928267852727648E-3</v>
      </c>
      <c r="V21" s="2">
        <v>4.624292494468385E-4</v>
      </c>
      <c r="W21" s="2">
        <v>2.9303802599969231E-3</v>
      </c>
      <c r="X21" s="2">
        <v>-9.5298807516311923E-3</v>
      </c>
      <c r="Y21" s="2">
        <v>5.4432840296838592E-3</v>
      </c>
    </row>
    <row r="22" spans="2:25" x14ac:dyDescent="0.2">
      <c r="B22" t="s">
        <v>47</v>
      </c>
      <c r="C22">
        <v>24.8</v>
      </c>
      <c r="D22">
        <v>26.8</v>
      </c>
      <c r="E22">
        <v>25.856438000000001</v>
      </c>
      <c r="F22">
        <v>26.030395389192861</v>
      </c>
      <c r="G22">
        <v>26.156615716113379</v>
      </c>
      <c r="H22">
        <v>26.413705994978759</v>
      </c>
      <c r="I22">
        <v>26.030342799613209</v>
      </c>
      <c r="J22">
        <v>25.93247623765475</v>
      </c>
      <c r="K22">
        <v>26.413622061059939</v>
      </c>
      <c r="L22">
        <v>26.39498530832882</v>
      </c>
      <c r="M22">
        <v>25.803125285967042</v>
      </c>
      <c r="N22">
        <v>24.569061484804251</v>
      </c>
      <c r="O22" s="2">
        <v>8.0645161290322509E-2</v>
      </c>
      <c r="P22" s="2">
        <v>4.2598306451612888E-2</v>
      </c>
      <c r="Q22" s="2">
        <v>4.9612717306163789E-2</v>
      </c>
      <c r="R22" s="2">
        <v>5.4702246617475143E-2</v>
      </c>
      <c r="S22" s="2">
        <v>6.506879012011102E-2</v>
      </c>
      <c r="T22" s="2">
        <v>4.9610596758597143E-2</v>
      </c>
      <c r="U22" s="2">
        <v>4.5664364421562631E-2</v>
      </c>
      <c r="V22" s="2">
        <v>6.5065405687900757E-2</v>
      </c>
      <c r="W22" s="2">
        <v>6.4313923722936428E-2</v>
      </c>
      <c r="X22" s="2">
        <v>4.0448600240606591E-2</v>
      </c>
      <c r="Y22" s="2">
        <v>-9.312036903054377E-3</v>
      </c>
    </row>
    <row r="23" spans="2:25" x14ac:dyDescent="0.2">
      <c r="B23" t="s">
        <v>48</v>
      </c>
      <c r="C23">
        <v>22.9</v>
      </c>
      <c r="D23">
        <v>23.9</v>
      </c>
      <c r="E23">
        <v>22.568064</v>
      </c>
      <c r="F23">
        <v>24.525300026569148</v>
      </c>
      <c r="G23">
        <v>23.605808178438661</v>
      </c>
      <c r="H23">
        <v>23.169900296637589</v>
      </c>
      <c r="I23">
        <v>24.52540181623262</v>
      </c>
      <c r="J23">
        <v>24.5275235518668</v>
      </c>
      <c r="K23">
        <v>23.17014152906232</v>
      </c>
      <c r="L23">
        <v>23.286578660853621</v>
      </c>
      <c r="M23">
        <v>24.728876852352869</v>
      </c>
      <c r="N23">
        <v>24.970485267874949</v>
      </c>
      <c r="O23" s="2">
        <v>4.366812227074246E-2</v>
      </c>
      <c r="P23" s="2">
        <v>-1.4495021834061039E-2</v>
      </c>
      <c r="Q23" s="2">
        <v>7.097380028686251E-2</v>
      </c>
      <c r="R23" s="2">
        <v>3.082131783574971E-2</v>
      </c>
      <c r="S23" s="2">
        <v>1.178603915447995E-2</v>
      </c>
      <c r="T23" s="2">
        <v>7.0978245250332916E-2</v>
      </c>
      <c r="U23" s="2">
        <v>7.107089746143247E-2</v>
      </c>
      <c r="V23" s="2">
        <v>1.179657332149886E-2</v>
      </c>
      <c r="W23" s="2">
        <v>1.688116422941599E-2</v>
      </c>
      <c r="X23" s="2">
        <v>7.986361800667563E-2</v>
      </c>
      <c r="Y23" s="2">
        <v>9.0414203837334117E-2</v>
      </c>
    </row>
    <row r="24" spans="2:25" x14ac:dyDescent="0.2">
      <c r="B24" t="s">
        <v>49</v>
      </c>
      <c r="C24">
        <v>29.5</v>
      </c>
      <c r="D24">
        <v>30.4</v>
      </c>
      <c r="E24">
        <v>31.39359</v>
      </c>
      <c r="F24">
        <v>28.23215022654724</v>
      </c>
      <c r="G24">
        <v>28.978562691517141</v>
      </c>
      <c r="H24">
        <v>30.388202301928821</v>
      </c>
      <c r="I24">
        <v>28.23183923841405</v>
      </c>
      <c r="J24">
        <v>27.751453056284412</v>
      </c>
      <c r="K24">
        <v>30.38775251484622</v>
      </c>
      <c r="L24">
        <v>30.161384238233691</v>
      </c>
      <c r="M24">
        <v>28.180384108386381</v>
      </c>
      <c r="N24">
        <v>25.031226555649479</v>
      </c>
      <c r="O24" s="2">
        <v>3.050847457627115E-2</v>
      </c>
      <c r="P24" s="2">
        <v>6.4189491525423747E-2</v>
      </c>
      <c r="Q24" s="2">
        <v>-4.2977958422127371E-2</v>
      </c>
      <c r="R24" s="2">
        <v>-1.7675840965520662E-2</v>
      </c>
      <c r="S24" s="2">
        <v>3.010855260775647E-2</v>
      </c>
      <c r="T24" s="2">
        <v>-4.2988500392743927E-2</v>
      </c>
      <c r="U24" s="2">
        <v>-5.9272777753070938E-2</v>
      </c>
      <c r="V24" s="2">
        <v>3.0093305588007491E-2</v>
      </c>
      <c r="W24" s="2">
        <v>2.2419804685887671E-2</v>
      </c>
      <c r="X24" s="2">
        <v>-4.4732742088597337E-2</v>
      </c>
      <c r="Y24" s="2">
        <v>-0.15148384557120401</v>
      </c>
    </row>
    <row r="25" spans="2:25" x14ac:dyDescent="0.2">
      <c r="B25" t="s">
        <v>50</v>
      </c>
      <c r="C25">
        <v>18.5</v>
      </c>
      <c r="D25">
        <v>22.7</v>
      </c>
      <c r="E25">
        <v>19.948632</v>
      </c>
      <c r="F25">
        <v>22.94052741971478</v>
      </c>
      <c r="G25">
        <v>22.455202775808679</v>
      </c>
      <c r="H25">
        <v>21.685996282132919</v>
      </c>
      <c r="I25">
        <v>22.984425598776539</v>
      </c>
      <c r="J25">
        <v>22.94471970360981</v>
      </c>
      <c r="K25">
        <v>21.68622471650184</v>
      </c>
      <c r="L25">
        <v>21.77114302385861</v>
      </c>
      <c r="M25">
        <v>23.504511044074871</v>
      </c>
      <c r="N25">
        <v>24.30062648553341</v>
      </c>
      <c r="O25" s="2">
        <v>0.2270270270270269</v>
      </c>
      <c r="P25" s="2">
        <v>7.8304432432432458E-2</v>
      </c>
      <c r="Q25" s="2">
        <v>0.24002850917377169</v>
      </c>
      <c r="R25" s="2">
        <v>0.21379474463830681</v>
      </c>
      <c r="S25" s="2">
        <v>0.17221601525042801</v>
      </c>
      <c r="T25" s="2">
        <v>0.24240138371765091</v>
      </c>
      <c r="U25" s="2">
        <v>0.24025511911404379</v>
      </c>
      <c r="V25" s="2">
        <v>0.17222836305415351</v>
      </c>
      <c r="W25" s="2">
        <v>0.1768185418301953</v>
      </c>
      <c r="X25" s="2">
        <v>0.27051411049053331</v>
      </c>
      <c r="Y25" s="2">
        <v>0.31354737759640039</v>
      </c>
    </row>
    <row r="26" spans="2:25" x14ac:dyDescent="0.2">
      <c r="B26" t="s">
        <v>51</v>
      </c>
      <c r="C26">
        <v>9.1999999999999993</v>
      </c>
      <c r="D26">
        <v>4.4000000000000004</v>
      </c>
      <c r="E26">
        <v>7.7282479999999998</v>
      </c>
      <c r="F26">
        <v>14.19292194820579</v>
      </c>
      <c r="G26">
        <v>3.696775763474871</v>
      </c>
      <c r="H26">
        <v>2.6544383088736372</v>
      </c>
      <c r="I26">
        <v>14.81217023981042</v>
      </c>
      <c r="J26">
        <v>15.42580952979767</v>
      </c>
      <c r="K26">
        <v>2.6559531261281362</v>
      </c>
      <c r="L26">
        <v>2.6793784791882529</v>
      </c>
      <c r="M26">
        <v>-3.491938092871623</v>
      </c>
      <c r="N26">
        <v>-91.850963464476067</v>
      </c>
      <c r="O26" s="2">
        <v>-0.52173913043478248</v>
      </c>
      <c r="P26" s="2">
        <v>-0.1599730434782608</v>
      </c>
      <c r="Q26" s="2">
        <v>0.54270890741367284</v>
      </c>
      <c r="R26" s="2">
        <v>-0.59817654744838356</v>
      </c>
      <c r="S26" s="2">
        <v>-0.71147409686156116</v>
      </c>
      <c r="T26" s="2">
        <v>0.61001850432721927</v>
      </c>
      <c r="U26" s="2">
        <v>0.67671842715192088</v>
      </c>
      <c r="V26" s="2">
        <v>-0.71130944281215913</v>
      </c>
      <c r="W26" s="2">
        <v>-0.70876320878388555</v>
      </c>
      <c r="X26" s="2">
        <v>-1.3795584883556109</v>
      </c>
      <c r="Y26" s="2">
        <v>-10.983800376573489</v>
      </c>
    </row>
    <row r="27" spans="2:25" x14ac:dyDescent="0.2">
      <c r="B27" t="s">
        <v>52</v>
      </c>
      <c r="C27">
        <v>20.100000000000001</v>
      </c>
      <c r="D27">
        <v>20.8</v>
      </c>
      <c r="E27">
        <v>17.415381</v>
      </c>
      <c r="F27">
        <v>18.844649798080638</v>
      </c>
      <c r="G27">
        <v>21.00040905372239</v>
      </c>
      <c r="H27">
        <v>20.10525804786597</v>
      </c>
      <c r="I27">
        <v>18.844763935246998</v>
      </c>
      <c r="J27">
        <v>18.846470265662461</v>
      </c>
      <c r="K27">
        <v>20.102027516864741</v>
      </c>
      <c r="L27">
        <v>20.371510246910201</v>
      </c>
      <c r="M27">
        <v>19.36651805797516</v>
      </c>
      <c r="N27">
        <v>18.10377750100842</v>
      </c>
      <c r="O27" s="2">
        <v>3.4825870646766122E-2</v>
      </c>
      <c r="P27" s="2">
        <v>-0.13356313432835831</v>
      </c>
      <c r="Q27" s="2">
        <v>-6.2455233926336451E-2</v>
      </c>
      <c r="R27" s="2">
        <v>4.4796470334447218E-2</v>
      </c>
      <c r="S27" s="2">
        <v>2.6159442119255688E-4</v>
      </c>
      <c r="T27" s="2">
        <v>-6.2449555460348249E-2</v>
      </c>
      <c r="U27" s="2">
        <v>-6.2364663399877673E-2</v>
      </c>
      <c r="V27" s="2">
        <v>1.008714858079518E-4</v>
      </c>
      <c r="W27" s="2">
        <v>1.3507972483094431E-2</v>
      </c>
      <c r="X27" s="2">
        <v>-3.6491638906708368E-2</v>
      </c>
      <c r="Y27" s="2">
        <v>-9.9314552188635941E-2</v>
      </c>
    </row>
    <row r="28" spans="2:25" x14ac:dyDescent="0.2">
      <c r="B28" t="s">
        <v>53</v>
      </c>
      <c r="C28">
        <v>23.3</v>
      </c>
      <c r="D28">
        <v>26.5</v>
      </c>
      <c r="E28">
        <v>21.519392</v>
      </c>
      <c r="F28">
        <v>22.302581560042359</v>
      </c>
      <c r="G28">
        <v>25.4075726912275</v>
      </c>
      <c r="H28">
        <v>24.50776799430648</v>
      </c>
      <c r="I28">
        <v>22.302607773289399</v>
      </c>
      <c r="J28">
        <v>22.303040332862111</v>
      </c>
      <c r="K28">
        <v>24.443426851356119</v>
      </c>
      <c r="L28">
        <v>24.53305877232431</v>
      </c>
      <c r="M28">
        <v>22.937076939768851</v>
      </c>
      <c r="N28">
        <v>22.87865059365966</v>
      </c>
      <c r="O28" s="2">
        <v>0.1373390557939913</v>
      </c>
      <c r="P28" s="2">
        <v>-7.6420944206008645E-2</v>
      </c>
      <c r="Q28" s="2">
        <v>-4.2807658367280947E-2</v>
      </c>
      <c r="R28" s="2">
        <v>9.0453763571995527E-2</v>
      </c>
      <c r="S28" s="2">
        <v>5.1835536236329638E-2</v>
      </c>
      <c r="T28" s="2">
        <v>-4.2806533335218999E-2</v>
      </c>
      <c r="U28" s="2">
        <v>-4.2787968546690418E-2</v>
      </c>
      <c r="V28" s="2">
        <v>4.9074113792108243E-2</v>
      </c>
      <c r="W28" s="2">
        <v>5.292097735297463E-2</v>
      </c>
      <c r="X28" s="2">
        <v>-1.5576097005628901E-2</v>
      </c>
      <c r="Y28" s="2">
        <v>-1.8083665508169311E-2</v>
      </c>
    </row>
    <row r="29" spans="2:25" x14ac:dyDescent="0.2">
      <c r="B29" t="s">
        <v>54</v>
      </c>
      <c r="C29">
        <v>19.5</v>
      </c>
      <c r="D29">
        <v>21.8</v>
      </c>
      <c r="E29">
        <v>17.992315000000001</v>
      </c>
      <c r="F29">
        <v>19.562659817993211</v>
      </c>
      <c r="G29">
        <v>21.586096786279349</v>
      </c>
      <c r="H29">
        <v>20.689915921644829</v>
      </c>
      <c r="I29">
        <v>19.562743894329952</v>
      </c>
      <c r="J29">
        <v>19.564242398431961</v>
      </c>
      <c r="K29">
        <v>20.689833874627759</v>
      </c>
      <c r="L29">
        <v>20.861287168540851</v>
      </c>
      <c r="M29">
        <v>20.03809895215009</v>
      </c>
      <c r="N29">
        <v>19.809519413288541</v>
      </c>
      <c r="O29" s="2">
        <v>0.117948717948718</v>
      </c>
      <c r="P29" s="2">
        <v>-7.7317179487179422E-2</v>
      </c>
      <c r="Q29" s="2">
        <v>3.213323999652129E-3</v>
      </c>
      <c r="R29" s="2">
        <v>0.1069793223732998</v>
      </c>
      <c r="S29" s="2">
        <v>6.1021329315119388E-2</v>
      </c>
      <c r="T29" s="2">
        <v>3.2176356066639929E-3</v>
      </c>
      <c r="U29" s="2">
        <v>3.2944819708695672E-3</v>
      </c>
      <c r="V29" s="2">
        <v>6.1017121775782217E-2</v>
      </c>
      <c r="W29" s="2">
        <v>6.9809598386710192E-2</v>
      </c>
      <c r="X29" s="2">
        <v>2.7594818058978898E-2</v>
      </c>
      <c r="Y29" s="2">
        <v>1.5872790425053299E-2</v>
      </c>
    </row>
    <row r="30" spans="2:25" x14ac:dyDescent="0.2">
      <c r="B30" t="s">
        <v>55</v>
      </c>
      <c r="C30">
        <v>21.6</v>
      </c>
      <c r="D30">
        <v>25.6</v>
      </c>
      <c r="E30">
        <v>21.312121000000001</v>
      </c>
      <c r="F30">
        <v>22.20354251282248</v>
      </c>
      <c r="G30">
        <v>24.429392576812301</v>
      </c>
      <c r="H30">
        <v>23.651364827987351</v>
      </c>
      <c r="I30">
        <v>22.203563995675811</v>
      </c>
      <c r="J30">
        <v>22.203973525430619</v>
      </c>
      <c r="K30">
        <v>23.62272169742506</v>
      </c>
      <c r="L30">
        <v>23.66796564928514</v>
      </c>
      <c r="M30">
        <v>22.761845260005799</v>
      </c>
      <c r="N30">
        <v>22.714100660267569</v>
      </c>
      <c r="O30" s="2">
        <v>0.18518518518518509</v>
      </c>
      <c r="P30" s="2">
        <v>-1.332773148148148E-2</v>
      </c>
      <c r="Q30" s="2">
        <v>2.7941783001040891E-2</v>
      </c>
      <c r="R30" s="2">
        <v>0.13099039707464349</v>
      </c>
      <c r="S30" s="2">
        <v>9.4970593888303201E-2</v>
      </c>
      <c r="T30" s="2">
        <v>2.794277757758357E-2</v>
      </c>
      <c r="U30" s="2">
        <v>2.7961737288454639E-2</v>
      </c>
      <c r="V30" s="2">
        <v>9.3644523028937998E-2</v>
      </c>
      <c r="W30" s="2">
        <v>9.5739150429867248E-2</v>
      </c>
      <c r="X30" s="2">
        <v>5.3789132407676021E-2</v>
      </c>
      <c r="Y30" s="2">
        <v>5.157873427164672E-2</v>
      </c>
    </row>
    <row r="31" spans="2:25" x14ac:dyDescent="0.2">
      <c r="B31" t="s">
        <v>71</v>
      </c>
      <c r="C31">
        <v>27.3</v>
      </c>
      <c r="D31">
        <v>27.3</v>
      </c>
      <c r="E31">
        <v>20.014593000000001</v>
      </c>
      <c r="F31">
        <v>21.1293768692701</v>
      </c>
      <c r="G31">
        <v>25.580633163742078</v>
      </c>
      <c r="H31">
        <v>23.88463963127543</v>
      </c>
      <c r="I31">
        <v>21.12941802099937</v>
      </c>
      <c r="J31">
        <v>21.130252428773719</v>
      </c>
      <c r="K31">
        <v>23.84406024501434</v>
      </c>
      <c r="L31">
        <v>23.907348979649541</v>
      </c>
      <c r="M31">
        <v>21.616925613114031</v>
      </c>
      <c r="N31">
        <v>21.469843624825931</v>
      </c>
      <c r="O31" s="2">
        <v>0</v>
      </c>
      <c r="P31" s="2">
        <v>-0.26686472527472532</v>
      </c>
      <c r="Q31" s="2">
        <v>-0.22603015130878759</v>
      </c>
      <c r="R31" s="2">
        <v>-6.2980470192597893E-2</v>
      </c>
      <c r="S31" s="2">
        <v>-0.1251047754111563</v>
      </c>
      <c r="T31" s="2">
        <v>-0.226028643919437</v>
      </c>
      <c r="U31" s="2">
        <v>-0.22599807953209819</v>
      </c>
      <c r="V31" s="2">
        <v>-0.12659119981632469</v>
      </c>
      <c r="W31" s="2">
        <v>-0.1242729311483686</v>
      </c>
      <c r="X31" s="2">
        <v>-0.2081712229628562</v>
      </c>
      <c r="Y31" s="2">
        <v>-0.2135588415814679</v>
      </c>
    </row>
    <row r="32" spans="2:25" x14ac:dyDescent="0.2">
      <c r="B32" s="94" t="s">
        <v>148</v>
      </c>
      <c r="C32" s="94"/>
      <c r="D32" s="94"/>
      <c r="E32">
        <f t="shared" ref="E32:E37" si="1">$E$31/(1+P32)</f>
        <v>20.638268516889717</v>
      </c>
      <c r="L32" s="94" t="s">
        <v>141</v>
      </c>
      <c r="M32" s="94"/>
      <c r="N32" s="94"/>
      <c r="O32" s="94"/>
      <c r="P32" s="1">
        <f>AVERAGE(P14:P30)</f>
        <v>-3.0219372152238407E-2</v>
      </c>
    </row>
    <row r="33" spans="1:17" x14ac:dyDescent="0.2">
      <c r="B33" s="95" t="s">
        <v>149</v>
      </c>
      <c r="C33" s="95"/>
      <c r="D33" s="95"/>
      <c r="E33">
        <f t="shared" si="1"/>
        <v>21.035611187643259</v>
      </c>
      <c r="L33" s="95" t="s">
        <v>143</v>
      </c>
      <c r="M33" s="95"/>
      <c r="N33" s="95"/>
      <c r="O33" s="95"/>
      <c r="P33" s="1">
        <f>MEDIAN(P14:P30)</f>
        <v>-4.8537605042016763E-2</v>
      </c>
    </row>
    <row r="34" spans="1:17" x14ac:dyDescent="0.2">
      <c r="B34" s="96" t="s">
        <v>150</v>
      </c>
      <c r="C34" s="96"/>
      <c r="D34" s="96"/>
      <c r="E34">
        <f>$E$31/(1+P34)</f>
        <v>22.052286113507414</v>
      </c>
      <c r="F34">
        <f>$E$31/(1+MIN(P14:P30))</f>
        <v>24.94172805971068</v>
      </c>
      <c r="G34">
        <f>E31/(Q34+1)</f>
        <v>24.371169949173037</v>
      </c>
      <c r="H34">
        <f>AVERAGE(F34:G34)</f>
        <v>24.65644900444186</v>
      </c>
      <c r="L34" s="96" t="s">
        <v>142</v>
      </c>
      <c r="M34" s="96"/>
      <c r="N34" s="96"/>
      <c r="O34" s="96"/>
      <c r="P34" s="1">
        <f>AVERAGE(P26:P30,P23,P21,P20,P18,P17,P14)</f>
        <v>-9.2402805904975557E-2</v>
      </c>
      <c r="Q34" s="3">
        <f>AVERAGE(P20,P26)</f>
        <v>-0.17875945054171943</v>
      </c>
    </row>
    <row r="35" spans="1:17" x14ac:dyDescent="0.2">
      <c r="B35" s="97" t="s">
        <v>151</v>
      </c>
      <c r="C35" s="97"/>
      <c r="D35" s="97"/>
      <c r="E35">
        <f>$E$31/(1+P35)</f>
        <v>22.057966935272237</v>
      </c>
      <c r="F35">
        <f>$E$31/(1+'2. Past Proj &amp; Candidate Model'!G47)</f>
        <v>21.663393888507919</v>
      </c>
      <c r="G35">
        <f>AVERAGE(F35:F36)</f>
        <v>22.204534803809661</v>
      </c>
      <c r="L35" s="97" t="s">
        <v>144</v>
      </c>
      <c r="M35" s="97"/>
      <c r="N35" s="97"/>
      <c r="O35" s="97"/>
      <c r="P35" s="1">
        <f>MEDIAN(P26:P30,P23,P21,P20,P18,P17,P14)</f>
        <v>-9.2636549019607828E-2</v>
      </c>
    </row>
    <row r="36" spans="1:17" x14ac:dyDescent="0.2">
      <c r="B36" s="98" t="s">
        <v>152</v>
      </c>
      <c r="C36" s="98"/>
      <c r="D36" s="98"/>
      <c r="E36">
        <f t="shared" si="1"/>
        <v>18.46733350615429</v>
      </c>
      <c r="F36">
        <f>$E$31/(1+'2. Past Proj &amp; Candidate Model'!G48)</f>
        <v>22.745675719111404</v>
      </c>
      <c r="L36" s="98" t="s">
        <v>145</v>
      </c>
      <c r="M36" s="98"/>
      <c r="N36" s="98"/>
      <c r="O36" s="98"/>
      <c r="P36" s="1">
        <f>AVERAGE(P24:P25,P22,P19,P15:P16)</f>
        <v>8.3783589727779703E-2</v>
      </c>
    </row>
    <row r="37" spans="1:17" x14ac:dyDescent="0.2">
      <c r="B37" s="99" t="s">
        <v>153</v>
      </c>
      <c r="C37" s="99"/>
      <c r="D37" s="99"/>
      <c r="E37">
        <f t="shared" si="1"/>
        <v>18.807358237780388</v>
      </c>
      <c r="F37" s="102"/>
      <c r="L37" s="99" t="s">
        <v>146</v>
      </c>
      <c r="M37" s="99"/>
      <c r="N37" s="99"/>
      <c r="O37" s="99"/>
      <c r="P37" s="1">
        <f>MEDIAN(P24:P25,P22)</f>
        <v>6.4189491525423747E-2</v>
      </c>
    </row>
    <row r="40" spans="1:17" x14ac:dyDescent="0.2">
      <c r="A40" s="67" t="s">
        <v>102</v>
      </c>
      <c r="B40" t="s">
        <v>154</v>
      </c>
    </row>
    <row r="41" spans="1:17" x14ac:dyDescent="0.2">
      <c r="B41" t="s">
        <v>155</v>
      </c>
    </row>
    <row r="47" spans="1:17" x14ac:dyDescent="0.2">
      <c r="A47" s="67" t="s">
        <v>104</v>
      </c>
      <c r="B47" s="79" t="s">
        <v>156</v>
      </c>
      <c r="C47" s="80">
        <f>H34</f>
        <v>24.65644900444186</v>
      </c>
      <c r="D47" t="s">
        <v>168</v>
      </c>
    </row>
    <row r="49" spans="2:4" x14ac:dyDescent="0.2">
      <c r="B49" s="177" t="s">
        <v>164</v>
      </c>
      <c r="C49" s="177"/>
      <c r="D49" s="2">
        <f>C47/D31-1</f>
        <v>-9.6833369800664482E-2</v>
      </c>
    </row>
    <row r="50" spans="2:4" x14ac:dyDescent="0.2">
      <c r="B50" s="165" t="s">
        <v>163</v>
      </c>
      <c r="C50" s="165"/>
      <c r="D50" s="2">
        <f>'1. Data &amp; Confidence Interval'!T25</f>
        <v>-5.9440804211469522E-2</v>
      </c>
    </row>
  </sheetData>
  <mergeCells count="2">
    <mergeCell ref="B50:C50"/>
    <mergeCell ref="B49:C49"/>
  </mergeCells>
  <conditionalFormatting sqref="P32:P3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:W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2021-10-28T16:38:07Z</dcterms:modified>
</cp:coreProperties>
</file>