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ZBH\"/>
    </mc:Choice>
  </mc:AlternateContent>
  <xr:revisionPtr revIDLastSave="0" documentId="13_ncr:1_{E97A0F61-A3E5-45CE-BE2A-94F4AA53885B}" xr6:coauthVersionLast="46" xr6:coauthVersionMax="46" xr10:uidLastSave="{00000000-0000-0000-0000-000000000000}"/>
  <bookViews>
    <workbookView xWindow="-120" yWindow="-120" windowWidth="29040" windowHeight="15840" activeTab="3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6" i="4" l="1"/>
  <c r="K25" i="1"/>
  <c r="E37" i="4"/>
  <c r="E35" i="4"/>
  <c r="E34" i="4"/>
  <c r="E33" i="4"/>
  <c r="E32" i="4"/>
  <c r="P37" i="4"/>
  <c r="P36" i="4"/>
  <c r="P35" i="4"/>
  <c r="P34" i="4"/>
  <c r="P33" i="4"/>
  <c r="P32" i="4"/>
  <c r="L37" i="4"/>
  <c r="L36" i="4"/>
  <c r="L35" i="4"/>
  <c r="L34" i="4"/>
  <c r="L33" i="4"/>
  <c r="L32" i="4"/>
  <c r="P15" i="4"/>
  <c r="P16" i="4"/>
  <c r="P17" i="4"/>
  <c r="P18" i="4"/>
  <c r="P19" i="4"/>
  <c r="P20" i="4"/>
  <c r="P21" i="4"/>
  <c r="P14" i="4"/>
  <c r="R23" i="2"/>
  <c r="H25" i="1" l="1"/>
  <c r="E36" i="4"/>
  <c r="W37" i="4"/>
  <c r="W36" i="4"/>
  <c r="W35" i="4"/>
  <c r="W34" i="4"/>
  <c r="W33" i="4"/>
  <c r="W32" i="4"/>
  <c r="J23" i="2"/>
  <c r="J10" i="1"/>
  <c r="AJ10" i="1"/>
  <c r="AK26" i="1"/>
  <c r="AK25" i="1"/>
  <c r="AK24" i="1"/>
  <c r="AK23" i="1"/>
  <c r="AK22" i="1"/>
  <c r="AK21" i="1"/>
  <c r="AK20" i="1"/>
  <c r="K24" i="1"/>
  <c r="H24" i="1"/>
  <c r="N23" i="1"/>
  <c r="N21" i="1"/>
  <c r="D48" i="4" l="1"/>
  <c r="K33" i="4"/>
  <c r="C2" i="4"/>
  <c r="AH20" i="1" l="1"/>
  <c r="AI20" i="1"/>
  <c r="AH22" i="1"/>
  <c r="AI22" i="1"/>
  <c r="J22" i="1"/>
  <c r="L22" i="1"/>
  <c r="J20" i="1"/>
  <c r="L20" i="1"/>
  <c r="N22" i="1"/>
  <c r="M23" i="2"/>
  <c r="L23" i="2"/>
  <c r="K23" i="2"/>
  <c r="Q23" i="2" s="1"/>
  <c r="N23" i="2"/>
  <c r="O23" i="2"/>
  <c r="P23" i="2" l="1"/>
  <c r="R28" i="2"/>
  <c r="K29" i="2"/>
  <c r="L29" i="2"/>
  <c r="M29" i="2"/>
  <c r="N29" i="2"/>
  <c r="O29" i="2"/>
  <c r="P29" i="2"/>
  <c r="Q29" i="2"/>
  <c r="R29" i="2"/>
  <c r="K30" i="2"/>
  <c r="L30" i="2"/>
  <c r="M30" i="2"/>
  <c r="N30" i="2"/>
  <c r="O30" i="2"/>
  <c r="P30" i="2"/>
  <c r="Q30" i="2"/>
  <c r="R30" i="2"/>
  <c r="A28" i="2"/>
  <c r="B28" i="2"/>
  <c r="C28" i="2"/>
  <c r="D28" i="2"/>
  <c r="E28" i="2"/>
  <c r="F28" i="2"/>
  <c r="G28" i="2"/>
  <c r="H28" i="2"/>
  <c r="I28" i="2"/>
  <c r="J28" i="2"/>
  <c r="A29" i="2"/>
  <c r="B29" i="2"/>
  <c r="C29" i="2"/>
  <c r="D29" i="2"/>
  <c r="E29" i="2"/>
  <c r="F29" i="2"/>
  <c r="G29" i="2"/>
  <c r="H29" i="2"/>
  <c r="I29" i="2"/>
  <c r="J29" i="2"/>
  <c r="F17" i="1"/>
  <c r="F18" i="1"/>
  <c r="J39" i="2" l="1"/>
  <c r="J42" i="2"/>
  <c r="H18" i="1"/>
  <c r="G18" i="1"/>
  <c r="M22" i="1"/>
  <c r="O22" i="1"/>
  <c r="P22" i="1"/>
  <c r="M20" i="1"/>
  <c r="N20" i="1"/>
  <c r="O20" i="1"/>
  <c r="P20" i="1"/>
  <c r="J41" i="2"/>
  <c r="J40" i="2"/>
  <c r="G40" i="2"/>
  <c r="R24" i="2"/>
  <c r="Q22" i="1"/>
  <c r="R22" i="1"/>
  <c r="Q20" i="1"/>
  <c r="R20" i="1"/>
  <c r="H39" i="2"/>
  <c r="H40" i="2"/>
  <c r="G44" i="2"/>
  <c r="G43" i="2"/>
  <c r="G42" i="2"/>
  <c r="G41" i="2"/>
  <c r="G39" i="2"/>
  <c r="G37" i="2"/>
  <c r="G36" i="2"/>
  <c r="E41" i="2"/>
  <c r="E40" i="2"/>
  <c r="E39" i="2"/>
  <c r="E38" i="2"/>
  <c r="E37" i="2"/>
  <c r="E36" i="2"/>
  <c r="E35" i="2"/>
  <c r="E34" i="2"/>
  <c r="E33" i="2"/>
  <c r="E32" i="2"/>
  <c r="E31" i="2"/>
  <c r="AJ18" i="1"/>
  <c r="AK18" i="1"/>
  <c r="J17" i="1"/>
  <c r="I17" i="1"/>
  <c r="H17" i="1"/>
  <c r="G17" i="1"/>
  <c r="R17" i="1"/>
  <c r="Q17" i="1"/>
  <c r="P17" i="1"/>
  <c r="O17" i="1"/>
  <c r="M18" i="1"/>
  <c r="L18" i="1"/>
  <c r="J18" i="1"/>
  <c r="I18" i="1"/>
  <c r="S20" i="1"/>
  <c r="S22" i="1"/>
  <c r="O21" i="1" l="1"/>
  <c r="O23" i="1"/>
  <c r="R21" i="1"/>
  <c r="P21" i="1"/>
  <c r="S21" i="1"/>
  <c r="S23" i="1"/>
  <c r="Q23" i="1"/>
  <c r="P23" i="1"/>
  <c r="Q21" i="1"/>
  <c r="R23" i="1"/>
  <c r="J24" i="2"/>
  <c r="A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J13" i="1"/>
  <c r="Q31" i="2"/>
  <c r="P31" i="2"/>
  <c r="O31" i="2"/>
  <c r="N31" i="2"/>
  <c r="M31" i="2"/>
  <c r="L31" i="2"/>
  <c r="K31" i="2"/>
  <c r="R31" i="2"/>
  <c r="A30" i="2"/>
  <c r="B30" i="2"/>
  <c r="C30" i="2"/>
  <c r="D30" i="2"/>
  <c r="E30" i="2"/>
  <c r="F30" i="2"/>
  <c r="G30" i="2"/>
  <c r="H30" i="2"/>
  <c r="I30" i="2"/>
  <c r="J30" i="2"/>
  <c r="Q24" i="2"/>
  <c r="P24" i="2"/>
  <c r="O24" i="2"/>
  <c r="N24" i="2"/>
  <c r="M24" i="2"/>
  <c r="L24" i="2"/>
  <c r="K24" i="2"/>
  <c r="I24" i="2"/>
  <c r="H24" i="2"/>
  <c r="G24" i="2"/>
  <c r="F24" i="2"/>
  <c r="E24" i="2"/>
  <c r="AJ17" i="1"/>
  <c r="AI17" i="1"/>
  <c r="AH17" i="1"/>
  <c r="AG17" i="1"/>
  <c r="AF17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AI18" i="1"/>
  <c r="AH18" i="1"/>
  <c r="S18" i="1"/>
  <c r="R18" i="1"/>
  <c r="Q18" i="1"/>
  <c r="P18" i="1"/>
  <c r="O18" i="1"/>
  <c r="N18" i="1"/>
  <c r="K18" i="1"/>
  <c r="L17" i="1"/>
  <c r="K17" i="1"/>
  <c r="J31" i="2"/>
  <c r="I31" i="2"/>
  <c r="H31" i="2"/>
  <c r="G31" i="2"/>
  <c r="F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A41" i="2"/>
  <c r="B41" i="2"/>
  <c r="C41" i="2"/>
  <c r="D41" i="2"/>
  <c r="A42" i="2"/>
  <c r="B42" i="2"/>
  <c r="C42" i="2"/>
  <c r="D42" i="2"/>
  <c r="A43" i="2"/>
  <c r="B43" i="2"/>
  <c r="C43" i="2"/>
  <c r="D43" i="2"/>
  <c r="A44" i="2"/>
  <c r="B44" i="2"/>
  <c r="C44" i="2"/>
  <c r="D44" i="2"/>
  <c r="B31" i="2"/>
  <c r="C31" i="2"/>
  <c r="D31" i="2"/>
  <c r="A31" i="2"/>
  <c r="I24" i="3"/>
  <c r="E24" i="3"/>
  <c r="AE17" i="1"/>
  <c r="AD17" i="1"/>
  <c r="AC17" i="1"/>
  <c r="AB17" i="1"/>
  <c r="AD21" i="1" l="1"/>
  <c r="AB21" i="1"/>
  <c r="AH21" i="1"/>
  <c r="U21" i="1"/>
  <c r="AI21" i="1"/>
  <c r="AC21" i="1"/>
  <c r="C7" i="1"/>
  <c r="AF21" i="1"/>
  <c r="AE21" i="1"/>
  <c r="AG21" i="1"/>
  <c r="W21" i="1"/>
  <c r="X21" i="1"/>
  <c r="Y21" i="1"/>
  <c r="T21" i="1"/>
  <c r="Z21" i="1"/>
  <c r="V21" i="1"/>
  <c r="AA21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AC18" i="1"/>
  <c r="AB18" i="1"/>
  <c r="AA18" i="1"/>
  <c r="Z18" i="1"/>
  <c r="Y18" i="1"/>
  <c r="X18" i="1"/>
  <c r="W18" i="1"/>
  <c r="V18" i="1"/>
  <c r="U18" i="1"/>
  <c r="T18" i="1"/>
  <c r="M17" i="1"/>
  <c r="N17" i="1"/>
  <c r="S17" i="1"/>
  <c r="T17" i="1"/>
  <c r="U17" i="1"/>
  <c r="V17" i="1"/>
  <c r="W17" i="1"/>
  <c r="X17" i="1"/>
  <c r="Y17" i="1"/>
  <c r="Z17" i="1"/>
  <c r="AA17" i="1"/>
  <c r="F20" i="3"/>
  <c r="AH23" i="1" l="1"/>
  <c r="D49" i="4"/>
  <c r="AI23" i="1"/>
  <c r="U23" i="1"/>
  <c r="T23" i="1"/>
  <c r="B7" i="1"/>
  <c r="R44" i="2"/>
  <c r="R43" i="2"/>
  <c r="R42" i="2"/>
  <c r="R41" i="2"/>
  <c r="R39" i="2"/>
  <c r="R38" i="2"/>
  <c r="R37" i="2"/>
  <c r="R36" i="2"/>
  <c r="R35" i="2"/>
  <c r="R34" i="2"/>
  <c r="R33" i="2"/>
  <c r="R32" i="2"/>
  <c r="N2" i="1" l="1"/>
  <c r="M2" i="1"/>
  <c r="N3" i="1"/>
  <c r="M3" i="1"/>
  <c r="H20" i="3"/>
  <c r="O2" i="1" l="1"/>
  <c r="P2" i="1" s="1"/>
  <c r="O3" i="1"/>
  <c r="P3" i="1" s="1"/>
  <c r="R40" i="2"/>
  <c r="K32" i="2"/>
  <c r="L32" i="2"/>
  <c r="M32" i="2"/>
  <c r="N32" i="2"/>
  <c r="O32" i="2"/>
  <c r="P32" i="2"/>
  <c r="Q32" i="2"/>
  <c r="K33" i="2"/>
  <c r="L33" i="2"/>
  <c r="M33" i="2"/>
  <c r="N33" i="2"/>
  <c r="O33" i="2"/>
  <c r="P33" i="2"/>
  <c r="Q33" i="2"/>
  <c r="K34" i="2"/>
  <c r="L34" i="2"/>
  <c r="M34" i="2"/>
  <c r="N34" i="2"/>
  <c r="O34" i="2"/>
  <c r="P34" i="2"/>
  <c r="Q34" i="2"/>
  <c r="K35" i="2"/>
  <c r="L35" i="2"/>
  <c r="M35" i="2"/>
  <c r="N35" i="2"/>
  <c r="O35" i="2"/>
  <c r="P35" i="2"/>
  <c r="Q35" i="2"/>
  <c r="K36" i="2"/>
  <c r="L36" i="2"/>
  <c r="M36" i="2"/>
  <c r="N36" i="2"/>
  <c r="O36" i="2"/>
  <c r="P36" i="2"/>
  <c r="Q36" i="2"/>
  <c r="K37" i="2"/>
  <c r="L37" i="2"/>
  <c r="M37" i="2"/>
  <c r="N37" i="2"/>
  <c r="O37" i="2"/>
  <c r="P37" i="2"/>
  <c r="Q37" i="2"/>
  <c r="K38" i="2"/>
  <c r="L38" i="2"/>
  <c r="M38" i="2"/>
  <c r="N38" i="2"/>
  <c r="O38" i="2"/>
  <c r="P38" i="2"/>
  <c r="Q38" i="2"/>
  <c r="K39" i="2"/>
  <c r="L39" i="2"/>
  <c r="M39" i="2"/>
  <c r="N39" i="2"/>
  <c r="O39" i="2"/>
  <c r="P39" i="2"/>
  <c r="Q39" i="2"/>
  <c r="K40" i="2"/>
  <c r="L40" i="2"/>
  <c r="M40" i="2"/>
  <c r="N40" i="2"/>
  <c r="O40" i="2"/>
  <c r="P40" i="2"/>
  <c r="Q40" i="2"/>
  <c r="K41" i="2"/>
  <c r="L41" i="2"/>
  <c r="M41" i="2"/>
  <c r="N41" i="2"/>
  <c r="O41" i="2"/>
  <c r="P41" i="2"/>
  <c r="Q41" i="2"/>
  <c r="K42" i="2"/>
  <c r="L42" i="2"/>
  <c r="M42" i="2"/>
  <c r="N42" i="2"/>
  <c r="O42" i="2"/>
  <c r="P42" i="2"/>
  <c r="Q42" i="2"/>
  <c r="K43" i="2"/>
  <c r="L43" i="2"/>
  <c r="M43" i="2"/>
  <c r="N43" i="2"/>
  <c r="O43" i="2"/>
  <c r="P43" i="2"/>
  <c r="Q43" i="2"/>
  <c r="K44" i="2"/>
  <c r="L44" i="2"/>
  <c r="M44" i="2"/>
  <c r="N44" i="2"/>
  <c r="O44" i="2"/>
  <c r="P44" i="2"/>
  <c r="Q44" i="2"/>
  <c r="E44" i="2"/>
  <c r="F32" i="2"/>
  <c r="G32" i="2"/>
  <c r="H32" i="2"/>
  <c r="I32" i="2"/>
  <c r="J32" i="2"/>
  <c r="F33" i="2"/>
  <c r="G33" i="2"/>
  <c r="H33" i="2"/>
  <c r="I33" i="2"/>
  <c r="J33" i="2"/>
  <c r="F34" i="2"/>
  <c r="G34" i="2"/>
  <c r="H34" i="2"/>
  <c r="I34" i="2"/>
  <c r="J34" i="2"/>
  <c r="F35" i="2"/>
  <c r="G35" i="2"/>
  <c r="H35" i="2"/>
  <c r="I35" i="2"/>
  <c r="J35" i="2"/>
  <c r="F36" i="2"/>
  <c r="H36" i="2"/>
  <c r="I36" i="2"/>
  <c r="J36" i="2"/>
  <c r="F37" i="2"/>
  <c r="H37" i="2"/>
  <c r="I37" i="2"/>
  <c r="J37" i="2"/>
  <c r="F38" i="2"/>
  <c r="G38" i="2"/>
  <c r="H38" i="2"/>
  <c r="I38" i="2"/>
  <c r="J38" i="2"/>
  <c r="F39" i="2"/>
  <c r="I39" i="2"/>
  <c r="F40" i="2"/>
  <c r="I40" i="2"/>
  <c r="F41" i="2"/>
  <c r="H41" i="2"/>
  <c r="I41" i="2"/>
  <c r="E42" i="2"/>
  <c r="F42" i="2"/>
  <c r="H42" i="2"/>
  <c r="I42" i="2"/>
  <c r="E43" i="2"/>
  <c r="F43" i="2"/>
  <c r="H43" i="2"/>
  <c r="I43" i="2"/>
  <c r="J43" i="2"/>
  <c r="F44" i="2"/>
  <c r="H44" i="2"/>
  <c r="I44" i="2"/>
  <c r="J44" i="2"/>
  <c r="H46" i="2" l="1" a="1"/>
  <c r="H46" i="2" s="1"/>
  <c r="H45" i="2" a="1"/>
  <c r="H45" i="2" s="1"/>
  <c r="Q46" i="2" a="1"/>
  <c r="Q46" i="2" s="1"/>
  <c r="Q45" i="2" a="1"/>
  <c r="Q45" i="2" s="1"/>
  <c r="P45" i="2" a="1"/>
  <c r="P45" i="2" s="1"/>
  <c r="P46" i="2" a="1"/>
  <c r="P46" i="2" s="1"/>
  <c r="F45" i="2" a="1"/>
  <c r="F45" i="2" s="1"/>
  <c r="F46" i="2" a="1"/>
  <c r="F46" i="2" s="1"/>
  <c r="N46" i="2" a="1"/>
  <c r="N46" i="2" s="1"/>
  <c r="N45" i="2" a="1"/>
  <c r="N45" i="2" s="1"/>
  <c r="M46" i="2" a="1"/>
  <c r="M46" i="2" s="1"/>
  <c r="M45" i="2" a="1"/>
  <c r="M45" i="2" s="1"/>
  <c r="O46" i="2" a="1"/>
  <c r="O46" i="2" s="1"/>
  <c r="O45" i="2" a="1"/>
  <c r="O45" i="2" s="1"/>
  <c r="L45" i="2" a="1"/>
  <c r="L45" i="2" s="1"/>
  <c r="L46" i="2" a="1"/>
  <c r="L46" i="2" s="1"/>
  <c r="E46" i="2" a="1"/>
  <c r="E46" i="2" s="1"/>
  <c r="E45" i="2" a="1"/>
  <c r="E45" i="2" s="1"/>
  <c r="J45" i="2" a="1"/>
  <c r="J45" i="2" s="1"/>
  <c r="J46" i="2" a="1"/>
  <c r="J46" i="2" s="1"/>
  <c r="K46" i="2" a="1"/>
  <c r="K46" i="2" s="1"/>
  <c r="K45" i="2" a="1"/>
  <c r="K45" i="2" s="1"/>
  <c r="G46" i="2" a="1"/>
  <c r="G46" i="2" s="1"/>
  <c r="G45" i="2" a="1"/>
  <c r="G45" i="2" s="1"/>
  <c r="I45" i="2" a="1"/>
  <c r="I45" i="2" s="1"/>
  <c r="I46" i="2" a="1"/>
  <c r="I46" i="2" s="1"/>
  <c r="R46" i="2" a="1"/>
  <c r="R46" i="2" s="1"/>
  <c r="R45" i="2" a="1"/>
  <c r="R45" i="2" s="1"/>
  <c r="Y23" i="1"/>
  <c r="X23" i="1"/>
  <c r="AD23" i="1"/>
  <c r="W23" i="1"/>
  <c r="V23" i="1"/>
  <c r="AE23" i="1"/>
  <c r="AA23" i="1"/>
  <c r="AC23" i="1"/>
  <c r="Z23" i="1"/>
  <c r="AB23" i="1"/>
  <c r="AG23" i="1"/>
  <c r="AF23" i="1"/>
  <c r="O4" i="1" l="1"/>
  <c r="P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<sst xmlns="http://schemas.openxmlformats.org/spreadsheetml/2006/main" count="313" uniqueCount="174">
  <si>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</si>
  <si>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</si>
  <si>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</si>
  <si>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</si>
  <si>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</si>
  <si>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</si>
  <si>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</si>
  <si>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</si>
  <si>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</si>
  <si>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</si>
  <si>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</si>
  <si>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</si>
  <si>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</si>
  <si>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</si>
  <si>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</si>
  <si>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</si>
  <si>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</si>
  <si>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</si>
  <si>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</si>
  <si>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</si>
  <si>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</si>
  <si>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</si>
  <si>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</si>
  <si>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</si>
  <si>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</si>
  <si>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</si>
  <si>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</si>
  <si>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</si>
  <si>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</si>
  <si>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</si>
  <si>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</si>
  <si>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</si>
  <si>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</si>
  <si>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</si>
  <si>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</si>
  <si>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</si>
  <si>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</si>
  <si>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</si>
  <si>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</si>
  <si>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</si>
  <si>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</si>
  <si>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</si>
  <si>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</si>
  <si>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</si>
  <si>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</si>
  <si>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</si>
  <si>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</si>
  <si>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</si>
  <si>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</si>
  <si>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</si>
  <si>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</si>
  <si>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</si>
  <si>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</si>
  <si>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</si>
  <si>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</si>
  <si>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</si>
  <si>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</si>
  <si>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</si>
  <si>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</si>
  <si>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</si>
  <si>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</si>
  <si>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</si>
  <si>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</si>
  <si>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</si>
  <si>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</si>
  <si>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</si>
  <si>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</si>
  <si>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</si>
  <si>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</si>
  <si>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</si>
  <si>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</si>
  <si>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</si>
  <si>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</si>
  <si>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</si>
  <si>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</si>
  <si>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CORRELATION W/O 2021Q3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</si>
  <si>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</si>
  <si>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</si>
  <si>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</si>
  <si>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</si>
  <si>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</si>
  <si>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</si>
  <si>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</si>
  <si>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</si>
  <si>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</si>
  <si>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</si>
  <si>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</si>
  <si>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</si>
  <si>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</si>
  <si>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</si>
  <si>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</si>
  <si>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</si>
  <si>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</si>
  <si>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</si>
  <si>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</si>
  <si>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</si>
  <si>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</si>
  <si>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</si>
  <si>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</si>
  <si>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</si>
  <si>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</si>
  <si>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</si>
  <si>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</si>
  <si>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</si>
  <si>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</si>
  <si>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</si>
  <si>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</si>
  <si>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</si>
  <si>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</si>
  <si>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</si>
  <si>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</si>
  <si>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</si>
  <si>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</si>
  <si>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</si>
  <si>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</si>
  <si>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</si>
  <si>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</si>
  <si>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</si>
  <si>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</si>
  <si>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</si>
  <si>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</si>
  <si>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</si>
  <si>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</si>
  <si>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</si>
  <si>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</si>
  <si>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</si>
  <si>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</si>
  <si>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</si>
  <si>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</si>
  <si>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</si>
  <si>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</si>
  <si>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</si>
  <si>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</si>
  <si>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</si>
  <si>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</si>
  <si>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</si>
  <si>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</si>
  <si>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</si>
  <si>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</si>
  <si>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</si>
  <si>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</si>
  <si>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</si>
  <si>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</si>
  <si>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</si>
  <si>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</si>
  <si>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</si>
  <si>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</si>
  <si>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</si>
  <si>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</si>
  <si>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</si>
  <si>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</si>
  <si>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</si>
  <si>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</si>
  <si>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</si>
  <si>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</si>
  <si>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</si>
  <si>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</si>
  <si>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</si>
  <si>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</si>
  <si>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</si>
  <si>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</si>
  <si>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</si>
  <si>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</si>
  <si>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</si>
  <si>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</si>
  <si>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For Sheet 3 Regression Removed 2020Q2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</si>
  <si>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C:\dev\da.research\personal\rxia\Improved Alpha Models</t>
    </r>
  </si>
  <si>
    <t>2017Q4</t>
  </si>
  <si>
    <t>2017Q2</t>
  </si>
  <si>
    <t>2017Q3</t>
  </si>
  <si>
    <t>If this value is unsatisfactory, use confidence interval.</t>
  </si>
  <si>
    <t>ZBH_HIP</t>
  </si>
  <si>
    <t>ZBH_HIPS</t>
  </si>
  <si>
    <t>Americas Revenue - 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</si>
</sst>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0"/>
    <numFmt numFmtId="166" formatCode="0.0"/>
    <numFmt numFmtId="167" formatCode="0.000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6" fontId="6" fillId="0" borderId="11" xfId="0" applyNumberFormat="1" applyFont="1" applyFill="1" applyBorder="1" applyAlignment="1">
      <alignment horizontal="center" vertical="center"/>
    </xf>
    <xf numFmtId="166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6" fontId="0" fillId="0" borderId="0" xfId="0" applyNumberFormat="1" applyBorder="1"/>
    <xf numFmtId="166" fontId="0" fillId="0" borderId="11" xfId="0" applyNumberFormat="1" applyBorder="1"/>
    <xf numFmtId="166" fontId="0" fillId="0" borderId="14" xfId="0" applyNumberFormat="1" applyBorder="1"/>
    <xf numFmtId="166" fontId="0" fillId="0" borderId="15" xfId="0" applyNumberFormat="1" applyBorder="1"/>
    <xf numFmtId="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0" fontId="4" fillId="0" borderId="5" xfId="1" applyNumberFormat="1" applyFont="1" applyBorder="1"/>
    <xf numFmtId="10" fontId="4" fillId="0" borderId="10" xfId="1" applyNumberFormat="1" applyFont="1" applyBorder="1"/>
    <xf numFmtId="0" fontId="0" fillId="0" borderId="0" xfId="0" applyAlignment="1">
      <alignment horizontal="right"/>
    </xf>
    <xf numFmtId="0" fontId="0" fillId="17" borderId="0" xfId="0" applyFill="1"/>
    <xf numFmtId="0" fontId="0" fillId="3" borderId="0" xfId="0" applyFill="1"/>
    <xf numFmtId="166" fontId="0" fillId="2" borderId="0" xfId="0" applyNumberFormat="1" applyFill="1"/>
    <xf numFmtId="164" fontId="0" fillId="0" borderId="1" xfId="0" applyNumberFormat="1" applyBorder="1"/>
    <xf numFmtId="166" fontId="0" fillId="0" borderId="10" xfId="0" applyNumberFormat="1" applyBorder="1"/>
    <xf numFmtId="166" fontId="0" fillId="0" borderId="5" xfId="0" applyNumberFormat="1" applyBorder="1"/>
    <xf numFmtId="164" fontId="0" fillId="0" borderId="13" xfId="1" applyNumberFormat="1" applyFont="1" applyFill="1" applyBorder="1" applyAlignment="1">
      <alignment horizontal="center"/>
    </xf>
    <xf numFmtId="0" fontId="0" fillId="3" borderId="14" xfId="0" applyFill="1" applyBorder="1"/>
    <xf numFmtId="164" fontId="0" fillId="3" borderId="0" xfId="1" applyNumberFormat="1" applyFont="1" applyFill="1" applyBorder="1"/>
    <xf numFmtId="0" fontId="0" fillId="3" borderId="9" xfId="0" applyFill="1" applyBorder="1"/>
    <xf numFmtId="164" fontId="0" fillId="3" borderId="9" xfId="1" applyNumberFormat="1" applyFont="1" applyFill="1" applyBorder="1"/>
    <xf numFmtId="0" fontId="0" fillId="8" borderId="0" xfId="0" applyFill="1" applyBorder="1"/>
    <xf numFmtId="0" fontId="0" fillId="8" borderId="8" xfId="0" applyFill="1" applyBorder="1"/>
    <xf numFmtId="165" fontId="0" fillId="0" borderId="0" xfId="0" applyNumberFormat="1" applyBorder="1"/>
    <xf numFmtId="0" fontId="0" fillId="9" borderId="0" xfId="0" applyFill="1" applyAlignment="1"/>
    <xf numFmtId="0" fontId="0" fillId="8" borderId="0" xfId="0" applyFill="1" applyAlignment="1"/>
    <xf numFmtId="0" fontId="0" fillId="16" borderId="0" xfId="0" applyFill="1" applyAlignment="1"/>
    <xf numFmtId="0" fontId="0" fillId="2" borderId="0" xfId="0" applyFill="1" applyAlignment="1"/>
    <xf numFmtId="0" fontId="0" fillId="12" borderId="0" xfId="0" applyFill="1" applyAlignment="1"/>
    <xf numFmtId="164" fontId="0" fillId="0" borderId="15" xfId="0" applyNumberFormat="1" applyBorder="1"/>
    <xf numFmtId="164" fontId="0" fillId="0" borderId="13" xfId="0" applyNumberFormat="1" applyBorder="1"/>
    <xf numFmtId="166" fontId="0" fillId="0" borderId="0" xfId="0" applyNumberFormat="1"/>
    <xf numFmtId="167" fontId="4" fillId="0" borderId="3" xfId="0" applyNumberFormat="1" applyFont="1" applyBorder="1"/>
    <xf numFmtId="167" fontId="2" fillId="0" borderId="3" xfId="0" applyNumberFormat="1" applyFont="1" applyBorder="1"/>
    <xf numFmtId="0" fontId="0" fillId="10" borderId="0" xfId="0" applyFill="1" applyAlignment="1"/>
    <xf numFmtId="0" fontId="0" fillId="10" borderId="0" xfId="0" applyFill="1"/>
    <xf numFmtId="0" fontId="0" fillId="5" borderId="2" xfId="0" applyFill="1" applyBorder="1" applyAlignment="1">
      <alignment horizontal="center"/>
    </xf>
    <xf numFmtId="4" fontId="0" fillId="0" borderId="0" xfId="0" applyNumberFormat="1"/>
    <xf numFmtId="4" fontId="0" fillId="0" borderId="0" xfId="0" applyNumberFormat="1" applyBorder="1"/>
    <xf numFmtId="0" fontId="0" fillId="5" borderId="1" xfId="0" applyFill="1" applyBorder="1" applyAlignment="1">
      <alignment horizontal="center"/>
    </xf>
    <xf numFmtId="10" fontId="0" fillId="3" borderId="8" xfId="1" applyNumberFormat="1" applyFont="1" applyFill="1" applyBorder="1"/>
    <xf numFmtId="10" fontId="2" fillId="0" borderId="5" xfId="1" applyNumberFormat="1" applyFont="1" applyBorder="1"/>
    <xf numFmtId="10" fontId="2" fillId="0" borderId="10" xfId="1" applyNumberFormat="1" applyFont="1" applyBorder="1"/>
    <xf numFmtId="164" fontId="0" fillId="10" borderId="0" xfId="0" applyNumberFormat="1" applyFill="1" applyAlignment="1"/>
    <xf numFmtId="164" fontId="0" fillId="9" borderId="0" xfId="0" applyNumberFormat="1" applyFill="1" applyAlignment="1"/>
    <xf numFmtId="164" fontId="0" fillId="8" borderId="0" xfId="0" applyNumberFormat="1" applyFill="1" applyAlignment="1"/>
    <xf numFmtId="164" fontId="0" fillId="16" borderId="0" xfId="0" applyNumberFormat="1" applyFill="1" applyAlignment="1"/>
    <xf numFmtId="164" fontId="0" fillId="2" borderId="0" xfId="0" applyNumberFormat="1" applyFill="1" applyAlignment="1"/>
    <xf numFmtId="164" fontId="0" fillId="12" borderId="0" xfId="0" applyNumberFormat="1" applyFill="1" applyAlignment="1"/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AL29"/>
  <sheetViews>
    <sheetView topLeftCell="C1" zoomScale="70" zoomScaleNormal="70" workbookViewId="0">
      <selection activeCell="Q20" sqref="Q20"/>
    </sheetView>
  </sheetViews>
  <sheetFormatPr defaultRowHeight="12.75" x14ac:dyDescent="0.2"/>
  <cols>
    <col min="1" max="1" width="17.85546875" bestFit="1" customWidth="1"/>
    <col min="2" max="3" width="17.85546875" customWidth="1"/>
    <col min="4" max="4" width="5.140625" customWidth="1"/>
    <col min="5" max="5" width="7" customWidth="1"/>
    <col min="6" max="35" width="10.7109375" customWidth="1"/>
    <col min="36" max="36" width="17.85546875" customWidth="1"/>
    <col min="37" max="38" width="10.7109375" customWidth="1"/>
  </cols>
  <sheetData>
    <row r="1" spans="1:37" x14ac:dyDescent="0.2">
      <c r="A1" s="118" t="s">
        <v>171</v>
      </c>
      <c r="B1" s="119"/>
      <c r="C1" s="120"/>
      <c r="K1" s="127" t="s">
        <v>35</v>
      </c>
      <c r="L1" s="128"/>
      <c r="M1" s="61" t="s">
        <v>31</v>
      </c>
      <c r="N1" s="61" t="s">
        <v>32</v>
      </c>
      <c r="O1" s="4" t="s">
        <v>39</v>
      </c>
      <c r="P1" s="129" t="s">
        <v>41</v>
      </c>
      <c r="Q1" s="130"/>
    </row>
    <row r="2" spans="1:37" x14ac:dyDescent="0.2">
      <c r="A2" s="121"/>
      <c r="B2" s="122"/>
      <c r="C2" s="123"/>
      <c r="K2" s="59" t="s">
        <v>37</v>
      </c>
      <c r="L2" s="60"/>
      <c r="M2" s="62">
        <f>$B$7*($AK$25-2*$AK$26)</f>
        <v>250.14083718336605</v>
      </c>
      <c r="N2" s="62">
        <f>$B$7*($AK$25+2*$AK$26)</f>
        <v>271.58443040388227</v>
      </c>
      <c r="O2" s="64">
        <f>AVERAGE(M2:N2)</f>
        <v>260.86263379362413</v>
      </c>
      <c r="P2" s="131">
        <f>$O$2/AF14-1</f>
        <v>-2.8806277760148546E-2</v>
      </c>
      <c r="Q2" s="132"/>
    </row>
    <row r="3" spans="1:37" x14ac:dyDescent="0.2">
      <c r="A3" s="124"/>
      <c r="B3" s="125"/>
      <c r="C3" s="126"/>
      <c r="K3" s="45" t="s">
        <v>38</v>
      </c>
      <c r="L3" s="19"/>
      <c r="M3" s="63">
        <f>$C$7*($AK$25-2*$AK$26)</f>
        <v>254.51010944857771</v>
      </c>
      <c r="N3" s="63">
        <f>$C$7*($AK$25+2*$AK$26)</f>
        <v>276.32826324936497</v>
      </c>
      <c r="O3" s="65">
        <f>AVERAGE(M3:N3)</f>
        <v>265.41918634897132</v>
      </c>
      <c r="P3" s="115">
        <f>$O$3/AF15-1</f>
        <v>-1.1842195275609479E-2</v>
      </c>
      <c r="Q3" s="116"/>
    </row>
    <row r="4" spans="1:37" x14ac:dyDescent="0.2">
      <c r="A4" s="50"/>
      <c r="B4" s="50"/>
      <c r="C4" s="50"/>
      <c r="N4" s="4" t="s">
        <v>40</v>
      </c>
      <c r="O4" s="65">
        <f>AVERAGE(O2:O3)</f>
        <v>263.14091007129775</v>
      </c>
      <c r="P4" s="115">
        <f>$O$4/AF15-1</f>
        <v>-2.0324236517878846E-2</v>
      </c>
      <c r="Q4" s="116"/>
    </row>
    <row r="5" spans="1:37" x14ac:dyDescent="0.2">
      <c r="A5" s="58" t="s">
        <v>34</v>
      </c>
      <c r="B5" s="48" t="s">
        <v>31</v>
      </c>
      <c r="C5" s="49" t="s">
        <v>32</v>
      </c>
    </row>
    <row r="6" spans="1:37" ht="15.75" x14ac:dyDescent="0.25">
      <c r="A6" s="52" t="s">
        <v>33</v>
      </c>
      <c r="B6" s="56">
        <v>8043.0524999999998</v>
      </c>
      <c r="C6" s="57">
        <v>8183.5425000000005</v>
      </c>
    </row>
    <row r="7" spans="1:37" ht="14.25" x14ac:dyDescent="0.2">
      <c r="A7" s="53" t="s">
        <v>36</v>
      </c>
      <c r="B7" s="54">
        <f>B6*$AK$24</f>
        <v>1059.0661592254899</v>
      </c>
      <c r="C7" s="55">
        <f>C6*$AK$24</f>
        <v>1077.5651314390357</v>
      </c>
    </row>
    <row r="8" spans="1:37" x14ac:dyDescent="0.2">
      <c r="F8" s="50"/>
      <c r="G8" s="50"/>
      <c r="H8" s="50"/>
    </row>
    <row r="9" spans="1:37" x14ac:dyDescent="0.2">
      <c r="F9" s="50"/>
      <c r="G9" s="50"/>
      <c r="H9" s="50"/>
    </row>
    <row r="10" spans="1:37" x14ac:dyDescent="0.2">
      <c r="H10" s="117" t="s">
        <v>15</v>
      </c>
      <c r="I10" s="117"/>
      <c r="J10" s="35">
        <f>AVERAGE(F13:AJ13)</f>
        <v>1.0097736377614925</v>
      </c>
      <c r="AG10" s="117" t="s">
        <v>16</v>
      </c>
      <c r="AH10" s="117"/>
      <c r="AI10" s="117"/>
      <c r="AJ10" s="79">
        <f>AVERAGE(AJ13,AF13:AH13)</f>
        <v>1.0155248245032911</v>
      </c>
    </row>
    <row r="11" spans="1:37" x14ac:dyDescent="0.2">
      <c r="A11" s="51" t="s">
        <v>6</v>
      </c>
      <c r="B11" s="142">
        <v>2012</v>
      </c>
      <c r="C11" s="143"/>
      <c r="D11" s="143"/>
      <c r="E11" s="144"/>
      <c r="F11" s="156">
        <v>2014</v>
      </c>
      <c r="G11" s="156"/>
      <c r="H11" s="156"/>
      <c r="I11" s="157"/>
      <c r="J11" s="158">
        <v>2015</v>
      </c>
      <c r="K11" s="159"/>
      <c r="L11" s="159"/>
      <c r="M11" s="160"/>
      <c r="N11" s="158">
        <v>2016</v>
      </c>
      <c r="O11" s="159"/>
      <c r="P11" s="159"/>
      <c r="Q11" s="160"/>
      <c r="R11" s="161">
        <v>2017</v>
      </c>
      <c r="S11" s="162"/>
      <c r="T11" s="162"/>
      <c r="U11" s="163"/>
      <c r="V11" s="135">
        <v>2018</v>
      </c>
      <c r="W11" s="136"/>
      <c r="X11" s="136"/>
      <c r="Y11" s="137"/>
      <c r="Z11" s="164">
        <v>2019</v>
      </c>
      <c r="AA11" s="165"/>
      <c r="AB11" s="165"/>
      <c r="AC11" s="166"/>
      <c r="AD11" s="167">
        <v>2020</v>
      </c>
      <c r="AE11" s="156"/>
      <c r="AF11" s="156"/>
      <c r="AG11" s="157"/>
      <c r="AH11" s="158">
        <v>2021</v>
      </c>
      <c r="AI11" s="159"/>
      <c r="AJ11" s="159"/>
      <c r="AK11" s="160"/>
    </row>
    <row r="12" spans="1:37" x14ac:dyDescent="0.2">
      <c r="A12" s="14" t="s">
        <v>19</v>
      </c>
      <c r="B12" s="102" t="s">
        <v>20</v>
      </c>
      <c r="C12" s="102" t="s">
        <v>3</v>
      </c>
      <c r="D12" s="102" t="s">
        <v>4</v>
      </c>
      <c r="E12" s="105" t="s">
        <v>5</v>
      </c>
      <c r="F12" s="20" t="s">
        <v>20</v>
      </c>
      <c r="G12" s="20" t="s">
        <v>3</v>
      </c>
      <c r="H12" s="20" t="s">
        <v>4</v>
      </c>
      <c r="I12" s="20" t="s">
        <v>5</v>
      </c>
      <c r="J12" s="21" t="s">
        <v>20</v>
      </c>
      <c r="K12" s="22" t="s">
        <v>3</v>
      </c>
      <c r="L12" s="22" t="s">
        <v>4</v>
      </c>
      <c r="M12" s="22" t="s">
        <v>5</v>
      </c>
      <c r="N12" s="21" t="s">
        <v>20</v>
      </c>
      <c r="O12" s="22" t="s">
        <v>3</v>
      </c>
      <c r="P12" s="22" t="s">
        <v>4</v>
      </c>
      <c r="Q12" s="22" t="s">
        <v>5</v>
      </c>
      <c r="R12" s="23" t="s">
        <v>20</v>
      </c>
      <c r="S12" s="24" t="s">
        <v>3</v>
      </c>
      <c r="T12" s="24" t="s">
        <v>4</v>
      </c>
      <c r="U12" s="24" t="s">
        <v>5</v>
      </c>
      <c r="V12" s="25" t="s">
        <v>20</v>
      </c>
      <c r="W12" s="26" t="s">
        <v>3</v>
      </c>
      <c r="X12" s="26" t="s">
        <v>4</v>
      </c>
      <c r="Y12" s="26" t="s">
        <v>5</v>
      </c>
      <c r="Z12" s="27" t="s">
        <v>20</v>
      </c>
      <c r="AA12" s="28" t="s">
        <v>3</v>
      </c>
      <c r="AB12" s="28" t="s">
        <v>4</v>
      </c>
      <c r="AC12" s="28" t="s">
        <v>5</v>
      </c>
      <c r="AD12" s="29" t="s">
        <v>20</v>
      </c>
      <c r="AE12" s="20" t="s">
        <v>3</v>
      </c>
      <c r="AF12" s="20" t="s">
        <v>4</v>
      </c>
      <c r="AG12" s="20" t="s">
        <v>5</v>
      </c>
      <c r="AH12" s="37" t="s">
        <v>20</v>
      </c>
      <c r="AI12" s="38" t="s">
        <v>3</v>
      </c>
      <c r="AJ12" s="39" t="s">
        <v>21</v>
      </c>
      <c r="AK12" s="30" t="s">
        <v>22</v>
      </c>
    </row>
    <row r="13" spans="1:37" x14ac:dyDescent="0.2">
      <c r="A13" s="34" t="s">
        <v>2</v>
      </c>
      <c r="F13" s="82"/>
      <c r="G13" s="82"/>
      <c r="H13" s="82"/>
      <c r="I13" s="82"/>
      <c r="J13" s="82">
        <f>J15/F15</f>
        <v>0.98747980613893382</v>
      </c>
      <c r="K13" s="82">
        <f t="shared" ref="K13:AI13" si="0">K15/G15</f>
        <v>0.97813121272365811</v>
      </c>
      <c r="L13" s="82">
        <f t="shared" si="0"/>
        <v>0.97915815284021257</v>
      </c>
      <c r="M13" s="82">
        <f t="shared" si="0"/>
        <v>0.98115429917550068</v>
      </c>
      <c r="N13" s="82">
        <f t="shared" si="0"/>
        <v>1</v>
      </c>
      <c r="O13" s="82">
        <f t="shared" si="0"/>
        <v>1.0052845528455285</v>
      </c>
      <c r="P13" s="82">
        <f t="shared" si="0"/>
        <v>0.99165275459098501</v>
      </c>
      <c r="Q13" s="82">
        <f t="shared" si="0"/>
        <v>1.011204481792717</v>
      </c>
      <c r="R13" s="82">
        <f t="shared" si="0"/>
        <v>1</v>
      </c>
      <c r="S13" s="82">
        <f t="shared" si="0"/>
        <v>0.98422968054993931</v>
      </c>
      <c r="T13" s="82">
        <f t="shared" si="0"/>
        <v>0.95370370370370372</v>
      </c>
      <c r="U13" s="82">
        <f t="shared" si="0"/>
        <v>1.0067273446774831</v>
      </c>
      <c r="V13" s="82">
        <f t="shared" si="0"/>
        <v>1.0134969325153376</v>
      </c>
      <c r="W13" s="82">
        <f t="shared" si="0"/>
        <v>1.0271158586688578</v>
      </c>
      <c r="X13" s="82">
        <f t="shared" si="0"/>
        <v>1.0591350397175641</v>
      </c>
      <c r="Y13" s="82">
        <f t="shared" si="0"/>
        <v>1.0161163522012577</v>
      </c>
      <c r="Z13" s="82">
        <f t="shared" si="0"/>
        <v>0.99717514124293782</v>
      </c>
      <c r="AA13" s="82">
        <f t="shared" si="0"/>
        <v>1.0132000000000001</v>
      </c>
      <c r="AB13" s="82">
        <f t="shared" si="0"/>
        <v>1.0375000000000001</v>
      </c>
      <c r="AC13" s="82">
        <f t="shared" si="0"/>
        <v>1.032495164410058</v>
      </c>
      <c r="AD13" s="82">
        <f t="shared" si="0"/>
        <v>0.94091460946985028</v>
      </c>
      <c r="AE13" s="82">
        <f t="shared" si="0"/>
        <v>0.67390446111330427</v>
      </c>
      <c r="AF13" s="82">
        <f t="shared" si="0"/>
        <v>1.0787148594377511</v>
      </c>
      <c r="AG13" s="82">
        <f t="shared" si="0"/>
        <v>1.0104908205320344</v>
      </c>
      <c r="AH13" s="82">
        <f t="shared" si="0"/>
        <v>1.0116129032258063</v>
      </c>
      <c r="AI13" s="82">
        <f t="shared" si="0"/>
        <v>1.5120093731693032</v>
      </c>
      <c r="AJ13" s="82">
        <f>AJ14/AF14</f>
        <v>0.96128071481757249</v>
      </c>
      <c r="AK13" s="31"/>
    </row>
    <row r="14" spans="1:37" x14ac:dyDescent="0.2">
      <c r="A14" s="15" t="s">
        <v>0</v>
      </c>
      <c r="B14" s="6"/>
      <c r="C14" s="6"/>
      <c r="D14" s="6"/>
      <c r="E14" s="6"/>
      <c r="F14" s="7">
        <v>247.7</v>
      </c>
      <c r="G14" s="7">
        <v>251.6</v>
      </c>
      <c r="H14" s="7">
        <v>246.4</v>
      </c>
      <c r="I14" s="7">
        <v>254.8</v>
      </c>
      <c r="J14" s="9">
        <v>244.5</v>
      </c>
      <c r="K14" s="6">
        <v>246.2</v>
      </c>
      <c r="L14" s="6">
        <v>239.8</v>
      </c>
      <c r="M14" s="6">
        <v>249.9</v>
      </c>
      <c r="N14" s="9">
        <v>245</v>
      </c>
      <c r="O14" s="6">
        <v>247.7</v>
      </c>
      <c r="P14" s="6">
        <v>238.1</v>
      </c>
      <c r="Q14" s="6">
        <v>253.2</v>
      </c>
      <c r="R14" s="9">
        <v>244.8</v>
      </c>
      <c r="S14" s="6">
        <v>243.6</v>
      </c>
      <c r="T14" s="6">
        <v>227</v>
      </c>
      <c r="U14" s="6">
        <v>254.9</v>
      </c>
      <c r="V14" s="9">
        <v>247.8</v>
      </c>
      <c r="W14" s="6">
        <v>250</v>
      </c>
      <c r="X14" s="6">
        <v>240</v>
      </c>
      <c r="Y14" s="6">
        <v>258.60000000000002</v>
      </c>
      <c r="Z14" s="9">
        <v>247.1</v>
      </c>
      <c r="AA14" s="6">
        <v>253.3</v>
      </c>
      <c r="AB14" s="6">
        <v>249</v>
      </c>
      <c r="AC14" s="6">
        <v>266.89999999999998</v>
      </c>
      <c r="AD14" s="9">
        <v>232.7</v>
      </c>
      <c r="AE14" s="6">
        <v>170.7</v>
      </c>
      <c r="AF14" s="6">
        <v>268.60000000000002</v>
      </c>
      <c r="AG14" s="6">
        <v>269.7</v>
      </c>
      <c r="AH14" s="6">
        <v>235.2</v>
      </c>
      <c r="AI14" s="6">
        <v>258.10000000000002</v>
      </c>
      <c r="AJ14" s="104">
        <v>258.2</v>
      </c>
      <c r="AK14" s="104">
        <v>286</v>
      </c>
    </row>
    <row r="15" spans="1:37" x14ac:dyDescent="0.2">
      <c r="A15" s="15" t="s">
        <v>1</v>
      </c>
      <c r="B15" s="6"/>
      <c r="C15" s="6"/>
      <c r="D15" s="6"/>
      <c r="E15" s="6"/>
      <c r="F15" s="6">
        <v>247.6</v>
      </c>
      <c r="G15" s="6">
        <v>251.5</v>
      </c>
      <c r="H15" s="6">
        <v>244.7</v>
      </c>
      <c r="I15" s="6">
        <v>254.7</v>
      </c>
      <c r="J15" s="9">
        <v>244.5</v>
      </c>
      <c r="K15" s="6">
        <v>246</v>
      </c>
      <c r="L15" s="6">
        <v>239.6</v>
      </c>
      <c r="M15" s="6">
        <v>249.9</v>
      </c>
      <c r="N15" s="9">
        <v>244.5</v>
      </c>
      <c r="O15" s="6">
        <v>247.3</v>
      </c>
      <c r="P15" s="6">
        <v>237.6</v>
      </c>
      <c r="Q15" s="6">
        <v>252.7</v>
      </c>
      <c r="R15" s="9">
        <v>244.5</v>
      </c>
      <c r="S15" s="6">
        <v>243.4</v>
      </c>
      <c r="T15" s="6">
        <v>226.6</v>
      </c>
      <c r="U15" s="6">
        <v>254.4</v>
      </c>
      <c r="V15" s="9">
        <v>247.8</v>
      </c>
      <c r="W15" s="6">
        <v>250</v>
      </c>
      <c r="X15" s="6">
        <v>240</v>
      </c>
      <c r="Y15" s="6">
        <v>258.5</v>
      </c>
      <c r="Z15" s="9">
        <v>247.1</v>
      </c>
      <c r="AA15" s="6">
        <v>253.3</v>
      </c>
      <c r="AB15" s="6">
        <v>249</v>
      </c>
      <c r="AC15" s="6">
        <v>266.89999999999998</v>
      </c>
      <c r="AD15" s="9">
        <v>232.5</v>
      </c>
      <c r="AE15" s="6">
        <v>170.7</v>
      </c>
      <c r="AF15" s="6">
        <v>268.60000000000002</v>
      </c>
      <c r="AG15" s="6">
        <v>269.7</v>
      </c>
      <c r="AH15" s="9">
        <v>235.2</v>
      </c>
      <c r="AI15" s="6">
        <v>258.10000000000002</v>
      </c>
      <c r="AJ15" s="9"/>
      <c r="AK15" s="10"/>
    </row>
    <row r="16" spans="1:37" x14ac:dyDescent="0.2">
      <c r="A16" s="15" t="s">
        <v>157</v>
      </c>
      <c r="B16" s="9"/>
      <c r="C16" s="9"/>
      <c r="D16" s="9"/>
      <c r="E16" s="9"/>
      <c r="F16" s="9">
        <v>1161.5</v>
      </c>
      <c r="G16" s="6">
        <v>1182.9000000000001</v>
      </c>
      <c r="H16" s="6">
        <v>1106</v>
      </c>
      <c r="I16" s="10">
        <v>1222.9000000000001</v>
      </c>
      <c r="J16" s="9">
        <v>1134.4000000000001</v>
      </c>
      <c r="K16" s="6">
        <v>1167.5999999999999</v>
      </c>
      <c r="L16" s="6">
        <v>1762.2</v>
      </c>
      <c r="M16" s="10">
        <v>1933.6</v>
      </c>
      <c r="N16" s="9">
        <v>1900.8</v>
      </c>
      <c r="O16" s="6">
        <v>1930.1</v>
      </c>
      <c r="P16" s="6">
        <v>1829.2</v>
      </c>
      <c r="Q16" s="10">
        <v>2008.3</v>
      </c>
      <c r="R16" s="9">
        <v>1972.4</v>
      </c>
      <c r="S16" s="6">
        <v>1949.5</v>
      </c>
      <c r="T16" s="6">
        <v>1813.1</v>
      </c>
      <c r="U16" s="10">
        <v>2068.3000000000002</v>
      </c>
      <c r="V16" s="9">
        <v>2017.6</v>
      </c>
      <c r="W16" s="6">
        <v>2007.6</v>
      </c>
      <c r="X16" s="6">
        <v>1836.7</v>
      </c>
      <c r="Y16" s="10">
        <v>2071</v>
      </c>
      <c r="Z16" s="9">
        <v>1975.5</v>
      </c>
      <c r="AA16" s="6">
        <v>1988.6</v>
      </c>
      <c r="AB16" s="6">
        <v>1892.4</v>
      </c>
      <c r="AC16" s="10">
        <v>2125.6999999999998</v>
      </c>
      <c r="AD16" s="9">
        <v>1783.8</v>
      </c>
      <c r="AE16" s="6">
        <v>1226.0999999999999</v>
      </c>
      <c r="AF16" s="6">
        <v>1929.3</v>
      </c>
      <c r="AG16" s="10">
        <v>2085.3000000000002</v>
      </c>
      <c r="AH16" s="9">
        <v>1847.4</v>
      </c>
      <c r="AI16">
        <v>2026.9</v>
      </c>
      <c r="AJ16" s="103">
        <v>1943.9</v>
      </c>
      <c r="AK16" s="10"/>
    </row>
    <row r="17" spans="1:38" x14ac:dyDescent="0.2">
      <c r="A17" s="83" t="s">
        <v>18</v>
      </c>
      <c r="B17" s="84"/>
      <c r="C17" s="84"/>
      <c r="D17" s="84"/>
      <c r="E17" s="84"/>
      <c r="F17" s="84">
        <f>F15/F16</f>
        <v>0.21317262160998707</v>
      </c>
      <c r="G17" s="84">
        <f t="shared" ref="G17:L17" si="1">G15/G16</f>
        <v>0.21261306957477386</v>
      </c>
      <c r="H17" s="84">
        <f t="shared" si="1"/>
        <v>0.22124773960216998</v>
      </c>
      <c r="I17" s="84">
        <f t="shared" si="1"/>
        <v>0.20827541090849616</v>
      </c>
      <c r="J17" s="84">
        <f t="shared" si="1"/>
        <v>0.21553244005641747</v>
      </c>
      <c r="K17" s="84">
        <f t="shared" si="1"/>
        <v>0.21068859198355602</v>
      </c>
      <c r="L17" s="84">
        <f t="shared" si="1"/>
        <v>0.13596640562932696</v>
      </c>
      <c r="M17" s="84">
        <f t="shared" ref="M17:AA17" si="2">M15/M16</f>
        <v>0.12924079437318992</v>
      </c>
      <c r="N17" s="84">
        <f t="shared" si="2"/>
        <v>0.1286300505050505</v>
      </c>
      <c r="O17" s="84">
        <f>O15/O16</f>
        <v>0.12812807626547848</v>
      </c>
      <c r="P17" s="84">
        <f>P15/P16</f>
        <v>0.12989284933304177</v>
      </c>
      <c r="Q17" s="84">
        <f>Q15/Q16</f>
        <v>0.12582781456953643</v>
      </c>
      <c r="R17" s="84">
        <f>R15/R16</f>
        <v>0.12396065706753194</v>
      </c>
      <c r="S17" s="84">
        <f t="shared" si="2"/>
        <v>0.124852526288792</v>
      </c>
      <c r="T17" s="84">
        <f t="shared" si="2"/>
        <v>0.12497931719155039</v>
      </c>
      <c r="U17" s="84">
        <f t="shared" si="2"/>
        <v>0.12299956486002997</v>
      </c>
      <c r="V17" s="84">
        <f t="shared" si="2"/>
        <v>0.1228191911181602</v>
      </c>
      <c r="W17" s="84">
        <f t="shared" si="2"/>
        <v>0.12452679816696553</v>
      </c>
      <c r="X17" s="84">
        <f t="shared" si="2"/>
        <v>0.13066913486143628</v>
      </c>
      <c r="Y17" s="84">
        <f t="shared" si="2"/>
        <v>0.12481892805408015</v>
      </c>
      <c r="Z17" s="84">
        <f t="shared" si="2"/>
        <v>0.12508225765628955</v>
      </c>
      <c r="AA17" s="84">
        <f t="shared" si="2"/>
        <v>0.12737604344765163</v>
      </c>
      <c r="AB17" s="84">
        <f t="shared" ref="AB17:AE17" si="3">AB15/AB16</f>
        <v>0.13157894736842105</v>
      </c>
      <c r="AC17" s="84">
        <f t="shared" si="3"/>
        <v>0.12555863950698593</v>
      </c>
      <c r="AD17" s="84">
        <f t="shared" si="3"/>
        <v>0.1303397241843256</v>
      </c>
      <c r="AE17" s="84">
        <f t="shared" si="3"/>
        <v>0.1392219231710301</v>
      </c>
      <c r="AF17" s="84">
        <f>AF15/AF16</f>
        <v>0.13922147929300785</v>
      </c>
      <c r="AG17" s="84">
        <f>AG15/AG16</f>
        <v>0.12933390879010212</v>
      </c>
      <c r="AH17" s="84">
        <f>AH15/AH16</f>
        <v>0.12731406300746995</v>
      </c>
      <c r="AI17" s="84">
        <f>AI15/AI16</f>
        <v>0.12733731313829</v>
      </c>
      <c r="AJ17" s="106">
        <f>AJ14/AJ16</f>
        <v>0.13282576264211121</v>
      </c>
      <c r="AK17" s="85"/>
    </row>
    <row r="18" spans="1:38" x14ac:dyDescent="0.2">
      <c r="A18" s="83" t="s">
        <v>24</v>
      </c>
      <c r="B18" s="84"/>
      <c r="C18" s="84"/>
      <c r="D18" s="84"/>
      <c r="E18" s="86"/>
      <c r="F18" s="84">
        <f>F15/SUM(F15:I15)</f>
        <v>0.24797195793690535</v>
      </c>
      <c r="G18" s="84">
        <f>G15/SUM(F15:I15)</f>
        <v>0.25187781672508763</v>
      </c>
      <c r="H18" s="84">
        <f>H15/SUM(F15:I15)</f>
        <v>0.24506760140210315</v>
      </c>
      <c r="I18" s="86">
        <f>I15/SUM(F15:I15)</f>
        <v>0.25508262393590386</v>
      </c>
      <c r="J18" s="84">
        <f>J15/SUM(J15:M15)</f>
        <v>0.24948979591836734</v>
      </c>
      <c r="K18" s="84">
        <f>K15/SUM(J15:M15)</f>
        <v>0.25102040816326532</v>
      </c>
      <c r="L18" s="84">
        <f>L15/SUM(J15:M15)</f>
        <v>0.24448979591836734</v>
      </c>
      <c r="M18" s="86">
        <f>M15/SUM(J15:M15)</f>
        <v>0.255</v>
      </c>
      <c r="N18" s="84">
        <f>N15/SUM(N15:Q15)</f>
        <v>0.2489563180938805</v>
      </c>
      <c r="O18" s="84">
        <f>O15/SUM(N15:Q15)</f>
        <v>0.25180735159352413</v>
      </c>
      <c r="P18" s="84">
        <f>P15/SUM(N15:Q15)</f>
        <v>0.24193055696975871</v>
      </c>
      <c r="Q18" s="86">
        <f>Q15/SUM(N15:Q15)</f>
        <v>0.25730577334283677</v>
      </c>
      <c r="R18" s="84">
        <f>R15/SUM(R15:U15)</f>
        <v>0.25234802353184022</v>
      </c>
      <c r="S18" s="84">
        <f>S15/SUM(R15:U15)</f>
        <v>0.25121271545051088</v>
      </c>
      <c r="T18" s="84">
        <f>T15/SUM(R15:U15)</f>
        <v>0.23387346475384457</v>
      </c>
      <c r="U18" s="86">
        <f>U15/SUM(R15:U15)</f>
        <v>0.26256579626380433</v>
      </c>
      <c r="V18" s="84">
        <f>V15/SUM(V15:Y15)</f>
        <v>0.2487202649804276</v>
      </c>
      <c r="W18" s="84">
        <f>W15/SUM(V15:Y15)</f>
        <v>0.25092843521027802</v>
      </c>
      <c r="X18" s="84">
        <f>X15/SUM(V15:Y15)</f>
        <v>0.24089129780186691</v>
      </c>
      <c r="Y18" s="86">
        <f>Y15/SUM(V15:Y15)</f>
        <v>0.25946000200742747</v>
      </c>
      <c r="Z18" s="84">
        <f>Z15/SUM(Z15:AC15)</f>
        <v>0.24313686903473383</v>
      </c>
      <c r="AA18" s="84">
        <f>AA15/SUM(Z15:AC15)</f>
        <v>0.24923742989274822</v>
      </c>
      <c r="AB18" s="84">
        <f>AB15/SUM(Z15:AC15)</f>
        <v>0.24500639574928665</v>
      </c>
      <c r="AC18" s="86">
        <f>AC15/SUM(Z15:AC15)</f>
        <v>0.2626193053232313</v>
      </c>
      <c r="AD18" s="84"/>
      <c r="AE18" s="84"/>
      <c r="AF18" s="84"/>
      <c r="AG18" s="86"/>
      <c r="AH18" s="84">
        <f>AH15/SUM(AH15:AI15,AJ14:AK14)</f>
        <v>0.22669879518072289</v>
      </c>
      <c r="AI18" s="84">
        <f>AI15/SUM(AH15:AI15,AJ14:AK14)</f>
        <v>0.24877108433734943</v>
      </c>
      <c r="AJ18" s="84">
        <f>AJ14/SUM(AH15:AI15,AJ14:AK14)</f>
        <v>0.24886746987951805</v>
      </c>
      <c r="AK18" s="86">
        <f>AK14/SUM(AH15:AI15,AJ14:AK14)</f>
        <v>0.27566265060240963</v>
      </c>
      <c r="AL18" s="3"/>
    </row>
    <row r="19" spans="1:38" x14ac:dyDescent="0.2">
      <c r="A19" s="16" t="s">
        <v>17</v>
      </c>
      <c r="B19" s="12"/>
      <c r="C19" s="12"/>
      <c r="D19" s="12"/>
      <c r="E19" s="12"/>
      <c r="F19" s="12"/>
      <c r="G19" s="12"/>
      <c r="H19" s="12"/>
      <c r="I19" s="12"/>
      <c r="J19" s="11">
        <v>153.9</v>
      </c>
      <c r="K19" s="12"/>
      <c r="L19" s="12">
        <v>159.6</v>
      </c>
      <c r="M19" s="6">
        <v>251.1</v>
      </c>
      <c r="N19" s="9">
        <v>241.5</v>
      </c>
      <c r="O19" s="12">
        <v>248.8</v>
      </c>
      <c r="P19" s="12">
        <v>239.4</v>
      </c>
      <c r="Q19" s="6">
        <v>249.7</v>
      </c>
      <c r="R19" s="80">
        <v>246</v>
      </c>
      <c r="S19" s="80">
        <v>245.9</v>
      </c>
      <c r="T19" s="80">
        <v>236.3</v>
      </c>
      <c r="U19" s="80">
        <v>246.6</v>
      </c>
      <c r="V19" s="80">
        <v>240.9</v>
      </c>
      <c r="W19" s="63">
        <v>243</v>
      </c>
      <c r="X19" s="63">
        <v>230.1</v>
      </c>
      <c r="Y19" s="63">
        <v>258.8</v>
      </c>
      <c r="Z19" s="80">
        <v>247.3</v>
      </c>
      <c r="AA19" s="63">
        <v>250.7</v>
      </c>
      <c r="AB19" s="63">
        <v>243.4</v>
      </c>
      <c r="AC19" s="63">
        <v>266</v>
      </c>
      <c r="AD19" s="80">
        <v>237.7</v>
      </c>
      <c r="AE19" s="63">
        <v>99.7</v>
      </c>
      <c r="AF19" s="63">
        <v>229.4</v>
      </c>
      <c r="AG19" s="63">
        <v>269.7</v>
      </c>
      <c r="AH19" s="80">
        <v>228.1</v>
      </c>
      <c r="AI19" s="63">
        <v>254.6</v>
      </c>
      <c r="AJ19" s="81"/>
      <c r="AK19" s="13"/>
    </row>
    <row r="20" spans="1:38" x14ac:dyDescent="0.2">
      <c r="F20" s="138" t="s">
        <v>7</v>
      </c>
      <c r="G20" s="139"/>
      <c r="H20" s="7"/>
      <c r="I20" s="7"/>
      <c r="J20" s="7">
        <f t="shared" ref="J20:L20" si="4">IF(J15&gt;J19,1,0)</f>
        <v>1</v>
      </c>
      <c r="K20" s="7"/>
      <c r="L20" s="7">
        <f t="shared" si="4"/>
        <v>1</v>
      </c>
      <c r="M20" s="7">
        <f t="shared" ref="M20:P20" si="5">IF(M15&gt;M19,1,0)</f>
        <v>0</v>
      </c>
      <c r="N20" s="7">
        <f t="shared" si="5"/>
        <v>1</v>
      </c>
      <c r="O20" s="7">
        <f t="shared" si="5"/>
        <v>0</v>
      </c>
      <c r="P20" s="7">
        <f t="shared" si="5"/>
        <v>0</v>
      </c>
      <c r="Q20" s="7">
        <f t="shared" ref="Q20:AI20" si="6">IF(Q15&gt;Q19,1,0)</f>
        <v>1</v>
      </c>
      <c r="R20" s="7">
        <f t="shared" si="6"/>
        <v>0</v>
      </c>
      <c r="S20" s="7">
        <f t="shared" si="6"/>
        <v>0</v>
      </c>
      <c r="T20" s="7">
        <f t="shared" si="6"/>
        <v>0</v>
      </c>
      <c r="U20" s="7">
        <f t="shared" si="6"/>
        <v>1</v>
      </c>
      <c r="V20" s="7">
        <f t="shared" si="6"/>
        <v>1</v>
      </c>
      <c r="W20" s="7">
        <f t="shared" si="6"/>
        <v>1</v>
      </c>
      <c r="X20" s="7">
        <f t="shared" si="6"/>
        <v>1</v>
      </c>
      <c r="Y20" s="7">
        <f t="shared" si="6"/>
        <v>0</v>
      </c>
      <c r="Z20" s="7">
        <f t="shared" si="6"/>
        <v>0</v>
      </c>
      <c r="AA20" s="7">
        <f t="shared" si="6"/>
        <v>1</v>
      </c>
      <c r="AB20" s="7">
        <f t="shared" si="6"/>
        <v>1</v>
      </c>
      <c r="AC20" s="7">
        <f t="shared" si="6"/>
        <v>1</v>
      </c>
      <c r="AD20" s="7">
        <f t="shared" si="6"/>
        <v>0</v>
      </c>
      <c r="AE20" s="7">
        <f t="shared" si="6"/>
        <v>1</v>
      </c>
      <c r="AF20" s="7">
        <f t="shared" si="6"/>
        <v>1</v>
      </c>
      <c r="AG20" s="7">
        <f t="shared" si="6"/>
        <v>0</v>
      </c>
      <c r="AH20" s="7">
        <f>IF(AH15&gt;AH19,1,0)</f>
        <v>1</v>
      </c>
      <c r="AI20" s="8">
        <f t="shared" si="6"/>
        <v>1</v>
      </c>
      <c r="AJ20" s="45" t="s">
        <v>8</v>
      </c>
      <c r="AK20" s="42">
        <f>AVERAGE(J20:AI20)</f>
        <v>0.6</v>
      </c>
    </row>
    <row r="21" spans="1:38" x14ac:dyDescent="0.2">
      <c r="F21" s="133" t="s">
        <v>9</v>
      </c>
      <c r="G21" s="134"/>
      <c r="I21" s="6"/>
      <c r="J21" s="6"/>
      <c r="K21" s="6"/>
      <c r="L21" s="6"/>
      <c r="M21" s="6"/>
      <c r="N21" s="6">
        <f>AVERAGE(L20:N20,J20)</f>
        <v>0.75</v>
      </c>
      <c r="O21" s="6">
        <f t="shared" ref="O21" si="7">AVERAGE(L20:O20)</f>
        <v>0.5</v>
      </c>
      <c r="P21" s="6">
        <f t="shared" ref="P21" si="8">AVERAGE(M20:P20)</f>
        <v>0.25</v>
      </c>
      <c r="Q21" s="6">
        <f t="shared" ref="Q21" si="9">AVERAGE(N20:Q20)</f>
        <v>0.5</v>
      </c>
      <c r="R21" s="6">
        <f t="shared" ref="R21" si="10">AVERAGE(O20:R20)</f>
        <v>0.25</v>
      </c>
      <c r="S21" s="6">
        <f t="shared" ref="S21" si="11">AVERAGE(P20:S20)</f>
        <v>0.25</v>
      </c>
      <c r="T21" s="6">
        <f t="shared" ref="T21:AI21" si="12">AVERAGE(Q20:T20)</f>
        <v>0.25</v>
      </c>
      <c r="U21" s="6">
        <f t="shared" si="12"/>
        <v>0.25</v>
      </c>
      <c r="V21" s="6">
        <f t="shared" si="12"/>
        <v>0.5</v>
      </c>
      <c r="W21" s="6">
        <f t="shared" si="12"/>
        <v>0.75</v>
      </c>
      <c r="X21" s="6">
        <f t="shared" si="12"/>
        <v>1</v>
      </c>
      <c r="Y21" s="6">
        <f t="shared" si="12"/>
        <v>0.75</v>
      </c>
      <c r="Z21" s="6">
        <f t="shared" si="12"/>
        <v>0.5</v>
      </c>
      <c r="AA21" s="6">
        <f t="shared" si="12"/>
        <v>0.5</v>
      </c>
      <c r="AB21" s="6">
        <f t="shared" si="12"/>
        <v>0.5</v>
      </c>
      <c r="AC21" s="6">
        <f t="shared" si="12"/>
        <v>0.75</v>
      </c>
      <c r="AD21" s="6">
        <f t="shared" si="12"/>
        <v>0.75</v>
      </c>
      <c r="AE21" s="6">
        <f t="shared" si="12"/>
        <v>0.75</v>
      </c>
      <c r="AF21" s="6">
        <f t="shared" si="12"/>
        <v>0.75</v>
      </c>
      <c r="AG21" s="6">
        <f t="shared" si="12"/>
        <v>0.5</v>
      </c>
      <c r="AH21" s="6">
        <f t="shared" si="12"/>
        <v>0.75</v>
      </c>
      <c r="AI21" s="10">
        <f t="shared" si="12"/>
        <v>0.75</v>
      </c>
      <c r="AJ21" s="41" t="s">
        <v>10</v>
      </c>
      <c r="AK21" s="42">
        <f>AVERAGE(N21:AI21)</f>
        <v>0.56818181818181823</v>
      </c>
    </row>
    <row r="22" spans="1:38" x14ac:dyDescent="0.2">
      <c r="F22" s="154" t="s">
        <v>11</v>
      </c>
      <c r="G22" s="155"/>
      <c r="H22" s="18"/>
      <c r="I22" s="18"/>
      <c r="J22" s="18">
        <f t="shared" ref="J22:L22" si="13">J15/J19-1</f>
        <v>0.5886939571150096</v>
      </c>
      <c r="K22" s="18"/>
      <c r="L22" s="18">
        <f t="shared" si="13"/>
        <v>0.50125313283208017</v>
      </c>
      <c r="M22" s="18">
        <f t="shared" ref="M22:P22" si="14">M15/M19-1</f>
        <v>-4.7789725209079759E-3</v>
      </c>
      <c r="N22" s="18">
        <f>N15/N19-1</f>
        <v>1.2422360248447228E-2</v>
      </c>
      <c r="O22" s="18">
        <f t="shared" si="14"/>
        <v>-6.0289389067523791E-3</v>
      </c>
      <c r="P22" s="18">
        <f t="shared" si="14"/>
        <v>-7.5187969924812581E-3</v>
      </c>
      <c r="Q22" s="18">
        <f t="shared" ref="Q22:AI22" si="15">Q15/Q19-1</f>
        <v>1.2014417300760805E-2</v>
      </c>
      <c r="R22" s="18">
        <f t="shared" si="15"/>
        <v>-6.0975609756097615E-3</v>
      </c>
      <c r="S22" s="18">
        <f t="shared" si="15"/>
        <v>-1.0166734444896353E-2</v>
      </c>
      <c r="T22" s="18">
        <f t="shared" si="15"/>
        <v>-4.10495133305121E-2</v>
      </c>
      <c r="U22" s="18">
        <f t="shared" si="15"/>
        <v>3.1630170316301776E-2</v>
      </c>
      <c r="V22" s="18">
        <f t="shared" si="15"/>
        <v>2.8642590286426017E-2</v>
      </c>
      <c r="W22" s="18">
        <f t="shared" si="15"/>
        <v>2.8806584362139898E-2</v>
      </c>
      <c r="X22" s="18">
        <f t="shared" si="15"/>
        <v>4.3024771838331199E-2</v>
      </c>
      <c r="Y22" s="18">
        <f t="shared" si="15"/>
        <v>-1.1591962905719289E-3</v>
      </c>
      <c r="Z22" s="18">
        <f t="shared" si="15"/>
        <v>-8.0873433077244261E-4</v>
      </c>
      <c r="AA22" s="18">
        <f t="shared" si="15"/>
        <v>1.0370961308336701E-2</v>
      </c>
      <c r="AB22" s="18">
        <f t="shared" si="15"/>
        <v>2.3007395234182493E-2</v>
      </c>
      <c r="AC22" s="18">
        <f t="shared" si="15"/>
        <v>3.3834586466163774E-3</v>
      </c>
      <c r="AD22" s="18">
        <f t="shared" si="15"/>
        <v>-2.1876314682372722E-2</v>
      </c>
      <c r="AE22" s="18">
        <f t="shared" si="15"/>
        <v>0.71213640922768295</v>
      </c>
      <c r="AF22" s="18">
        <f t="shared" si="15"/>
        <v>0.17088055797733226</v>
      </c>
      <c r="AG22" s="18">
        <f t="shared" si="15"/>
        <v>0</v>
      </c>
      <c r="AH22" s="18">
        <f t="shared" si="15"/>
        <v>3.1126698816308584E-2</v>
      </c>
      <c r="AI22" s="40">
        <f t="shared" si="15"/>
        <v>1.3747054202670972E-2</v>
      </c>
      <c r="AJ22" s="41" t="s">
        <v>13</v>
      </c>
      <c r="AK22" s="43">
        <f>AVERAGE(J22:AI22)</f>
        <v>8.4466230289510016E-2</v>
      </c>
    </row>
    <row r="23" spans="1:38" x14ac:dyDescent="0.2">
      <c r="F23" s="133" t="s">
        <v>12</v>
      </c>
      <c r="G23" s="134"/>
      <c r="I23" s="32"/>
      <c r="J23" s="32"/>
      <c r="K23" s="32"/>
      <c r="L23" s="32"/>
      <c r="M23" s="32"/>
      <c r="N23" s="32">
        <f>AVERAGE(L22:N22,J22)</f>
        <v>0.27439761941865726</v>
      </c>
      <c r="O23" s="32">
        <f t="shared" ref="O23" si="16">AVERAGE(L22:O22)</f>
        <v>0.12571689541321676</v>
      </c>
      <c r="P23" s="32">
        <f t="shared" ref="P23" si="17">AVERAGE(M22:P22)</f>
        <v>-1.4760870429235962E-3</v>
      </c>
      <c r="Q23" s="32">
        <f t="shared" ref="Q23" si="18">AVERAGE(N22:Q22)</f>
        <v>2.722260412493599E-3</v>
      </c>
      <c r="R23" s="32">
        <f t="shared" ref="R23" si="19">AVERAGE(O22:R22)</f>
        <v>-1.9077198935206485E-3</v>
      </c>
      <c r="S23" s="32">
        <f t="shared" ref="S23" si="20">AVERAGE(P22:S22)</f>
        <v>-2.9421687780566419E-3</v>
      </c>
      <c r="T23" s="32">
        <f t="shared" ref="T23" si="21">AVERAGE(Q22:T22)</f>
        <v>-1.1324847862564352E-2</v>
      </c>
      <c r="U23" s="32">
        <f t="shared" ref="U23" si="22">AVERAGE(R22:U22)</f>
        <v>-6.4209096086791095E-3</v>
      </c>
      <c r="V23" s="32">
        <f t="shared" ref="V23:AI23" si="23">AVERAGE(S22:V22)</f>
        <v>2.2641282068298352E-3</v>
      </c>
      <c r="W23" s="32">
        <f t="shared" si="23"/>
        <v>1.2007457908588898E-2</v>
      </c>
      <c r="X23" s="32">
        <f t="shared" si="23"/>
        <v>3.3026029200799722E-2</v>
      </c>
      <c r="Y23" s="32">
        <f t="shared" si="23"/>
        <v>2.4828687549081296E-2</v>
      </c>
      <c r="Z23" s="32">
        <f t="shared" si="23"/>
        <v>1.7465856394781681E-2</v>
      </c>
      <c r="AA23" s="32">
        <f t="shared" si="23"/>
        <v>1.2856950631330882E-2</v>
      </c>
      <c r="AB23" s="32">
        <f t="shared" si="23"/>
        <v>7.8526064802937057E-3</v>
      </c>
      <c r="AC23" s="32">
        <f t="shared" si="23"/>
        <v>8.9882702145907822E-3</v>
      </c>
      <c r="AD23" s="32">
        <f t="shared" si="23"/>
        <v>3.7213751266907125E-3</v>
      </c>
      <c r="AE23" s="32">
        <f t="shared" si="23"/>
        <v>0.17916273710652728</v>
      </c>
      <c r="AF23" s="32">
        <f t="shared" si="23"/>
        <v>0.21613102779231472</v>
      </c>
      <c r="AG23" s="32">
        <f t="shared" si="23"/>
        <v>0.21528516313066062</v>
      </c>
      <c r="AH23" s="32">
        <f t="shared" si="23"/>
        <v>0.22853591650533095</v>
      </c>
      <c r="AI23" s="33">
        <f t="shared" si="23"/>
        <v>5.3938577749077954E-2</v>
      </c>
      <c r="AJ23" s="19" t="s">
        <v>14</v>
      </c>
      <c r="AK23" s="33">
        <f>AVERAGE(N23:AI23)</f>
        <v>6.3401355729796466E-2</v>
      </c>
    </row>
    <row r="24" spans="1:38" x14ac:dyDescent="0.2">
      <c r="F24" s="138" t="s">
        <v>25</v>
      </c>
      <c r="G24" s="139"/>
      <c r="H24" s="96">
        <f>AVERAGE(J22,L22,N22,Q22,U22:X22,AA22:AC22,AE22:AF22,AH22:AI22)</f>
        <v>0.14740936798084181</v>
      </c>
      <c r="I24" s="138" t="s">
        <v>29</v>
      </c>
      <c r="J24" s="152"/>
      <c r="K24" s="46">
        <f>MEDIAN(J22,L22,N22,Q22,U22:X22,AA22:AC22,AE22:AF22,AH22:AI22)</f>
        <v>2.8806584362139898E-2</v>
      </c>
      <c r="AF24" s="3"/>
      <c r="AG24" s="145" t="s">
        <v>23</v>
      </c>
      <c r="AH24" s="146"/>
      <c r="AI24" s="146"/>
      <c r="AJ24" s="147"/>
      <c r="AK24" s="44">
        <f>AVERAGE(AI17:AJ17,AH17,AF17)</f>
        <v>0.13167465452021976</v>
      </c>
    </row>
    <row r="25" spans="1:38" x14ac:dyDescent="0.2">
      <c r="F25" s="140" t="s">
        <v>26</v>
      </c>
      <c r="G25" s="141"/>
      <c r="H25" s="95">
        <f>AVERAGE(M22,O22:P22,R22:T22,Y22:Z22,AD22)</f>
        <v>-1.1053862497208546E-2</v>
      </c>
      <c r="I25" s="140" t="s">
        <v>30</v>
      </c>
      <c r="J25" s="153"/>
      <c r="K25" s="33">
        <f>MEDIAN(M22,O22:P22,R22:T22,Y22:Z22,AD22)</f>
        <v>-6.0975609756097615E-3</v>
      </c>
      <c r="AG25" s="148" t="s">
        <v>27</v>
      </c>
      <c r="AH25" s="149"/>
      <c r="AI25" s="149"/>
      <c r="AJ25" s="149"/>
      <c r="AK25" s="46">
        <f>AVERAGE(AJ18,AB18,H18)</f>
        <v>0.24631382234363594</v>
      </c>
    </row>
    <row r="26" spans="1:38" x14ac:dyDescent="0.2">
      <c r="AG26" s="150" t="s">
        <v>28</v>
      </c>
      <c r="AH26" s="151"/>
      <c r="AI26" s="151"/>
      <c r="AJ26" s="151"/>
      <c r="AK26" s="47">
        <f>_xlfn.STDEV.S(AJ18,AB18,X18,P18,D18,L18,T18)</f>
        <v>5.0619106827561721E-3</v>
      </c>
    </row>
    <row r="29" spans="1:38" ht="18" customHeight="1" x14ac:dyDescent="0.2"/>
  </sheetData>
  <mergeCells count="28">
    <mergeCell ref="B11:E11"/>
    <mergeCell ref="F23:G23"/>
    <mergeCell ref="AG24:AJ24"/>
    <mergeCell ref="AG25:AJ25"/>
    <mergeCell ref="AG26:AJ26"/>
    <mergeCell ref="I24:J24"/>
    <mergeCell ref="I25:J25"/>
    <mergeCell ref="F22:G22"/>
    <mergeCell ref="F11:I11"/>
    <mergeCell ref="J11:M11"/>
    <mergeCell ref="N11:Q11"/>
    <mergeCell ref="R11:U11"/>
    <mergeCell ref="Z11:AC11"/>
    <mergeCell ref="AD11:AG11"/>
    <mergeCell ref="AH11:AK11"/>
    <mergeCell ref="F20:G20"/>
    <mergeCell ref="F21:G21"/>
    <mergeCell ref="V11:Y11"/>
    <mergeCell ref="F24:G24"/>
    <mergeCell ref="F25:G25"/>
    <mergeCell ref="AG10:AI10"/>
    <mergeCell ref="P4:Q4"/>
    <mergeCell ref="H10:I10"/>
    <mergeCell ref="A1:C3"/>
    <mergeCell ref="K1:L1"/>
    <mergeCell ref="P1:Q1"/>
    <mergeCell ref="P2:Q2"/>
    <mergeCell ref="P3:Q3"/>
  </mergeCells>
  <conditionalFormatting sqref="H20:AI20 AK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1:AI21 AK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2:AI2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I23:AI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conditionalFormatting sqref="AK22:AK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AK20:AK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AK20:AK21 AK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H22:AI22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I23:AI23</xm:sqref>
        </x14:conditionalFormatting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AK22:AK23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AK20:AK21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AK20:AK21 AK24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V48"/>
  <sheetViews>
    <sheetView zoomScale="85" zoomScaleNormal="85" workbookViewId="0">
      <selection activeCell="H23" sqref="H23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8" bestFit="1" customWidth="1"/>
    <col min="6" max="6" width="12.140625" bestFit="1" customWidth="1"/>
    <col min="7" max="7" width="10.7109375" bestFit="1" customWidth="1"/>
    <col min="8" max="8" width="19.7109375" bestFit="1" customWidth="1"/>
    <col min="9" max="9" width="13.5703125" bestFit="1" customWidth="1"/>
    <col min="10" max="10" width="8.7109375" bestFit="1" customWidth="1"/>
    <col min="11" max="11" width="21.85546875" bestFit="1" customWidth="1"/>
    <col min="12" max="12" width="16.42578125" bestFit="1" customWidth="1"/>
    <col min="13" max="13" width="14.5703125" bestFit="1" customWidth="1"/>
    <col min="14" max="14" width="23.5703125" bestFit="1" customWidth="1"/>
    <col min="15" max="15" width="17.85546875" bestFit="1" customWidth="1"/>
    <col min="16" max="16" width="11.42578125" bestFit="1" customWidth="1"/>
    <col min="17" max="17" width="14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80</v>
      </c>
      <c r="B1" t="s">
        <v>81</v>
      </c>
    </row>
    <row r="4" spans="1:21" x14ac:dyDescent="0.2">
      <c r="A4" s="170" t="s">
        <v>76</v>
      </c>
      <c r="B4" s="170"/>
      <c r="T4" s="70" t="s">
        <v>165</v>
      </c>
    </row>
    <row r="5" spans="1:21" x14ac:dyDescent="0.2">
      <c r="A5" s="17" t="s">
        <v>56</v>
      </c>
      <c r="B5" s="17" t="s">
        <v>57</v>
      </c>
      <c r="C5" s="17" t="s">
        <v>68</v>
      </c>
      <c r="D5" s="17" t="s">
        <v>58</v>
      </c>
      <c r="E5" s="17" t="s">
        <v>59</v>
      </c>
      <c r="F5" s="17" t="s">
        <v>69</v>
      </c>
      <c r="G5" s="17" t="s">
        <v>60</v>
      </c>
      <c r="H5" s="17" t="s">
        <v>61</v>
      </c>
      <c r="I5" s="17" t="s">
        <v>70</v>
      </c>
      <c r="J5" s="17" t="s">
        <v>62</v>
      </c>
      <c r="K5" s="17" t="s">
        <v>63</v>
      </c>
      <c r="L5" s="17" t="s">
        <v>73</v>
      </c>
      <c r="M5" s="17" t="s">
        <v>64</v>
      </c>
      <c r="N5" s="17" t="s">
        <v>65</v>
      </c>
      <c r="O5" s="17" t="s">
        <v>74</v>
      </c>
      <c r="P5" s="17" t="s">
        <v>66</v>
      </c>
      <c r="Q5" s="17" t="s">
        <v>67</v>
      </c>
      <c r="R5" s="17" t="s">
        <v>0</v>
      </c>
      <c r="S5" s="17" t="s">
        <v>72</v>
      </c>
      <c r="T5" s="36" t="s">
        <v>0</v>
      </c>
      <c r="U5" s="36" t="s">
        <v>72</v>
      </c>
    </row>
    <row r="6" spans="1:21" x14ac:dyDescent="0.2">
      <c r="A6" t="s">
        <v>172</v>
      </c>
      <c r="B6" t="s">
        <v>173</v>
      </c>
      <c r="C6" t="s">
        <v>168</v>
      </c>
      <c r="D6">
        <v>20170720</v>
      </c>
      <c r="E6">
        <v>281.93258024199997</v>
      </c>
      <c r="F6">
        <v>282.1652820681777</v>
      </c>
      <c r="G6">
        <v>252.62088118454341</v>
      </c>
      <c r="H6">
        <v>277.19343778299998</v>
      </c>
      <c r="I6">
        <v>188.23050663436331</v>
      </c>
      <c r="J6">
        <v>273.47804531943029</v>
      </c>
      <c r="R6">
        <v>245.9</v>
      </c>
      <c r="S6">
        <v>245</v>
      </c>
      <c r="T6" s="88"/>
      <c r="U6" s="87"/>
    </row>
    <row r="7" spans="1:21" x14ac:dyDescent="0.2">
      <c r="A7" t="s">
        <v>172</v>
      </c>
      <c r="B7" t="s">
        <v>173</v>
      </c>
      <c r="C7" t="s">
        <v>169</v>
      </c>
      <c r="D7">
        <v>20171026</v>
      </c>
      <c r="E7">
        <v>242.78663399999999</v>
      </c>
      <c r="F7">
        <v>243.613528</v>
      </c>
      <c r="G7">
        <v>215.08103500000001</v>
      </c>
      <c r="H7">
        <v>242.9786</v>
      </c>
      <c r="I7">
        <v>161.975345</v>
      </c>
      <c r="J7">
        <v>236.11494925000002</v>
      </c>
      <c r="K7">
        <v>210.98209110469722</v>
      </c>
      <c r="L7">
        <v>211.52607408865643</v>
      </c>
      <c r="M7">
        <v>208.59262832079827</v>
      </c>
      <c r="N7">
        <v>214.75889716625503</v>
      </c>
      <c r="O7">
        <v>210.8263970307739</v>
      </c>
      <c r="P7">
        <v>211.52762920578022</v>
      </c>
      <c r="Q7">
        <v>211.3689528194935</v>
      </c>
      <c r="R7">
        <v>236.3</v>
      </c>
      <c r="S7">
        <v>228</v>
      </c>
      <c r="T7" s="88"/>
      <c r="U7" s="87"/>
    </row>
    <row r="8" spans="1:21" x14ac:dyDescent="0.2">
      <c r="A8" t="s">
        <v>172</v>
      </c>
      <c r="B8" t="s">
        <v>173</v>
      </c>
      <c r="C8" t="s">
        <v>167</v>
      </c>
      <c r="D8">
        <v>20180125</v>
      </c>
      <c r="E8">
        <v>248.070089</v>
      </c>
      <c r="F8">
        <v>246.90160700000001</v>
      </c>
      <c r="G8">
        <v>248.05244200000001</v>
      </c>
      <c r="H8">
        <v>257.81199099999998</v>
      </c>
      <c r="I8">
        <v>169.43565799999999</v>
      </c>
      <c r="J8">
        <v>250.20903225000001</v>
      </c>
      <c r="K8">
        <v>232.96167239585355</v>
      </c>
      <c r="L8">
        <v>231.07734146849188</v>
      </c>
      <c r="M8">
        <v>262.9518533607577</v>
      </c>
      <c r="N8">
        <v>241.91897536655486</v>
      </c>
      <c r="O8">
        <v>238.50129798457905</v>
      </c>
      <c r="P8">
        <v>241.60968856147088</v>
      </c>
      <c r="Q8">
        <v>241.50347152295129</v>
      </c>
      <c r="R8">
        <v>246.6</v>
      </c>
      <c r="S8">
        <v>256</v>
      </c>
      <c r="T8" s="88"/>
      <c r="U8" s="87"/>
    </row>
    <row r="9" spans="1:21" x14ac:dyDescent="0.2">
      <c r="A9" t="s">
        <v>172</v>
      </c>
      <c r="B9" t="s">
        <v>173</v>
      </c>
      <c r="C9" t="s">
        <v>42</v>
      </c>
      <c r="D9">
        <v>20180419</v>
      </c>
      <c r="E9">
        <v>256.7629</v>
      </c>
      <c r="F9">
        <v>254.328722</v>
      </c>
      <c r="G9">
        <v>239.31675999999999</v>
      </c>
      <c r="H9">
        <v>238.39059700000001</v>
      </c>
      <c r="I9">
        <v>159.88298599999999</v>
      </c>
      <c r="J9">
        <v>247.19974475000004</v>
      </c>
      <c r="K9">
        <v>264.97068898943314</v>
      </c>
      <c r="L9">
        <v>263.70080625680168</v>
      </c>
      <c r="M9">
        <v>246.98442823634849</v>
      </c>
      <c r="N9">
        <v>236.71510621086671</v>
      </c>
      <c r="O9">
        <v>241.56688680017993</v>
      </c>
      <c r="P9">
        <v>252.92106398768908</v>
      </c>
      <c r="Q9">
        <v>251.1431634135532</v>
      </c>
      <c r="R9">
        <v>240.9</v>
      </c>
      <c r="S9">
        <v>248</v>
      </c>
      <c r="T9" s="9"/>
      <c r="U9" s="62"/>
    </row>
    <row r="10" spans="1:21" x14ac:dyDescent="0.2">
      <c r="A10" t="s">
        <v>172</v>
      </c>
      <c r="B10" t="s">
        <v>173</v>
      </c>
      <c r="C10" t="s">
        <v>43</v>
      </c>
      <c r="D10">
        <v>20180719</v>
      </c>
      <c r="E10">
        <v>269.18838799999997</v>
      </c>
      <c r="F10">
        <v>268.77509400000002</v>
      </c>
      <c r="G10">
        <v>244.07985300000001</v>
      </c>
      <c r="H10">
        <v>258.65324199999998</v>
      </c>
      <c r="I10">
        <v>171.85955100000001</v>
      </c>
      <c r="J10">
        <v>260.17414425000004</v>
      </c>
      <c r="K10">
        <v>260.00142631197883</v>
      </c>
      <c r="L10">
        <v>262.0868881336965</v>
      </c>
      <c r="M10">
        <v>252.93591449257463</v>
      </c>
      <c r="N10">
        <v>269.07942185320331</v>
      </c>
      <c r="O10">
        <v>266.57726199834673</v>
      </c>
      <c r="P10">
        <v>261.01640128817326</v>
      </c>
      <c r="Q10">
        <v>261.94955234632886</v>
      </c>
      <c r="R10">
        <v>243</v>
      </c>
      <c r="S10">
        <v>250</v>
      </c>
      <c r="T10" s="9"/>
      <c r="U10" s="62"/>
    </row>
    <row r="11" spans="1:21" x14ac:dyDescent="0.2">
      <c r="A11" t="s">
        <v>172</v>
      </c>
      <c r="B11" t="s">
        <v>173</v>
      </c>
      <c r="C11" t="s">
        <v>44</v>
      </c>
      <c r="D11">
        <v>20181018</v>
      </c>
      <c r="E11">
        <v>280.02552700000001</v>
      </c>
      <c r="F11">
        <v>277.142967</v>
      </c>
      <c r="G11">
        <v>244.70290299999999</v>
      </c>
      <c r="H11">
        <v>263.20491399999997</v>
      </c>
      <c r="I11">
        <v>182.586714</v>
      </c>
      <c r="J11">
        <v>266.26907775000001</v>
      </c>
      <c r="K11">
        <v>260.06464197853887</v>
      </c>
      <c r="L11">
        <v>257.78334115288226</v>
      </c>
      <c r="M11">
        <v>250.63816205264595</v>
      </c>
      <c r="N11">
        <v>254.39939585215021</v>
      </c>
      <c r="O11">
        <v>265.60454879810544</v>
      </c>
      <c r="P11">
        <v>255.85659032104223</v>
      </c>
      <c r="Q11">
        <v>257.39111335922752</v>
      </c>
      <c r="R11">
        <v>230.1</v>
      </c>
      <c r="S11">
        <v>240</v>
      </c>
      <c r="T11" s="9"/>
      <c r="U11" s="62"/>
    </row>
    <row r="12" spans="1:21" x14ac:dyDescent="0.2">
      <c r="A12" t="s">
        <v>172</v>
      </c>
      <c r="B12" t="s">
        <v>173</v>
      </c>
      <c r="C12" t="s">
        <v>45</v>
      </c>
      <c r="D12">
        <v>20190124</v>
      </c>
      <c r="E12">
        <v>280.13790999999998</v>
      </c>
      <c r="F12">
        <v>284.04512299999999</v>
      </c>
      <c r="G12">
        <v>256.008329</v>
      </c>
      <c r="H12">
        <v>279.48131799999999</v>
      </c>
      <c r="I12">
        <v>198.860375</v>
      </c>
      <c r="J12">
        <v>274.91817000000003</v>
      </c>
      <c r="K12">
        <v>240.09631950447147</v>
      </c>
      <c r="L12">
        <v>245.97712241422309</v>
      </c>
      <c r="M12">
        <v>251.08814896241751</v>
      </c>
      <c r="N12">
        <v>254.84142868244473</v>
      </c>
      <c r="O12">
        <v>261.3908151060761</v>
      </c>
      <c r="P12">
        <v>247.79580624810274</v>
      </c>
      <c r="Q12">
        <v>250.19827348628928</v>
      </c>
      <c r="R12">
        <v>258.8</v>
      </c>
      <c r="S12">
        <v>259</v>
      </c>
      <c r="T12" s="9"/>
      <c r="U12" s="62"/>
    </row>
    <row r="13" spans="1:21" x14ac:dyDescent="0.2">
      <c r="A13" t="s">
        <v>172</v>
      </c>
      <c r="B13" t="s">
        <v>173</v>
      </c>
      <c r="C13" t="s">
        <v>46</v>
      </c>
      <c r="D13">
        <v>20190418</v>
      </c>
      <c r="E13">
        <v>249.543567</v>
      </c>
      <c r="F13">
        <v>253.14452800000001</v>
      </c>
      <c r="G13">
        <v>243.313591</v>
      </c>
      <c r="H13">
        <v>239.110266</v>
      </c>
      <c r="I13">
        <v>177.85285400000001</v>
      </c>
      <c r="J13">
        <v>246.27798799999999</v>
      </c>
      <c r="K13">
        <v>230.71416450918767</v>
      </c>
      <c r="L13">
        <v>230.82400450860763</v>
      </c>
      <c r="M13">
        <v>246.15691339089204</v>
      </c>
      <c r="N13">
        <v>221.58747259807899</v>
      </c>
      <c r="O13">
        <v>231.63935593503734</v>
      </c>
      <c r="P13">
        <v>232.01812703758353</v>
      </c>
      <c r="Q13">
        <v>232.15667299656454</v>
      </c>
      <c r="R13">
        <v>247.3</v>
      </c>
      <c r="S13">
        <v>247</v>
      </c>
      <c r="T13" s="9"/>
      <c r="U13" s="62"/>
    </row>
    <row r="14" spans="1:21" x14ac:dyDescent="0.2">
      <c r="A14" t="s">
        <v>172</v>
      </c>
      <c r="B14" t="s">
        <v>173</v>
      </c>
      <c r="C14" t="s">
        <v>47</v>
      </c>
      <c r="D14">
        <v>20190718</v>
      </c>
      <c r="E14">
        <v>267.00839400000001</v>
      </c>
      <c r="F14">
        <v>263.38397400000002</v>
      </c>
      <c r="G14">
        <v>260.009275</v>
      </c>
      <c r="H14">
        <v>246.122175</v>
      </c>
      <c r="I14">
        <v>180.884432</v>
      </c>
      <c r="J14">
        <v>259.13095450000003</v>
      </c>
      <c r="K14">
        <v>264.28681015848429</v>
      </c>
      <c r="L14">
        <v>256.99090591442689</v>
      </c>
      <c r="M14">
        <v>263.94863789174849</v>
      </c>
      <c r="N14">
        <v>254.24327546438346</v>
      </c>
      <c r="O14">
        <v>251.21022069176351</v>
      </c>
      <c r="P14">
        <v>259.8906474804399</v>
      </c>
      <c r="Q14">
        <v>258.42841626687442</v>
      </c>
      <c r="R14">
        <v>250.7</v>
      </c>
      <c r="S14">
        <v>253</v>
      </c>
      <c r="T14" s="9"/>
      <c r="U14" s="62"/>
    </row>
    <row r="15" spans="1:21" x14ac:dyDescent="0.2">
      <c r="A15" t="s">
        <v>172</v>
      </c>
      <c r="B15" t="s">
        <v>173</v>
      </c>
      <c r="C15" t="s">
        <v>48</v>
      </c>
      <c r="D15">
        <v>20191031</v>
      </c>
      <c r="E15">
        <v>247.98353399999999</v>
      </c>
      <c r="F15">
        <v>251.58798400000001</v>
      </c>
      <c r="G15">
        <v>247.11012500000001</v>
      </c>
      <c r="H15">
        <v>238.981718</v>
      </c>
      <c r="I15">
        <v>171.48965899999999</v>
      </c>
      <c r="J15">
        <v>246.41584025</v>
      </c>
      <c r="K15">
        <v>234.97326493039014</v>
      </c>
      <c r="L15">
        <v>241.66906962987807</v>
      </c>
      <c r="M15">
        <v>240.44858255537233</v>
      </c>
      <c r="N15">
        <v>245.66000464606654</v>
      </c>
      <c r="O15">
        <v>239.85968967743997</v>
      </c>
      <c r="P15">
        <v>240.58572123713608</v>
      </c>
      <c r="Q15">
        <v>240.53272211271386</v>
      </c>
      <c r="R15">
        <v>243.4</v>
      </c>
      <c r="S15">
        <v>249</v>
      </c>
      <c r="T15" s="9"/>
      <c r="U15" s="62"/>
    </row>
    <row r="16" spans="1:21" x14ac:dyDescent="0.2">
      <c r="A16" t="s">
        <v>172</v>
      </c>
      <c r="B16" t="s">
        <v>173</v>
      </c>
      <c r="C16" t="s">
        <v>49</v>
      </c>
      <c r="D16">
        <v>20200130</v>
      </c>
      <c r="E16">
        <v>275.35113999999999</v>
      </c>
      <c r="F16">
        <v>269.40412600000002</v>
      </c>
      <c r="G16">
        <v>273.30024400000002</v>
      </c>
      <c r="H16">
        <v>274.43748699999998</v>
      </c>
      <c r="I16">
        <v>186.145129</v>
      </c>
      <c r="J16">
        <v>273.12324925000001</v>
      </c>
      <c r="K16">
        <v>276.47978377467598</v>
      </c>
      <c r="L16">
        <v>266.63287454141687</v>
      </c>
      <c r="M16">
        <v>275.39041856743023</v>
      </c>
      <c r="N16">
        <v>285.94209981786139</v>
      </c>
      <c r="O16">
        <v>270.27948735381182</v>
      </c>
      <c r="P16">
        <v>275.98748925496483</v>
      </c>
      <c r="Q16">
        <v>275.1186922183602</v>
      </c>
      <c r="R16">
        <v>266</v>
      </c>
      <c r="S16">
        <v>267</v>
      </c>
      <c r="T16" s="9"/>
      <c r="U16" s="62"/>
    </row>
    <row r="17" spans="1:22" x14ac:dyDescent="0.2">
      <c r="A17" t="s">
        <v>172</v>
      </c>
      <c r="B17" t="s">
        <v>173</v>
      </c>
      <c r="C17" t="s">
        <v>50</v>
      </c>
      <c r="D17">
        <v>20200430</v>
      </c>
      <c r="E17">
        <v>252.83147099999999</v>
      </c>
      <c r="F17">
        <v>252.57301799999999</v>
      </c>
      <c r="G17">
        <v>244.79898</v>
      </c>
      <c r="H17">
        <v>241.64389399999999</v>
      </c>
      <c r="I17">
        <v>166.476921</v>
      </c>
      <c r="J17">
        <v>247.96184075000002</v>
      </c>
      <c r="K17">
        <v>245.16333129036619</v>
      </c>
      <c r="L17">
        <v>250.31909053241446</v>
      </c>
      <c r="M17">
        <v>239.15576035856006</v>
      </c>
      <c r="N17">
        <v>235.0951409856045</v>
      </c>
      <c r="O17">
        <v>238.78861695596669</v>
      </c>
      <c r="P17">
        <v>242.40269424903235</v>
      </c>
      <c r="Q17">
        <v>241.82077239532404</v>
      </c>
      <c r="R17">
        <v>237.7</v>
      </c>
      <c r="S17">
        <v>233</v>
      </c>
      <c r="T17" s="9"/>
      <c r="U17" s="62"/>
    </row>
    <row r="18" spans="1:22" x14ac:dyDescent="0.2">
      <c r="A18" t="s">
        <v>172</v>
      </c>
      <c r="B18" t="s">
        <v>173</v>
      </c>
      <c r="C18" t="s">
        <v>51</v>
      </c>
      <c r="D18">
        <v>20200730</v>
      </c>
      <c r="E18">
        <v>190.12917100000001</v>
      </c>
      <c r="F18">
        <v>190.47236000000001</v>
      </c>
      <c r="G18">
        <v>160.72537399999999</v>
      </c>
      <c r="H18">
        <v>187.68875499999999</v>
      </c>
      <c r="I18">
        <v>130.97912199999999</v>
      </c>
      <c r="J18">
        <v>182.25391500000001</v>
      </c>
      <c r="K18">
        <v>175.21591227462346</v>
      </c>
      <c r="L18">
        <v>175.71180101272734</v>
      </c>
      <c r="M18">
        <v>152.97862818709456</v>
      </c>
      <c r="N18">
        <v>180.97490150113208</v>
      </c>
      <c r="O18">
        <v>183.317514780322</v>
      </c>
      <c r="P18">
        <v>171.25684366012675</v>
      </c>
      <c r="Q18">
        <v>173.24260023600436</v>
      </c>
      <c r="R18">
        <v>99.7</v>
      </c>
      <c r="S18">
        <v>170.7</v>
      </c>
      <c r="T18" s="9"/>
      <c r="U18" s="62"/>
    </row>
    <row r="19" spans="1:22" x14ac:dyDescent="0.2">
      <c r="A19" t="s">
        <v>172</v>
      </c>
      <c r="B19" t="s">
        <v>173</v>
      </c>
      <c r="C19" t="s">
        <v>52</v>
      </c>
      <c r="D19">
        <v>20201029</v>
      </c>
      <c r="E19">
        <v>247.80198100000001</v>
      </c>
      <c r="F19">
        <v>248.52090100000001</v>
      </c>
      <c r="G19">
        <v>256.268486</v>
      </c>
      <c r="H19">
        <v>242.79204799999999</v>
      </c>
      <c r="I19">
        <v>164.393664</v>
      </c>
      <c r="J19">
        <v>248.84585400000003</v>
      </c>
      <c r="K19">
        <v>222.47926467159527</v>
      </c>
      <c r="L19">
        <v>222.72269740711982</v>
      </c>
      <c r="M19">
        <v>272.17252305289395</v>
      </c>
      <c r="N19">
        <v>220.81558691995161</v>
      </c>
      <c r="O19">
        <v>214.24787413676512</v>
      </c>
      <c r="P19">
        <v>233.07036931305427</v>
      </c>
      <c r="Q19">
        <v>230.91805258356337</v>
      </c>
      <c r="R19">
        <v>229.4</v>
      </c>
      <c r="S19">
        <v>268.60000000000002</v>
      </c>
      <c r="T19" s="9"/>
      <c r="U19" s="62"/>
    </row>
    <row r="20" spans="1:22" x14ac:dyDescent="0.2">
      <c r="A20" t="s">
        <v>172</v>
      </c>
      <c r="B20" t="s">
        <v>173</v>
      </c>
      <c r="C20" t="s">
        <v>53</v>
      </c>
      <c r="D20">
        <v>20210128</v>
      </c>
      <c r="E20">
        <v>236.39278200000001</v>
      </c>
      <c r="F20">
        <v>237.030959</v>
      </c>
      <c r="G20">
        <v>241.50841199999999</v>
      </c>
      <c r="H20">
        <v>227.42455200000001</v>
      </c>
      <c r="I20">
        <v>155.37678199999999</v>
      </c>
      <c r="J20">
        <v>235.58917624999998</v>
      </c>
      <c r="K20">
        <v>256.23322698618784</v>
      </c>
      <c r="L20">
        <v>256.18173494148084</v>
      </c>
      <c r="M20">
        <v>253.12967847010265</v>
      </c>
      <c r="N20">
        <v>251.59899251395584</v>
      </c>
      <c r="O20">
        <v>253.86747049569991</v>
      </c>
      <c r="P20">
        <v>254.29096657061439</v>
      </c>
      <c r="Q20">
        <v>254.2170116630069</v>
      </c>
      <c r="R20">
        <v>269.7</v>
      </c>
      <c r="S20">
        <v>269.7</v>
      </c>
    </row>
    <row r="21" spans="1:22" x14ac:dyDescent="0.2">
      <c r="A21" t="s">
        <v>172</v>
      </c>
      <c r="B21" t="s">
        <v>173</v>
      </c>
      <c r="C21" t="s">
        <v>54</v>
      </c>
      <c r="D21">
        <v>20210429</v>
      </c>
      <c r="E21">
        <v>225.04548700000001</v>
      </c>
      <c r="F21">
        <v>218.420706</v>
      </c>
      <c r="G21">
        <v>219.662881</v>
      </c>
      <c r="H21">
        <v>220.79735299999999</v>
      </c>
      <c r="I21">
        <v>136.74970300000001</v>
      </c>
      <c r="J21">
        <v>220.98160674999997</v>
      </c>
      <c r="K21">
        <v>256.7538963347028</v>
      </c>
      <c r="L21">
        <v>248.52476932433115</v>
      </c>
      <c r="M21">
        <v>245.3044120289276</v>
      </c>
      <c r="N21">
        <v>261.84088560543802</v>
      </c>
      <c r="O21">
        <v>237.36747810300258</v>
      </c>
      <c r="P21">
        <v>252.97740876359549</v>
      </c>
      <c r="Q21">
        <v>250.46147502666631</v>
      </c>
      <c r="R21">
        <v>228.1</v>
      </c>
      <c r="S21">
        <v>235.2</v>
      </c>
    </row>
    <row r="22" spans="1:22" x14ac:dyDescent="0.2">
      <c r="A22" t="s">
        <v>172</v>
      </c>
      <c r="B22" t="s">
        <v>173</v>
      </c>
      <c r="C22" t="s">
        <v>55</v>
      </c>
      <c r="D22">
        <v>20210729</v>
      </c>
      <c r="E22">
        <v>257.63098300000001</v>
      </c>
      <c r="F22">
        <v>252.44724199999999</v>
      </c>
      <c r="G22">
        <v>246.41559599999999</v>
      </c>
      <c r="H22">
        <v>258.17649799999998</v>
      </c>
      <c r="I22">
        <v>144.76347200000001</v>
      </c>
      <c r="J22">
        <v>253.66757975000002</v>
      </c>
      <c r="K22">
        <v>269.25582027601376</v>
      </c>
      <c r="L22">
        <v>271.84048804603714</v>
      </c>
      <c r="M22">
        <v>263.84497879366336</v>
      </c>
      <c r="N22">
        <v>275.01739266593472</v>
      </c>
      <c r="O22">
        <v>248.98312659881969</v>
      </c>
      <c r="P22">
        <v>269.98905309208504</v>
      </c>
      <c r="Q22">
        <v>266.48847657875893</v>
      </c>
      <c r="R22">
        <v>254.6</v>
      </c>
      <c r="S22">
        <v>258.10000000000002</v>
      </c>
    </row>
    <row r="23" spans="1:22" x14ac:dyDescent="0.2">
      <c r="A23" t="s">
        <v>172</v>
      </c>
      <c r="B23" t="s">
        <v>173</v>
      </c>
      <c r="C23" t="s">
        <v>71</v>
      </c>
      <c r="D23" s="12">
        <v>20211028</v>
      </c>
      <c r="E23">
        <v>259.13969100000003</v>
      </c>
      <c r="F23">
        <v>249.96862300000001</v>
      </c>
      <c r="G23">
        <v>226.63165100000001</v>
      </c>
      <c r="H23">
        <v>247.64245700000001</v>
      </c>
      <c r="I23">
        <v>138.61571699999999</v>
      </c>
      <c r="J23">
        <f>AVERAGE(E23:H23)</f>
        <v>245.84560550000003</v>
      </c>
      <c r="K23" s="89">
        <f>(E23/E22)*$S21</f>
        <v>236.57735033833254</v>
      </c>
      <c r="L23" s="89">
        <f>(F23/F22)*$S21</f>
        <v>232.89072070591288</v>
      </c>
      <c r="M23" s="89">
        <f>(G23/G22)*$S21</f>
        <v>216.31652046569326</v>
      </c>
      <c r="N23" s="89">
        <f t="shared" ref="N23:O23" si="0">(H23/H22)*$S21</f>
        <v>225.60343926580026</v>
      </c>
      <c r="O23" s="89">
        <f t="shared" si="0"/>
        <v>225.21162409257494</v>
      </c>
      <c r="P23" s="89">
        <f>(J23/J22)*$S21</f>
        <v>227.94748335828675</v>
      </c>
      <c r="Q23" s="89">
        <f>(K23/K22)*$S21</f>
        <v>206.65474470537447</v>
      </c>
      <c r="R23" s="103">
        <f>'1. Data &amp; Confidence Interval'!AJ14</f>
        <v>258.2</v>
      </c>
      <c r="S23" s="10"/>
    </row>
    <row r="24" spans="1:22" x14ac:dyDescent="0.2">
      <c r="A24" s="168" t="s">
        <v>75</v>
      </c>
      <c r="B24" s="169"/>
      <c r="C24" s="169"/>
      <c r="D24" s="169"/>
      <c r="E24" s="98">
        <f t="shared" ref="E24:Q24" si="1">CORREL(E$8:E$22,$S$8:$S$22)</f>
        <v>0.68978998804976821</v>
      </c>
      <c r="F24" s="98">
        <f t="shared" si="1"/>
        <v>0.68311747985712501</v>
      </c>
      <c r="G24" s="99">
        <f t="shared" si="1"/>
        <v>0.91515116072356195</v>
      </c>
      <c r="H24" s="98">
        <f t="shared" si="1"/>
        <v>0.71425590371226821</v>
      </c>
      <c r="I24" s="98">
        <f t="shared" si="1"/>
        <v>0.53226023606449013</v>
      </c>
      <c r="J24" s="98">
        <f>CORREL(J$8:J$22,$S$8:$S$22)</f>
        <v>0.78441959397227767</v>
      </c>
      <c r="K24" s="98">
        <f t="shared" si="1"/>
        <v>0.68070099082505364</v>
      </c>
      <c r="L24" s="98">
        <f t="shared" si="1"/>
        <v>0.70124957249909958</v>
      </c>
      <c r="M24" s="99">
        <f t="shared" si="1"/>
        <v>0.94877910066356796</v>
      </c>
      <c r="N24" s="98">
        <f t="shared" si="1"/>
        <v>0.67273891876794534</v>
      </c>
      <c r="O24" s="98">
        <f t="shared" si="1"/>
        <v>0.67702964733188875</v>
      </c>
      <c r="P24" s="98">
        <f t="shared" si="1"/>
        <v>0.80269332427547013</v>
      </c>
      <c r="Q24" s="98">
        <f t="shared" si="1"/>
        <v>0.79926366441917573</v>
      </c>
      <c r="R24" s="99">
        <f>CORREL(R$8:R$22,$S$8:$S$22)</f>
        <v>0.93400622908061648</v>
      </c>
      <c r="S24" s="5"/>
    </row>
    <row r="26" spans="1:22" x14ac:dyDescent="0.2">
      <c r="A26" s="171" t="s">
        <v>77</v>
      </c>
      <c r="B26" s="172"/>
    </row>
    <row r="27" spans="1:22" x14ac:dyDescent="0.2">
      <c r="A27" s="17" t="s">
        <v>56</v>
      </c>
      <c r="B27" s="17" t="s">
        <v>57</v>
      </c>
      <c r="C27" s="17" t="s">
        <v>68</v>
      </c>
      <c r="D27" s="17" t="s">
        <v>58</v>
      </c>
      <c r="E27" s="17" t="s">
        <v>59</v>
      </c>
      <c r="F27" s="17" t="s">
        <v>69</v>
      </c>
      <c r="G27" s="17" t="s">
        <v>60</v>
      </c>
      <c r="H27" s="17" t="s">
        <v>61</v>
      </c>
      <c r="I27" s="17" t="s">
        <v>70</v>
      </c>
      <c r="J27" s="17" t="s">
        <v>62</v>
      </c>
      <c r="K27" s="17" t="s">
        <v>63</v>
      </c>
      <c r="L27" s="17" t="s">
        <v>73</v>
      </c>
      <c r="M27" s="17" t="s">
        <v>64</v>
      </c>
      <c r="N27" s="17" t="s">
        <v>65</v>
      </c>
      <c r="O27" s="17" t="s">
        <v>74</v>
      </c>
      <c r="P27" s="17" t="s">
        <v>66</v>
      </c>
      <c r="Q27" s="17" t="s">
        <v>67</v>
      </c>
      <c r="R27" s="17" t="s">
        <v>0</v>
      </c>
    </row>
    <row r="28" spans="1:22" x14ac:dyDescent="0.2">
      <c r="A28" s="9" t="str">
        <f t="shared" ref="A28:D28" si="2">A6</f>
        <v>ZBH_HIPS</v>
      </c>
      <c r="B28" s="9" t="str">
        <f t="shared" si="2"/>
        <v>Americas Revenue - Hips</v>
      </c>
      <c r="C28" s="9" t="str">
        <f t="shared" si="2"/>
        <v>2017Q2</v>
      </c>
      <c r="D28" s="9">
        <f t="shared" si="2"/>
        <v>20170720</v>
      </c>
      <c r="E28" s="18">
        <f t="shared" ref="E28:R28" si="3">$S6/E6-1</f>
        <v>-0.13099791521185133</v>
      </c>
      <c r="F28" s="18">
        <f t="shared" si="3"/>
        <v>-0.1317145815947609</v>
      </c>
      <c r="G28" s="18">
        <f t="shared" si="3"/>
        <v>-3.0167265464394633E-2</v>
      </c>
      <c r="H28" s="18">
        <f t="shared" si="3"/>
        <v>-0.11614069236445101</v>
      </c>
      <c r="I28" s="18">
        <f t="shared" si="3"/>
        <v>0.30159560413823416</v>
      </c>
      <c r="J28" s="18">
        <f t="shared" si="3"/>
        <v>-0.10413283920530847</v>
      </c>
      <c r="K28" s="18"/>
      <c r="L28" s="18"/>
      <c r="M28" s="18"/>
      <c r="N28" s="18"/>
      <c r="O28" s="18"/>
      <c r="P28" s="18"/>
      <c r="Q28" s="18"/>
      <c r="R28" s="40">
        <f t="shared" si="3"/>
        <v>-3.6600244001626647E-3</v>
      </c>
    </row>
    <row r="29" spans="1:22" x14ac:dyDescent="0.2">
      <c r="A29" s="9" t="str">
        <f t="shared" ref="A29:D29" si="4">A7</f>
        <v>ZBH_HIPS</v>
      </c>
      <c r="B29" s="9" t="str">
        <f t="shared" si="4"/>
        <v>Americas Revenue - Hips</v>
      </c>
      <c r="C29" s="9" t="str">
        <f t="shared" si="4"/>
        <v>2017Q3</v>
      </c>
      <c r="D29" s="9">
        <f t="shared" si="4"/>
        <v>20171026</v>
      </c>
      <c r="E29" s="18">
        <f t="shared" ref="E29:R29" si="5">$S7/E7-1</f>
        <v>-6.0903822242537431E-2</v>
      </c>
      <c r="F29" s="18">
        <f t="shared" si="5"/>
        <v>-6.409138329953501E-2</v>
      </c>
      <c r="G29" s="18">
        <f t="shared" si="5"/>
        <v>6.0065570169866467E-2</v>
      </c>
      <c r="H29" s="18">
        <f t="shared" si="5"/>
        <v>-6.164575810380013E-2</v>
      </c>
      <c r="I29" s="18">
        <f t="shared" si="5"/>
        <v>0.40762163525566186</v>
      </c>
      <c r="J29" s="18">
        <f t="shared" si="5"/>
        <v>-3.4368638139077978E-2</v>
      </c>
      <c r="K29" s="18">
        <f t="shared" si="5"/>
        <v>8.0660442818617506E-2</v>
      </c>
      <c r="L29" s="18">
        <f t="shared" si="5"/>
        <v>7.7881301311529594E-2</v>
      </c>
      <c r="M29" s="18">
        <f t="shared" si="5"/>
        <v>9.3039585509008482E-2</v>
      </c>
      <c r="N29" s="18">
        <f t="shared" si="5"/>
        <v>6.1655665997830233E-2</v>
      </c>
      <c r="O29" s="18">
        <f t="shared" si="5"/>
        <v>8.1458504300670143E-2</v>
      </c>
      <c r="P29" s="18">
        <f t="shared" si="5"/>
        <v>7.7873376901487434E-2</v>
      </c>
      <c r="Q29" s="18">
        <f t="shared" si="5"/>
        <v>7.868254518301554E-2</v>
      </c>
      <c r="R29" s="40">
        <f t="shared" si="5"/>
        <v>-3.5124841303427856E-2</v>
      </c>
    </row>
    <row r="30" spans="1:22" x14ac:dyDescent="0.2">
      <c r="A30" s="9" t="str">
        <f>A8</f>
        <v>ZBH_HIPS</v>
      </c>
      <c r="B30" s="9" t="str">
        <f t="shared" ref="B30:D31" si="6">B8</f>
        <v>Americas Revenue - Hips</v>
      </c>
      <c r="C30" s="9" t="str">
        <f t="shared" si="6"/>
        <v>2017Q4</v>
      </c>
      <c r="D30" s="9">
        <f t="shared" si="6"/>
        <v>20180125</v>
      </c>
      <c r="E30" s="18">
        <f t="shared" ref="E30:R31" si="7">$S8/E8-1</f>
        <v>3.1966413330871246E-2</v>
      </c>
      <c r="F30" s="18">
        <f t="shared" si="7"/>
        <v>3.6850278580811358E-2</v>
      </c>
      <c r="G30" s="18">
        <f t="shared" si="7"/>
        <v>3.2039829706655309E-2</v>
      </c>
      <c r="H30" s="18">
        <f t="shared" si="7"/>
        <v>-7.0283426033507235E-3</v>
      </c>
      <c r="I30" s="18">
        <f t="shared" si="7"/>
        <v>0.51089801888100794</v>
      </c>
      <c r="J30" s="18">
        <f t="shared" si="7"/>
        <v>2.3144519196308888E-2</v>
      </c>
      <c r="K30" s="18">
        <f t="shared" si="7"/>
        <v>9.8893210059890047E-2</v>
      </c>
      <c r="L30" s="18">
        <f t="shared" si="7"/>
        <v>0.10785418584585194</v>
      </c>
      <c r="M30" s="18">
        <f t="shared" si="7"/>
        <v>-2.6437742392407038E-2</v>
      </c>
      <c r="N30" s="18">
        <f t="shared" si="7"/>
        <v>5.8205540148761115E-2</v>
      </c>
      <c r="O30" s="18">
        <f t="shared" si="7"/>
        <v>7.3369420473981428E-2</v>
      </c>
      <c r="P30" s="18">
        <f t="shared" si="7"/>
        <v>5.956015888356192E-2</v>
      </c>
      <c r="Q30" s="18">
        <f t="shared" si="7"/>
        <v>6.0026170164891646E-2</v>
      </c>
      <c r="R30" s="40">
        <f t="shared" si="7"/>
        <v>3.811841038118402E-2</v>
      </c>
      <c r="V30" s="103"/>
    </row>
    <row r="31" spans="1:22" x14ac:dyDescent="0.2">
      <c r="A31" s="9" t="str">
        <f>A9</f>
        <v>ZBH_HIPS</v>
      </c>
      <c r="B31" s="9" t="str">
        <f t="shared" si="6"/>
        <v>Americas Revenue - Hips</v>
      </c>
      <c r="C31" s="9" t="str">
        <f t="shared" si="6"/>
        <v>2018Q1</v>
      </c>
      <c r="D31" s="9">
        <f t="shared" si="6"/>
        <v>20180419</v>
      </c>
      <c r="E31" s="18">
        <f t="shared" ref="E31:E41" si="8">$S9/E9-1</f>
        <v>-3.4128372907456628E-2</v>
      </c>
      <c r="F31" s="18">
        <f t="shared" si="7"/>
        <v>-2.4884023912957853E-2</v>
      </c>
      <c r="G31" s="18">
        <f t="shared" si="7"/>
        <v>3.6283459628987158E-2</v>
      </c>
      <c r="H31" s="18">
        <f t="shared" si="7"/>
        <v>4.0309488381372605E-2</v>
      </c>
      <c r="I31" s="18">
        <f t="shared" si="7"/>
        <v>0.5511344027562759</v>
      </c>
      <c r="J31" s="18">
        <f t="shared" si="7"/>
        <v>3.2372818621204669E-3</v>
      </c>
      <c r="K31" s="18">
        <f t="shared" ref="K31:Q31" si="9">$S9/K9-1</f>
        <v>-6.4047419939757599E-2</v>
      </c>
      <c r="L31" s="18">
        <f t="shared" si="9"/>
        <v>-5.9540228487248714E-2</v>
      </c>
      <c r="M31" s="18">
        <f t="shared" si="9"/>
        <v>4.1118858014792536E-3</v>
      </c>
      <c r="N31" s="18">
        <f t="shared" si="9"/>
        <v>4.767289240544148E-2</v>
      </c>
      <c r="O31" s="18">
        <f t="shared" si="9"/>
        <v>2.6630774130650847E-2</v>
      </c>
      <c r="P31" s="18">
        <f t="shared" si="9"/>
        <v>-1.9456916359993692E-2</v>
      </c>
      <c r="Q31" s="18">
        <f t="shared" si="9"/>
        <v>-1.2515424950578447E-2</v>
      </c>
      <c r="R31" s="40">
        <f>$S9/R9-1</f>
        <v>2.9472810294728147E-2</v>
      </c>
    </row>
    <row r="32" spans="1:22" x14ac:dyDescent="0.2">
      <c r="A32" s="9" t="str">
        <f t="shared" ref="A32:D32" si="10">A10</f>
        <v>ZBH_HIPS</v>
      </c>
      <c r="B32" s="9" t="str">
        <f t="shared" si="10"/>
        <v>Americas Revenue - Hips</v>
      </c>
      <c r="C32" s="9" t="str">
        <f t="shared" si="10"/>
        <v>2018Q2</v>
      </c>
      <c r="D32" s="9">
        <f t="shared" si="10"/>
        <v>20180719</v>
      </c>
      <c r="E32" s="18">
        <f t="shared" si="8"/>
        <v>-7.1282376415137128E-2</v>
      </c>
      <c r="F32" s="18">
        <f t="shared" ref="F32:J32" si="11">$S10/F10-1</f>
        <v>-6.9854292377254379E-2</v>
      </c>
      <c r="G32" s="18">
        <f t="shared" si="11"/>
        <v>2.4254959707796786E-2</v>
      </c>
      <c r="H32" s="18">
        <f t="shared" si="11"/>
        <v>-3.3454991451450589E-2</v>
      </c>
      <c r="I32" s="18">
        <f t="shared" si="11"/>
        <v>0.45467620824867616</v>
      </c>
      <c r="J32" s="18">
        <f t="shared" si="11"/>
        <v>-3.9105131985074371E-2</v>
      </c>
      <c r="K32" s="18">
        <f t="shared" ref="K32:Q32" si="12">$S10/K10-1</f>
        <v>-3.8466813255008891E-2</v>
      </c>
      <c r="L32" s="18">
        <f t="shared" si="12"/>
        <v>-4.6117866558554099E-2</v>
      </c>
      <c r="M32" s="18">
        <f t="shared" si="12"/>
        <v>-1.1607345277417358E-2</v>
      </c>
      <c r="N32" s="18">
        <f t="shared" si="12"/>
        <v>-7.0906283809440196E-2</v>
      </c>
      <c r="O32" s="18">
        <f t="shared" si="12"/>
        <v>-6.2185581298563775E-2</v>
      </c>
      <c r="P32" s="18">
        <f t="shared" si="12"/>
        <v>-4.2205781835183087E-2</v>
      </c>
      <c r="Q32" s="18">
        <f t="shared" si="12"/>
        <v>-4.561776204347201E-2</v>
      </c>
      <c r="R32" s="40">
        <f t="shared" ref="R32:R39" si="13">$S10/R10-1</f>
        <v>2.8806584362139898E-2</v>
      </c>
    </row>
    <row r="33" spans="1:18" x14ac:dyDescent="0.2">
      <c r="A33" s="9" t="str">
        <f t="shared" ref="A33:D33" si="14">A11</f>
        <v>ZBH_HIPS</v>
      </c>
      <c r="B33" s="9" t="str">
        <f t="shared" si="14"/>
        <v>Americas Revenue - Hips</v>
      </c>
      <c r="C33" s="9" t="str">
        <f t="shared" si="14"/>
        <v>2018Q3</v>
      </c>
      <c r="D33" s="9">
        <f t="shared" si="14"/>
        <v>20181018</v>
      </c>
      <c r="E33" s="18">
        <f t="shared" si="8"/>
        <v>-0.1429352796111335</v>
      </c>
      <c r="F33" s="18">
        <f t="shared" ref="F33:J33" si="15">$S11/F11-1</f>
        <v>-0.13402096182364964</v>
      </c>
      <c r="G33" s="18">
        <f t="shared" si="15"/>
        <v>-1.9218827984235243E-2</v>
      </c>
      <c r="H33" s="18">
        <f t="shared" si="15"/>
        <v>-8.81629208488105E-2</v>
      </c>
      <c r="I33" s="18">
        <f t="shared" si="15"/>
        <v>0.31444394141405052</v>
      </c>
      <c r="J33" s="18">
        <f t="shared" si="15"/>
        <v>-9.8656133757536901E-2</v>
      </c>
      <c r="K33" s="18">
        <f t="shared" ref="K33:Q33" si="16">$S11/K11-1</f>
        <v>-7.7152518027401307E-2</v>
      </c>
      <c r="L33" s="18">
        <f t="shared" si="16"/>
        <v>-6.8985610448487389E-2</v>
      </c>
      <c r="M33" s="18">
        <f t="shared" si="16"/>
        <v>-4.2444302836897707E-2</v>
      </c>
      <c r="N33" s="18">
        <f t="shared" si="16"/>
        <v>-5.660153320693706E-2</v>
      </c>
      <c r="O33" s="18">
        <f t="shared" si="16"/>
        <v>-9.6401017655643684E-2</v>
      </c>
      <c r="P33" s="18">
        <f t="shared" si="16"/>
        <v>-6.1974523701522788E-2</v>
      </c>
      <c r="Q33" s="18">
        <f t="shared" si="16"/>
        <v>-6.7566875686790429E-2</v>
      </c>
      <c r="R33" s="40">
        <f t="shared" si="13"/>
        <v>4.3024771838331199E-2</v>
      </c>
    </row>
    <row r="34" spans="1:18" x14ac:dyDescent="0.2">
      <c r="A34" s="9" t="str">
        <f t="shared" ref="A34:D34" si="17">A12</f>
        <v>ZBH_HIPS</v>
      </c>
      <c r="B34" s="9" t="str">
        <f t="shared" si="17"/>
        <v>Americas Revenue - Hips</v>
      </c>
      <c r="C34" s="9" t="str">
        <f t="shared" si="17"/>
        <v>2018Q4</v>
      </c>
      <c r="D34" s="9">
        <f t="shared" si="17"/>
        <v>20190124</v>
      </c>
      <c r="E34" s="18">
        <f t="shared" si="8"/>
        <v>-7.5455371249110725E-2</v>
      </c>
      <c r="F34" s="18">
        <f t="shared" ref="F34:J34" si="18">$S12/F12-1</f>
        <v>-8.8173043548436469E-2</v>
      </c>
      <c r="G34" s="18">
        <f t="shared" si="18"/>
        <v>1.168583464329398E-2</v>
      </c>
      <c r="H34" s="18">
        <f t="shared" si="18"/>
        <v>-7.328331691923673E-2</v>
      </c>
      <c r="I34" s="18">
        <f t="shared" si="18"/>
        <v>0.30242135971029915</v>
      </c>
      <c r="J34" s="18">
        <f t="shared" si="18"/>
        <v>-5.7901483921561248E-2</v>
      </c>
      <c r="K34" s="18">
        <f t="shared" ref="K34:Q34" si="19">$S12/K12-1</f>
        <v>7.8733737087446132E-2</v>
      </c>
      <c r="L34" s="18">
        <f t="shared" si="19"/>
        <v>5.2943450423192262E-2</v>
      </c>
      <c r="M34" s="18">
        <f t="shared" si="19"/>
        <v>3.1510252754966661E-2</v>
      </c>
      <c r="N34" s="18">
        <f t="shared" si="19"/>
        <v>1.6318270302656313E-2</v>
      </c>
      <c r="O34" s="18">
        <f t="shared" si="19"/>
        <v>-9.1465153628519369E-3</v>
      </c>
      <c r="P34" s="18">
        <f t="shared" si="19"/>
        <v>4.521542927437272E-2</v>
      </c>
      <c r="Q34" s="18">
        <f t="shared" si="19"/>
        <v>3.5179005798347651E-2</v>
      </c>
      <c r="R34" s="40">
        <f t="shared" si="13"/>
        <v>7.7279752704795257E-4</v>
      </c>
    </row>
    <row r="35" spans="1:18" x14ac:dyDescent="0.2">
      <c r="A35" s="9" t="str">
        <f t="shared" ref="A35:D35" si="20">A13</f>
        <v>ZBH_HIPS</v>
      </c>
      <c r="B35" s="9" t="str">
        <f t="shared" si="20"/>
        <v>Americas Revenue - Hips</v>
      </c>
      <c r="C35" s="9" t="str">
        <f t="shared" si="20"/>
        <v>2019Q1</v>
      </c>
      <c r="D35" s="9">
        <f t="shared" si="20"/>
        <v>20190418</v>
      </c>
      <c r="E35" s="18">
        <f t="shared" si="8"/>
        <v>-1.0192877462555483E-2</v>
      </c>
      <c r="F35" s="18">
        <f t="shared" ref="F35:J35" si="21">$S13/F13-1</f>
        <v>-2.4272805928477359E-2</v>
      </c>
      <c r="G35" s="18">
        <f t="shared" si="21"/>
        <v>1.5150855259869145E-2</v>
      </c>
      <c r="H35" s="18">
        <f t="shared" si="21"/>
        <v>3.2996216063763573E-2</v>
      </c>
      <c r="I35" s="18">
        <f t="shared" si="21"/>
        <v>0.38878850940452159</v>
      </c>
      <c r="J35" s="18">
        <f t="shared" si="21"/>
        <v>2.9316952191440482E-3</v>
      </c>
      <c r="K35" s="18">
        <f t="shared" ref="K35:Q35" si="22">$S13/K13-1</f>
        <v>7.0588797724917329E-2</v>
      </c>
      <c r="L35" s="18">
        <f t="shared" si="22"/>
        <v>7.0079346928534791E-2</v>
      </c>
      <c r="M35" s="18">
        <f t="shared" si="22"/>
        <v>3.4249966718145064E-3</v>
      </c>
      <c r="N35" s="18">
        <f t="shared" si="22"/>
        <v>0.11468395349232985</v>
      </c>
      <c r="O35" s="18">
        <f t="shared" si="22"/>
        <v>6.6312755891406061E-2</v>
      </c>
      <c r="P35" s="18">
        <f t="shared" si="22"/>
        <v>6.4571993377007253E-2</v>
      </c>
      <c r="Q35" s="18">
        <f t="shared" si="22"/>
        <v>6.393668039710021E-2</v>
      </c>
      <c r="R35" s="40">
        <f t="shared" si="13"/>
        <v>-1.2131014961586084E-3</v>
      </c>
    </row>
    <row r="36" spans="1:18" x14ac:dyDescent="0.2">
      <c r="A36" s="9" t="str">
        <f t="shared" ref="A36:D36" si="23">A14</f>
        <v>ZBH_HIPS</v>
      </c>
      <c r="B36" s="9" t="str">
        <f t="shared" si="23"/>
        <v>Americas Revenue - Hips</v>
      </c>
      <c r="C36" s="9" t="str">
        <f t="shared" si="23"/>
        <v>2019Q2</v>
      </c>
      <c r="D36" s="9">
        <f t="shared" si="23"/>
        <v>20190718</v>
      </c>
      <c r="E36" s="18">
        <f t="shared" si="8"/>
        <v>-5.246424574951758E-2</v>
      </c>
      <c r="F36" s="18">
        <f t="shared" ref="F36:J36" si="24">$S14/F14-1</f>
        <v>-3.9425230936791955E-2</v>
      </c>
      <c r="G36" s="18">
        <f>$S14/G14-1</f>
        <v>-2.6957788332743093E-2</v>
      </c>
      <c r="H36" s="18">
        <f t="shared" si="24"/>
        <v>2.7944759548789166E-2</v>
      </c>
      <c r="I36" s="18">
        <f t="shared" si="24"/>
        <v>0.39868311055094008</v>
      </c>
      <c r="J36" s="18">
        <f t="shared" si="24"/>
        <v>-2.3659676289271792E-2</v>
      </c>
      <c r="K36" s="18">
        <f t="shared" ref="K36:Q36" si="25">$S14/K14-1</f>
        <v>-4.2706672163154713E-2</v>
      </c>
      <c r="L36" s="18">
        <f t="shared" si="25"/>
        <v>-1.5529366302774128E-2</v>
      </c>
      <c r="M36" s="18">
        <f t="shared" si="25"/>
        <v>-4.1480183338694743E-2</v>
      </c>
      <c r="N36" s="18">
        <f t="shared" si="25"/>
        <v>-4.8901016638988049E-3</v>
      </c>
      <c r="O36" s="18">
        <f t="shared" si="25"/>
        <v>7.1246277452721163E-3</v>
      </c>
      <c r="P36" s="18">
        <f t="shared" si="25"/>
        <v>-2.6513641592118109E-2</v>
      </c>
      <c r="Q36" s="18">
        <f t="shared" si="25"/>
        <v>-2.1005492914790702E-2</v>
      </c>
      <c r="R36" s="40">
        <f t="shared" si="13"/>
        <v>9.1743119266054496E-3</v>
      </c>
    </row>
    <row r="37" spans="1:18" x14ac:dyDescent="0.2">
      <c r="A37" s="9" t="str">
        <f t="shared" ref="A37:D37" si="26">A15</f>
        <v>ZBH_HIPS</v>
      </c>
      <c r="B37" s="9" t="str">
        <f t="shared" si="26"/>
        <v>Americas Revenue - Hips</v>
      </c>
      <c r="C37" s="9" t="str">
        <f t="shared" si="26"/>
        <v>2019Q3</v>
      </c>
      <c r="D37" s="9">
        <f t="shared" si="26"/>
        <v>20191031</v>
      </c>
      <c r="E37" s="18">
        <f t="shared" si="8"/>
        <v>4.0989253746177567E-3</v>
      </c>
      <c r="F37" s="18">
        <f t="shared" ref="F37:J37" si="27">$S15/F15-1</f>
        <v>-1.0286596199284292E-2</v>
      </c>
      <c r="G37" s="18">
        <f>$S15/G15-1</f>
        <v>7.6479059690490736E-3</v>
      </c>
      <c r="H37" s="18">
        <f t="shared" si="27"/>
        <v>4.1920704578749302E-2</v>
      </c>
      <c r="I37" s="18">
        <f t="shared" si="27"/>
        <v>0.45198259447235833</v>
      </c>
      <c r="J37" s="18">
        <f t="shared" si="27"/>
        <v>1.0486987148952132E-2</v>
      </c>
      <c r="K37" s="18">
        <f t="shared" ref="K37:Q37" si="28">$S15/K15-1</f>
        <v>5.9695025618192066E-2</v>
      </c>
      <c r="L37" s="18">
        <f t="shared" si="28"/>
        <v>3.0334582664423904E-2</v>
      </c>
      <c r="M37" s="18">
        <f t="shared" si="28"/>
        <v>3.5564432752097419E-2</v>
      </c>
      <c r="N37" s="18">
        <f t="shared" si="28"/>
        <v>1.359600785950299E-2</v>
      </c>
      <c r="O37" s="18">
        <f t="shared" si="28"/>
        <v>3.8106904644343409E-2</v>
      </c>
      <c r="P37" s="18">
        <f t="shared" si="28"/>
        <v>3.4974140275641163E-2</v>
      </c>
      <c r="Q37" s="18">
        <f t="shared" si="28"/>
        <v>3.5202187099177218E-2</v>
      </c>
      <c r="R37" s="40">
        <f t="shared" si="13"/>
        <v>2.3007395234182493E-2</v>
      </c>
    </row>
    <row r="38" spans="1:18" x14ac:dyDescent="0.2">
      <c r="A38" s="9" t="str">
        <f t="shared" ref="A38:D38" si="29">A16</f>
        <v>ZBH_HIPS</v>
      </c>
      <c r="B38" s="9" t="str">
        <f t="shared" si="29"/>
        <v>Americas Revenue - Hips</v>
      </c>
      <c r="C38" s="9" t="str">
        <f t="shared" si="29"/>
        <v>2019Q4</v>
      </c>
      <c r="D38" s="9">
        <f t="shared" si="29"/>
        <v>20200130</v>
      </c>
      <c r="E38" s="18">
        <f t="shared" si="8"/>
        <v>-3.0329055474402566E-2</v>
      </c>
      <c r="F38" s="18">
        <f t="shared" ref="F38:J38" si="30">$S16/F16-1</f>
        <v>-8.923864811187121E-3</v>
      </c>
      <c r="G38" s="18">
        <f t="shared" si="30"/>
        <v>-2.305246386827231E-2</v>
      </c>
      <c r="H38" s="18">
        <f t="shared" si="30"/>
        <v>-2.7100842094505806E-2</v>
      </c>
      <c r="I38" s="18">
        <f t="shared" si="30"/>
        <v>0.43436468864033495</v>
      </c>
      <c r="J38" s="18">
        <f t="shared" si="30"/>
        <v>-2.2419362931623499E-2</v>
      </c>
      <c r="K38" s="18">
        <f t="shared" ref="K38:Q38" si="31">$S16/K16-1</f>
        <v>-3.4287439194475633E-2</v>
      </c>
      <c r="L38" s="18">
        <f t="shared" si="31"/>
        <v>1.3768949504615602E-3</v>
      </c>
      <c r="M38" s="18">
        <f t="shared" si="31"/>
        <v>-3.0467358345569351E-2</v>
      </c>
      <c r="N38" s="18">
        <f t="shared" si="31"/>
        <v>-6.6244529329284041E-2</v>
      </c>
      <c r="O38" s="18">
        <f t="shared" si="31"/>
        <v>-1.2133689411356507E-2</v>
      </c>
      <c r="P38" s="18">
        <f t="shared" si="31"/>
        <v>-3.2564842990625342E-2</v>
      </c>
      <c r="Q38" s="18">
        <f t="shared" si="31"/>
        <v>-2.9509780498361948E-2</v>
      </c>
      <c r="R38" s="40">
        <f t="shared" si="13"/>
        <v>3.759398496240518E-3</v>
      </c>
    </row>
    <row r="39" spans="1:18" x14ac:dyDescent="0.2">
      <c r="A39" s="9" t="str">
        <f t="shared" ref="A39:D39" si="32">A17</f>
        <v>ZBH_HIPS</v>
      </c>
      <c r="B39" s="9" t="str">
        <f t="shared" si="32"/>
        <v>Americas Revenue - Hips</v>
      </c>
      <c r="C39" s="9" t="str">
        <f t="shared" si="32"/>
        <v>2020Q1</v>
      </c>
      <c r="D39" s="9">
        <f t="shared" si="32"/>
        <v>20200430</v>
      </c>
      <c r="E39" s="18">
        <f t="shared" si="8"/>
        <v>-7.8437509862053556E-2</v>
      </c>
      <c r="F39" s="18">
        <f t="shared" ref="F39:J39" si="33">$S17/F17-1</f>
        <v>-7.7494493097437611E-2</v>
      </c>
      <c r="G39" s="18">
        <f t="shared" ref="G39:G44" si="34">$S17/G17-1</f>
        <v>-4.819864854012057E-2</v>
      </c>
      <c r="H39" s="18">
        <f t="shared" si="33"/>
        <v>-3.5771208023985812E-2</v>
      </c>
      <c r="I39" s="18">
        <f t="shared" si="33"/>
        <v>0.39959340069726546</v>
      </c>
      <c r="J39" s="18">
        <f t="shared" si="33"/>
        <v>-6.0339287306246603E-2</v>
      </c>
      <c r="K39" s="18">
        <f t="shared" ref="K39:Q39" si="35">$S17/K17-1</f>
        <v>-4.9613175128380815E-2</v>
      </c>
      <c r="L39" s="18">
        <f t="shared" si="35"/>
        <v>-6.9188053118832249E-2</v>
      </c>
      <c r="M39" s="18">
        <f t="shared" si="35"/>
        <v>-2.5739544593577413E-2</v>
      </c>
      <c r="N39" s="18">
        <f t="shared" si="35"/>
        <v>-8.9118855320484691E-3</v>
      </c>
      <c r="O39" s="18">
        <f t="shared" si="35"/>
        <v>-2.4241595054902199E-2</v>
      </c>
      <c r="P39" s="18">
        <f t="shared" si="35"/>
        <v>-3.8789561634874015E-2</v>
      </c>
      <c r="Q39" s="18">
        <f t="shared" si="35"/>
        <v>-3.6476487557090431E-2</v>
      </c>
      <c r="R39" s="40">
        <f t="shared" si="13"/>
        <v>-1.9772822885990693E-2</v>
      </c>
    </row>
    <row r="40" spans="1:18" x14ac:dyDescent="0.2">
      <c r="A40" s="9" t="str">
        <f t="shared" ref="A40:D40" si="36">A18</f>
        <v>ZBH_HIPS</v>
      </c>
      <c r="B40" s="9" t="str">
        <f t="shared" si="36"/>
        <v>Americas Revenue - Hips</v>
      </c>
      <c r="C40" s="9" t="str">
        <f t="shared" si="36"/>
        <v>2020Q2</v>
      </c>
      <c r="D40" s="9">
        <f t="shared" si="36"/>
        <v>20200730</v>
      </c>
      <c r="E40" s="18">
        <f t="shared" si="8"/>
        <v>-0.10218932159547478</v>
      </c>
      <c r="F40" s="18">
        <f t="shared" ref="F40:J40" si="37">$S18/F18-1</f>
        <v>-0.1038069775583188</v>
      </c>
      <c r="G40" s="18">
        <f t="shared" si="34"/>
        <v>6.2060057797719059E-2</v>
      </c>
      <c r="H40" s="18">
        <f t="shared" si="37"/>
        <v>-9.051557191052817E-2</v>
      </c>
      <c r="I40" s="18">
        <f t="shared" si="37"/>
        <v>0.30326114111529923</v>
      </c>
      <c r="J40" s="18">
        <f t="shared" si="37"/>
        <v>-6.3394605268150328E-2</v>
      </c>
      <c r="K40" s="18">
        <f t="shared" ref="K40:Q40" si="38">$S18/K18-1</f>
        <v>-2.5773414160841113E-2</v>
      </c>
      <c r="L40" s="18">
        <f t="shared" si="38"/>
        <v>-2.8522848117437105E-2</v>
      </c>
      <c r="M40" s="18">
        <f t="shared" si="38"/>
        <v>0.11584214097692125</v>
      </c>
      <c r="N40" s="18">
        <f t="shared" si="38"/>
        <v>-5.6775284395266357E-2</v>
      </c>
      <c r="O40" s="18">
        <f t="shared" si="38"/>
        <v>-6.8828746644542749E-2</v>
      </c>
      <c r="P40" s="18">
        <f t="shared" si="38"/>
        <v>-3.2515118708590363E-3</v>
      </c>
      <c r="Q40" s="18">
        <f t="shared" si="38"/>
        <v>-1.4676530094449358E-2</v>
      </c>
      <c r="R40" s="40">
        <f t="shared" ref="R40" si="39">$S18/R18-1</f>
        <v>0.71213640922768295</v>
      </c>
    </row>
    <row r="41" spans="1:18" x14ac:dyDescent="0.2">
      <c r="A41" s="9" t="str">
        <f t="shared" ref="A41:D41" si="40">A19</f>
        <v>ZBH_HIPS</v>
      </c>
      <c r="B41" s="9" t="str">
        <f t="shared" si="40"/>
        <v>Americas Revenue - Hips</v>
      </c>
      <c r="C41" s="9" t="str">
        <f t="shared" si="40"/>
        <v>2020Q3</v>
      </c>
      <c r="D41" s="9">
        <f t="shared" si="40"/>
        <v>20201029</v>
      </c>
      <c r="E41" s="18">
        <f t="shared" si="8"/>
        <v>8.392999489378572E-2</v>
      </c>
      <c r="F41" s="18">
        <f t="shared" ref="F41:I41" si="41">$S19/F19-1</f>
        <v>8.0794407710601313E-2</v>
      </c>
      <c r="G41" s="18">
        <f t="shared" si="34"/>
        <v>4.8119510098483254E-2</v>
      </c>
      <c r="H41" s="18">
        <f t="shared" si="41"/>
        <v>0.10629652911861442</v>
      </c>
      <c r="I41" s="18">
        <f t="shared" si="41"/>
        <v>0.6338829214245143</v>
      </c>
      <c r="J41" s="18">
        <f>$S19/J19-1</f>
        <v>7.9383062576561914E-2</v>
      </c>
      <c r="K41" s="18">
        <f t="shared" ref="K41:Q41" si="42">$S19/K19-1</f>
        <v>0.20730352285407005</v>
      </c>
      <c r="L41" s="18">
        <f t="shared" si="42"/>
        <v>0.20598395730193597</v>
      </c>
      <c r="M41" s="18">
        <f t="shared" si="42"/>
        <v>-1.312595045532805E-2</v>
      </c>
      <c r="N41" s="18">
        <f t="shared" si="42"/>
        <v>0.21639963802632667</v>
      </c>
      <c r="O41" s="18">
        <f t="shared" si="42"/>
        <v>0.25368805213226642</v>
      </c>
      <c r="P41" s="18">
        <f t="shared" si="42"/>
        <v>0.1524416458070792</v>
      </c>
      <c r="Q41" s="18">
        <f t="shared" si="42"/>
        <v>0.16318320284985299</v>
      </c>
      <c r="R41" s="40">
        <f>$S19/R19-1</f>
        <v>0.17088055797733226</v>
      </c>
    </row>
    <row r="42" spans="1:18" x14ac:dyDescent="0.2">
      <c r="A42" s="9" t="str">
        <f t="shared" ref="A42:D42" si="43">A20</f>
        <v>ZBH_HIPS</v>
      </c>
      <c r="B42" s="9" t="str">
        <f t="shared" si="43"/>
        <v>Americas Revenue - Hips</v>
      </c>
      <c r="C42" s="9" t="str">
        <f t="shared" si="43"/>
        <v>2020Q4</v>
      </c>
      <c r="D42" s="9">
        <f t="shared" si="43"/>
        <v>20210128</v>
      </c>
      <c r="E42" s="18">
        <f t="shared" ref="E42:I42" si="44">$S20/E20-1</f>
        <v>0.14089777918853708</v>
      </c>
      <c r="F42" s="18">
        <f t="shared" si="44"/>
        <v>0.1378260508155813</v>
      </c>
      <c r="G42" s="18">
        <f t="shared" si="34"/>
        <v>0.11673128801824095</v>
      </c>
      <c r="H42" s="18">
        <f t="shared" si="44"/>
        <v>0.18588779280084045</v>
      </c>
      <c r="I42" s="18">
        <f t="shared" si="44"/>
        <v>0.73578057498964045</v>
      </c>
      <c r="J42" s="18">
        <f>$S20/J20-1</f>
        <v>0.1447894351215977</v>
      </c>
      <c r="K42" s="18">
        <f t="shared" ref="K42:Q42" si="45">$S20/K20-1</f>
        <v>5.255670067542817E-2</v>
      </c>
      <c r="L42" s="18">
        <f t="shared" si="45"/>
        <v>5.2768262583618997E-2</v>
      </c>
      <c r="M42" s="18">
        <f t="shared" si="45"/>
        <v>6.5461788716546954E-2</v>
      </c>
      <c r="N42" s="18">
        <f t="shared" si="45"/>
        <v>7.1943879048085302E-2</v>
      </c>
      <c r="O42" s="18">
        <f t="shared" si="45"/>
        <v>6.2365333665576062E-2</v>
      </c>
      <c r="P42" s="18">
        <f t="shared" si="45"/>
        <v>6.0596070860058138E-2</v>
      </c>
      <c r="Q42" s="18">
        <f t="shared" si="45"/>
        <v>6.0904611519537077E-2</v>
      </c>
      <c r="R42" s="40">
        <f>$S20/R20-1</f>
        <v>0</v>
      </c>
    </row>
    <row r="43" spans="1:18" x14ac:dyDescent="0.2">
      <c r="A43" s="9" t="str">
        <f t="shared" ref="A43:D43" si="46">A21</f>
        <v>ZBH_HIPS</v>
      </c>
      <c r="B43" s="9" t="str">
        <f t="shared" si="46"/>
        <v>Americas Revenue - Hips</v>
      </c>
      <c r="C43" s="9" t="str">
        <f t="shared" si="46"/>
        <v>2021Q1</v>
      </c>
      <c r="D43" s="9">
        <f t="shared" si="46"/>
        <v>20210429</v>
      </c>
      <c r="E43" s="18">
        <f t="shared" ref="E43:J43" si="47">$S21/E21-1</f>
        <v>4.5122046815362138E-2</v>
      </c>
      <c r="F43" s="18">
        <f t="shared" si="47"/>
        <v>7.68209860103648E-2</v>
      </c>
      <c r="G43" s="18">
        <f t="shared" si="34"/>
        <v>7.0731654475568728E-2</v>
      </c>
      <c r="H43" s="18">
        <f t="shared" si="47"/>
        <v>6.5230161522815022E-2</v>
      </c>
      <c r="I43" s="18">
        <f t="shared" si="47"/>
        <v>0.71993060928256614</v>
      </c>
      <c r="J43" s="18">
        <f t="shared" si="47"/>
        <v>6.4341976054529848E-2</v>
      </c>
      <c r="K43" s="18">
        <f t="shared" ref="K43:Q43" si="48">$S21/K21-1</f>
        <v>-8.3947689372570578E-2</v>
      </c>
      <c r="L43" s="18">
        <f t="shared" si="48"/>
        <v>-5.3615457970476954E-2</v>
      </c>
      <c r="M43" s="18">
        <f t="shared" si="48"/>
        <v>-4.1191317943910621E-2</v>
      </c>
      <c r="N43" s="18">
        <f t="shared" si="48"/>
        <v>-0.10174455965437945</v>
      </c>
      <c r="O43" s="18">
        <f t="shared" si="48"/>
        <v>-9.1313187481482094E-3</v>
      </c>
      <c r="P43" s="18">
        <f t="shared" si="48"/>
        <v>-7.0272712691939576E-2</v>
      </c>
      <c r="Q43" s="18">
        <f t="shared" si="48"/>
        <v>-6.0933423094475692E-2</v>
      </c>
      <c r="R43" s="40">
        <f>$S21/R21-1</f>
        <v>3.1126698816308584E-2</v>
      </c>
    </row>
    <row r="44" spans="1:18" x14ac:dyDescent="0.2">
      <c r="A44" s="9" t="str">
        <f t="shared" ref="A44:D44" si="49">A22</f>
        <v>ZBH_HIPS</v>
      </c>
      <c r="B44" s="9" t="str">
        <f t="shared" si="49"/>
        <v>Americas Revenue - Hips</v>
      </c>
      <c r="C44" s="9" t="str">
        <f t="shared" si="49"/>
        <v>2021Q2</v>
      </c>
      <c r="D44" s="9">
        <f t="shared" si="49"/>
        <v>20210729</v>
      </c>
      <c r="E44" s="18">
        <f>$S22/E22-1</f>
        <v>1.8204992060291136E-3</v>
      </c>
      <c r="F44" s="18">
        <f t="shared" ref="F44:J44" si="50">$S22/F22-1</f>
        <v>2.2391839004523684E-2</v>
      </c>
      <c r="G44" s="18">
        <f t="shared" si="34"/>
        <v>4.7417469468937545E-2</v>
      </c>
      <c r="H44" s="18">
        <f t="shared" si="50"/>
        <v>-2.9630117610457418E-4</v>
      </c>
      <c r="I44" s="18">
        <f t="shared" si="50"/>
        <v>0.78290832925035136</v>
      </c>
      <c r="J44" s="18">
        <f t="shared" si="50"/>
        <v>1.7473341506109463E-2</v>
      </c>
      <c r="K44" s="18">
        <f t="shared" ref="K44:Q44" si="51">$S22/K22-1</f>
        <v>-4.1432048765289164E-2</v>
      </c>
      <c r="L44" s="18">
        <f t="shared" si="51"/>
        <v>-5.054614249997269E-2</v>
      </c>
      <c r="M44" s="18">
        <f t="shared" si="51"/>
        <v>-2.1774069076206048E-2</v>
      </c>
      <c r="N44" s="18">
        <f t="shared" si="51"/>
        <v>-6.1513901000742721E-2</v>
      </c>
      <c r="O44" s="18">
        <f t="shared" si="51"/>
        <v>3.6616430702431257E-2</v>
      </c>
      <c r="P44" s="18">
        <f t="shared" si="51"/>
        <v>-4.4035315343063264E-2</v>
      </c>
      <c r="Q44" s="18">
        <f t="shared" si="51"/>
        <v>-3.147782105422392E-2</v>
      </c>
      <c r="R44" s="40">
        <f>$S22/R22-1</f>
        <v>1.3747054202670972E-2</v>
      </c>
    </row>
    <row r="45" spans="1:18" x14ac:dyDescent="0.2">
      <c r="A45" s="177" t="s">
        <v>78</v>
      </c>
      <c r="B45" s="177"/>
      <c r="C45" s="173"/>
      <c r="D45" s="174"/>
      <c r="E45" s="73" cm="1">
        <f t="array" ref="E45">SUM(ABS(E28:E44))/COUNT(E28:E44)</f>
        <v>6.4538341564143162E-2</v>
      </c>
      <c r="F45" s="73" cm="1">
        <f t="array" ref="F45">SUM(ABS(F28:F44))/COUNT(F28:F44)</f>
        <v>6.6566577482939648E-2</v>
      </c>
      <c r="G45" s="107" cm="1">
        <f t="array" ref="G45">SUM(ABS(G28:G44))/COUNT(G28:G44)</f>
        <v>3.9987258184366666E-2</v>
      </c>
      <c r="H45" s="73" cm="1">
        <f t="array" ref="H45">SUM(ABS(H28:H44))/COUNT(H28:H44)</f>
        <v>6.0822682206539323E-2</v>
      </c>
      <c r="I45" s="73" cm="1">
        <f t="array" ref="I45">SUM(ABS(I28:I44))/COUNT(I28:I44)</f>
        <v>0.47599806177835274</v>
      </c>
      <c r="J45" s="73" cm="1">
        <f t="array" ref="J45">SUM(ABS(J28:J44))/COUNT(J28:J44)</f>
        <v>4.9986203381716214E-2</v>
      </c>
      <c r="K45" s="73" cm="1">
        <f t="array" ref="K45">SUM(ABS(K28:K44))/COUNT(K28:K44)</f>
        <v>6.9116164177840056E-2</v>
      </c>
      <c r="L45" s="73" cm="1">
        <f t="array" ref="L45">SUM(ABS(L28:L44))/COUNT(L28:L44)</f>
        <v>6.1954222219583271E-2</v>
      </c>
      <c r="M45" s="107" cm="1">
        <f t="array" ref="M45">SUM(ABS(M28:M44))/COUNT(M28:M44)</f>
        <v>3.7701431090177678E-2</v>
      </c>
      <c r="N45" s="73" cm="1">
        <f t="array" ref="N45">SUM(ABS(N28:N44))/COUNT(N28:N44)</f>
        <v>6.4253995367058198E-2</v>
      </c>
      <c r="O45" s="73" cm="1">
        <f t="array" ref="O45">SUM(ABS(O28:O44))/COUNT(O28:O44)</f>
        <v>5.7983829241412925E-2</v>
      </c>
      <c r="P45" s="73" cm="1">
        <f t="array" ref="P45">SUM(ABS(P28:P44))/COUNT(P28:P44)</f>
        <v>5.2143601462461671E-2</v>
      </c>
      <c r="Q45" s="73" cm="1">
        <f t="array" ref="Q45">SUM(ABS(Q28:Q44))/COUNT(Q28:Q44)</f>
        <v>5.1055875056634704E-2</v>
      </c>
      <c r="R45" s="107" cm="1">
        <f t="array" ref="R45">SUM(ABS(R28:R44))/COUNT(R28:R44)</f>
        <v>6.8458705315893778E-2</v>
      </c>
    </row>
    <row r="46" spans="1:18" x14ac:dyDescent="0.2">
      <c r="A46" s="178" t="s">
        <v>79</v>
      </c>
      <c r="B46" s="178"/>
      <c r="C46" s="175"/>
      <c r="D46" s="176"/>
      <c r="E46" s="74" cm="1">
        <f t="array" ref="E46">SQRT(SUM(POWER(E28:E44,2))/COUNT(E28:E44))</f>
        <v>7.8059328020207139E-2</v>
      </c>
      <c r="F46" s="74" cm="1">
        <f t="array" ref="F46">SQRT(SUM(POWER(F28:F44,2))/COUNT(F28:F44))</f>
        <v>7.8622773021459202E-2</v>
      </c>
      <c r="G46" s="108" cm="1">
        <f t="array" ref="G46">SQRT(SUM(POWER(G28:G44,2))/COUNT(G28:G44))</f>
        <v>4.7816440647111005E-2</v>
      </c>
      <c r="H46" s="74" cm="1">
        <f t="array" ref="H46">SQRT(SUM(POWER(H28:H44,2))/COUNT(H28:H44))</f>
        <v>7.5602633167484806E-2</v>
      </c>
      <c r="I46" s="74" cm="1">
        <f t="array" ref="I46">SQRT(SUM(POWER(I28:I44,2))/COUNT(I28:I44))</f>
        <v>0.49988700932288876</v>
      </c>
      <c r="J46" s="74" cm="1">
        <f t="array" ref="J46">SQRT(SUM(POWER(J28:J44,2))/COUNT(J28:J44))</f>
        <v>6.3123301506482321E-2</v>
      </c>
      <c r="K46" s="74" cm="1">
        <f t="array" ref="K46">SQRT(SUM(POWER(K28:K44,2))/COUNT(K28:K44))</f>
        <v>8.0308599922104748E-2</v>
      </c>
      <c r="L46" s="74" cm="1">
        <f t="array" ref="L46">SQRT(SUM(POWER(L28:L44,2))/COUNT(L28:L44))</f>
        <v>7.63422600690222E-2</v>
      </c>
      <c r="M46" s="108" cm="1">
        <f t="array" ref="M46">SQRT(SUM(POWER(M28:M44,2))/COUNT(M28:M44))</f>
        <v>4.8047563379094431E-2</v>
      </c>
      <c r="N46" s="74" cm="1">
        <f t="array" ref="N46">SQRT(SUM(POWER(N28:N44,2))/COUNT(N28:N44))</f>
        <v>8.1068157212484115E-2</v>
      </c>
      <c r="O46" s="74" cm="1">
        <f t="array" ref="O46">SQRT(SUM(POWER(O28:O44,2))/COUNT(O28:O44))</f>
        <v>8.1783013904055124E-2</v>
      </c>
      <c r="P46" s="74" cm="1">
        <f t="array" ref="P46">SQRT(SUM(POWER(P28:P44,2))/COUNT(P28:P44))</f>
        <v>6.1296375992630318E-2</v>
      </c>
      <c r="Q46" s="74" cm="1">
        <f t="array" ref="Q46">SQRT(SUM(POWER(Q28:Q44,2))/COUNT(Q28:Q44))</f>
        <v>6.1776560854054814E-2</v>
      </c>
      <c r="R46" s="108" cm="1">
        <f t="array" ref="R46">SQRT(SUM(POWER(R28:R44,2))/COUNT(R28:R44))</f>
        <v>0.17901145515350603</v>
      </c>
    </row>
    <row r="47" spans="1:18" x14ac:dyDescent="0.2">
      <c r="I47" s="3"/>
      <c r="J47" s="3"/>
    </row>
    <row r="48" spans="1:18" x14ac:dyDescent="0.2">
      <c r="B48" t="s">
        <v>158</v>
      </c>
      <c r="J48" s="3"/>
    </row>
  </sheetData>
  <mergeCells count="7">
    <mergeCell ref="A24:D24"/>
    <mergeCell ref="A4:B4"/>
    <mergeCell ref="A26:B26"/>
    <mergeCell ref="C45:D45"/>
    <mergeCell ref="C46:D46"/>
    <mergeCell ref="A45:B45"/>
    <mergeCell ref="A46:B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40"/>
  <sheetViews>
    <sheetView zoomScale="85" zoomScaleNormal="85" workbookViewId="0">
      <selection activeCell="K9" sqref="K9"/>
    </sheetView>
  </sheetViews>
  <sheetFormatPr defaultRowHeight="12.75" x14ac:dyDescent="0.2"/>
  <cols>
    <col min="1" max="1" width="9.140625" style="67"/>
    <col min="3" max="3" width="13" bestFit="1" customWidth="1"/>
    <col min="4" max="4" width="8.85546875" customWidth="1"/>
    <col min="5" max="5" width="6.42578125" customWidth="1"/>
    <col min="6" max="6" width="8.5703125" bestFit="1" customWidth="1"/>
    <col min="7" max="7" width="14.5703125" bestFit="1" customWidth="1"/>
    <col min="8" max="8" width="8.28515625" bestFit="1" customWidth="1"/>
    <col min="9" max="9" width="7.5703125" bestFit="1" customWidth="1"/>
    <col min="10" max="10" width="12" bestFit="1" customWidth="1"/>
    <col min="11" max="11" width="12.5703125" bestFit="1" customWidth="1"/>
    <col min="12" max="12" width="7.42578125" bestFit="1" customWidth="1"/>
    <col min="13" max="13" width="7.5703125" bestFit="1" customWidth="1"/>
  </cols>
  <sheetData>
    <row r="1" spans="1:17" x14ac:dyDescent="0.2">
      <c r="A1" s="67" t="s">
        <v>104</v>
      </c>
      <c r="B1" t="s">
        <v>84</v>
      </c>
    </row>
    <row r="2" spans="1:17" x14ac:dyDescent="0.2">
      <c r="A2" s="67" t="s">
        <v>99</v>
      </c>
      <c r="B2" t="s">
        <v>82</v>
      </c>
    </row>
    <row r="3" spans="1:17" x14ac:dyDescent="0.2">
      <c r="A3" s="67" t="s">
        <v>100</v>
      </c>
      <c r="B3" t="s">
        <v>147</v>
      </c>
    </row>
    <row r="4" spans="1:17" x14ac:dyDescent="0.2">
      <c r="A4" s="67" t="s">
        <v>101</v>
      </c>
      <c r="B4" t="s">
        <v>166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67" t="s">
        <v>102</v>
      </c>
      <c r="B7" s="179" t="s">
        <v>83</v>
      </c>
      <c r="C7" s="179"/>
      <c r="D7" s="179" t="s">
        <v>112</v>
      </c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6"/>
      <c r="P7" s="6"/>
      <c r="Q7" s="6"/>
    </row>
    <row r="8" spans="1:17" ht="15" x14ac:dyDescent="0.2">
      <c r="A8" s="67" t="s">
        <v>60</v>
      </c>
      <c r="C8" s="71" t="s">
        <v>85</v>
      </c>
      <c r="D8" s="71" t="s">
        <v>86</v>
      </c>
      <c r="E8" s="71" t="s">
        <v>87</v>
      </c>
      <c r="F8" s="71" t="s">
        <v>88</v>
      </c>
      <c r="G8" s="71" t="s">
        <v>89</v>
      </c>
      <c r="H8" s="71" t="s">
        <v>90</v>
      </c>
      <c r="I8" s="71" t="s">
        <v>91</v>
      </c>
      <c r="J8" s="71" t="s">
        <v>92</v>
      </c>
      <c r="K8" s="71" t="s">
        <v>93</v>
      </c>
      <c r="L8" s="71" t="s">
        <v>94</v>
      </c>
      <c r="M8" s="71" t="s">
        <v>95</v>
      </c>
      <c r="O8" s="6"/>
      <c r="P8" s="6"/>
      <c r="Q8" s="6"/>
    </row>
    <row r="9" spans="1:17" ht="15" x14ac:dyDescent="0.2">
      <c r="B9" s="71" t="s">
        <v>96</v>
      </c>
      <c r="C9" s="2">
        <v>6.6233645513052358E-2</v>
      </c>
      <c r="D9" s="2">
        <v>4.4465849702048192E-2</v>
      </c>
      <c r="E9" s="2">
        <v>4.3287965860447787E-2</v>
      </c>
      <c r="F9" s="2">
        <v>5.8765504324207928E-2</v>
      </c>
      <c r="G9" s="2">
        <v>4.993426245158504E-2</v>
      </c>
      <c r="H9" s="2">
        <v>4.3444191167168508E-2</v>
      </c>
      <c r="I9" s="2">
        <v>4.6512042389527483E-2</v>
      </c>
      <c r="J9" s="2">
        <v>4.9192816050321012E-2</v>
      </c>
      <c r="K9" s="2">
        <v>3.9816079036685263E-2</v>
      </c>
      <c r="L9" s="2">
        <v>5.1846385838365178E-2</v>
      </c>
      <c r="M9" s="2">
        <v>6.735042028895788E-2</v>
      </c>
      <c r="O9" s="6"/>
      <c r="P9" s="6"/>
      <c r="Q9" s="6"/>
    </row>
    <row r="10" spans="1:17" ht="15" x14ac:dyDescent="0.2">
      <c r="B10" s="71" t="s">
        <v>97</v>
      </c>
      <c r="C10" s="2">
        <v>0.14014508609326309</v>
      </c>
      <c r="D10" s="2">
        <v>5.1991305199522088E-2</v>
      </c>
      <c r="E10" s="2">
        <v>5.8475855161371632E-2</v>
      </c>
      <c r="F10" s="2">
        <v>0.1184949515138197</v>
      </c>
      <c r="G10" s="2">
        <v>8.0974964410016129E-2</v>
      </c>
      <c r="H10" s="2">
        <v>5.8810987555190819E-2</v>
      </c>
      <c r="I10" s="2">
        <v>6.5111633147515682E-2</v>
      </c>
      <c r="J10" s="2">
        <v>7.9277377415501865E-2</v>
      </c>
      <c r="K10" s="2">
        <v>5.5804684387590842E-2</v>
      </c>
      <c r="L10" s="2">
        <v>8.0045663177720355E-2</v>
      </c>
      <c r="M10" s="2">
        <v>0.12202171843274751</v>
      </c>
      <c r="O10" s="6"/>
      <c r="P10" s="6"/>
      <c r="Q10" s="6"/>
    </row>
    <row r="11" spans="1:17" ht="15" x14ac:dyDescent="0.2">
      <c r="B11" s="71" t="s">
        <v>98</v>
      </c>
      <c r="C11" s="2">
        <v>-1.1325772251770011E-2</v>
      </c>
      <c r="D11" s="2">
        <v>-3.0097786776458971E-2</v>
      </c>
      <c r="E11" s="2">
        <v>-5.7063744556701268E-3</v>
      </c>
      <c r="F11" s="2">
        <v>-6.571837963376792E-3</v>
      </c>
      <c r="G11" s="2">
        <v>-7.0904786987989743E-3</v>
      </c>
      <c r="H11" s="2">
        <v>-5.706627635671202E-3</v>
      </c>
      <c r="I11" s="2">
        <v>-9.6533517267133329E-3</v>
      </c>
      <c r="J11" s="2">
        <v>-7.0098114313809634E-3</v>
      </c>
      <c r="K11" s="2">
        <v>-5.7245951338596446E-3</v>
      </c>
      <c r="L11" s="2">
        <v>-7.6579498809565827E-3</v>
      </c>
      <c r="M11" s="2">
        <v>-7.6845184839839931E-3</v>
      </c>
      <c r="O11" s="6"/>
      <c r="P11" s="6"/>
      <c r="Q11" s="6"/>
    </row>
    <row r="12" spans="1:17" x14ac:dyDescent="0.2">
      <c r="O12" s="6"/>
      <c r="P12" s="6"/>
      <c r="Q12" s="6"/>
    </row>
    <row r="13" spans="1:17" x14ac:dyDescent="0.2">
      <c r="O13" s="6"/>
      <c r="P13" s="6"/>
      <c r="Q13" s="6"/>
    </row>
    <row r="14" spans="1:17" x14ac:dyDescent="0.2">
      <c r="O14" s="6"/>
      <c r="P14" s="6"/>
      <c r="Q14" s="6"/>
    </row>
    <row r="15" spans="1:17" x14ac:dyDescent="0.2">
      <c r="A15" s="67" t="s">
        <v>103</v>
      </c>
      <c r="B15" t="s">
        <v>139</v>
      </c>
      <c r="O15" s="6"/>
      <c r="P15" s="6"/>
      <c r="Q15" s="6"/>
    </row>
    <row r="16" spans="1:17" x14ac:dyDescent="0.2">
      <c r="B16" t="s">
        <v>140</v>
      </c>
      <c r="H16" s="68" t="s">
        <v>106</v>
      </c>
      <c r="O16" s="6"/>
      <c r="P16" s="6"/>
      <c r="Q16" s="6"/>
    </row>
    <row r="17" spans="1:17" x14ac:dyDescent="0.2">
      <c r="H17" s="68"/>
      <c r="O17" s="6"/>
      <c r="P17" s="6"/>
      <c r="Q17" s="6"/>
    </row>
    <row r="18" spans="1:17" x14ac:dyDescent="0.2">
      <c r="O18" s="6"/>
      <c r="P18" s="6"/>
      <c r="Q18" s="6"/>
    </row>
    <row r="19" spans="1:17" x14ac:dyDescent="0.2">
      <c r="O19" s="6"/>
      <c r="P19" s="6"/>
      <c r="Q19" s="6"/>
    </row>
    <row r="20" spans="1:17" x14ac:dyDescent="0.2">
      <c r="A20" s="67" t="s">
        <v>105</v>
      </c>
      <c r="B20" s="180" t="s">
        <v>108</v>
      </c>
      <c r="C20" s="180"/>
      <c r="D20" s="180"/>
      <c r="E20" s="180"/>
      <c r="F20" s="66" t="e">
        <f>#REF!+#REF!*'2. Past Proj &amp; Candidate Model'!R22</f>
        <v>#REF!</v>
      </c>
      <c r="G20" s="69" t="s">
        <v>109</v>
      </c>
      <c r="H20" s="2" t="e">
        <f>'2. Past Proj &amp; Candidate Model'!S22/'3. Improved Alpha Model'!F20-1</f>
        <v>#REF!</v>
      </c>
      <c r="O20" s="6"/>
      <c r="P20" s="6"/>
      <c r="Q20" s="6"/>
    </row>
    <row r="21" spans="1:17" x14ac:dyDescent="0.2">
      <c r="O21" s="6"/>
      <c r="P21" s="6"/>
      <c r="Q21" s="6"/>
    </row>
    <row r="22" spans="1:17" x14ac:dyDescent="0.2">
      <c r="O22" s="6"/>
      <c r="P22" s="6"/>
      <c r="Q22" s="6"/>
    </row>
    <row r="23" spans="1:17" x14ac:dyDescent="0.2">
      <c r="O23" s="6"/>
      <c r="P23" s="6"/>
      <c r="Q23" s="6"/>
    </row>
    <row r="24" spans="1:17" x14ac:dyDescent="0.2">
      <c r="B24" s="181" t="s">
        <v>159</v>
      </c>
      <c r="C24" s="181"/>
      <c r="D24" s="181"/>
      <c r="E24" s="3">
        <f>C9</f>
        <v>6.6233645513052358E-2</v>
      </c>
      <c r="F24" t="s">
        <v>110</v>
      </c>
      <c r="G24" s="181" t="s">
        <v>111</v>
      </c>
      <c r="H24" s="181"/>
      <c r="I24" s="3" t="e">
        <f>#REF!</f>
        <v>#REF!</v>
      </c>
      <c r="O24" s="6"/>
      <c r="P24" s="6"/>
      <c r="Q24" s="6"/>
    </row>
    <row r="25" spans="1:17" x14ac:dyDescent="0.2">
      <c r="O25" s="6"/>
      <c r="P25" s="6"/>
      <c r="Q25" s="6"/>
    </row>
    <row r="26" spans="1:17" x14ac:dyDescent="0.2">
      <c r="O26" s="6"/>
      <c r="P26" s="6"/>
      <c r="Q26" s="6"/>
    </row>
    <row r="27" spans="1:17" x14ac:dyDescent="0.2">
      <c r="A27" s="67" t="s">
        <v>107</v>
      </c>
      <c r="B27" t="s">
        <v>113</v>
      </c>
      <c r="O27" s="6"/>
      <c r="P27" s="6"/>
      <c r="Q27" s="6"/>
    </row>
    <row r="28" spans="1:17" x14ac:dyDescent="0.2">
      <c r="B28" t="s">
        <v>114</v>
      </c>
      <c r="O28" s="6"/>
      <c r="P28" s="6"/>
      <c r="Q28" s="6"/>
    </row>
    <row r="29" spans="1:17" x14ac:dyDescent="0.2">
      <c r="B29" t="s">
        <v>115</v>
      </c>
      <c r="O29" s="6"/>
      <c r="P29" s="6"/>
      <c r="Q29" s="6"/>
    </row>
    <row r="30" spans="1:17" x14ac:dyDescent="0.2">
      <c r="B30" t="s">
        <v>116</v>
      </c>
      <c r="O30" s="6"/>
      <c r="P30" s="6"/>
      <c r="Q30" s="6"/>
    </row>
    <row r="31" spans="1:17" x14ac:dyDescent="0.2">
      <c r="B31" t="s">
        <v>117</v>
      </c>
      <c r="O31" s="6"/>
      <c r="P31" s="6"/>
      <c r="Q31" s="6"/>
    </row>
    <row r="32" spans="1:17" x14ac:dyDescent="0.2">
      <c r="B32" t="s">
        <v>118</v>
      </c>
      <c r="O32" s="6"/>
      <c r="P32" s="6"/>
      <c r="Q32" s="6"/>
    </row>
    <row r="33" spans="2:17" x14ac:dyDescent="0.2">
      <c r="B33" t="s">
        <v>119</v>
      </c>
      <c r="O33" s="6"/>
      <c r="P33" s="6"/>
      <c r="Q33" s="6"/>
    </row>
    <row r="34" spans="2:17" x14ac:dyDescent="0.2">
      <c r="B34" t="s">
        <v>120</v>
      </c>
      <c r="O34" s="6"/>
      <c r="P34" s="6"/>
      <c r="Q34" s="6"/>
    </row>
    <row r="35" spans="2:17" x14ac:dyDescent="0.2">
      <c r="B35" t="s">
        <v>121</v>
      </c>
      <c r="O35" s="6"/>
      <c r="P35" s="6"/>
      <c r="Q35" s="6"/>
    </row>
    <row r="36" spans="2:17" x14ac:dyDescent="0.2">
      <c r="B36" t="s">
        <v>122</v>
      </c>
      <c r="O36" s="6"/>
      <c r="P36" s="6"/>
      <c r="Q36" s="6"/>
    </row>
    <row r="37" spans="2:17" x14ac:dyDescent="0.2">
      <c r="O37" s="6"/>
      <c r="P37" s="6"/>
      <c r="Q37" s="6"/>
    </row>
    <row r="38" spans="2:17" x14ac:dyDescent="0.2">
      <c r="O38" s="6"/>
      <c r="P38" s="6"/>
      <c r="Q38" s="6"/>
    </row>
    <row r="39" spans="2:17" x14ac:dyDescent="0.2">
      <c r="O39" s="6"/>
      <c r="P39" s="6"/>
    </row>
    <row r="40" spans="2:17" x14ac:dyDescent="0.2">
      <c r="O40" s="6"/>
      <c r="P40" s="6"/>
    </row>
  </sheetData>
  <mergeCells count="5">
    <mergeCell ref="D7:N7"/>
    <mergeCell ref="B7:C7"/>
    <mergeCell ref="B20:E20"/>
    <mergeCell ref="B24:D24"/>
    <mergeCell ref="G24:H24"/>
  </mergeCells>
  <conditionalFormatting sqref="C9:K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">
      <colorScale>
        <cfvo type="min"/>
        <cfvo type="max"/>
        <color rgb="FF63BE7B"/>
        <color rgb="FFFFEF9C"/>
      </colorScale>
    </cfRule>
  </conditionalFormatting>
  <conditionalFormatting sqref="C10:K1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49"/>
  <sheetViews>
    <sheetView tabSelected="1" zoomScale="85" zoomScaleNormal="85" workbookViewId="0">
      <selection activeCell="C46" sqref="C46"/>
    </sheetView>
  </sheetViews>
  <sheetFormatPr defaultRowHeight="12.75" x14ac:dyDescent="0.2"/>
  <cols>
    <col min="1" max="1" width="9.140625" style="67"/>
    <col min="3" max="3" width="18.5703125" customWidth="1"/>
    <col min="4" max="13" width="14.7109375" customWidth="1"/>
    <col min="18" max="18" width="8.28515625" customWidth="1"/>
    <col min="19" max="19" width="14.85546875" customWidth="1"/>
    <col min="23" max="23" width="16.28515625" customWidth="1"/>
  </cols>
  <sheetData>
    <row r="1" spans="1:25" x14ac:dyDescent="0.2">
      <c r="A1" s="67" t="s">
        <v>124</v>
      </c>
      <c r="B1" t="s">
        <v>84</v>
      </c>
    </row>
    <row r="2" spans="1:25" x14ac:dyDescent="0.2">
      <c r="A2" s="67" t="s">
        <v>99</v>
      </c>
      <c r="B2" s="75" t="s">
        <v>160</v>
      </c>
      <c r="C2" s="76" t="str">
        <f>D5</f>
        <v>PROJ</v>
      </c>
      <c r="D2" t="s">
        <v>161</v>
      </c>
    </row>
    <row r="4" spans="1:25" x14ac:dyDescent="0.2">
      <c r="A4" s="67" t="s">
        <v>100</v>
      </c>
      <c r="B4" t="s">
        <v>123</v>
      </c>
    </row>
    <row r="5" spans="1:25" ht="15" x14ac:dyDescent="0.2">
      <c r="A5" s="67" t="s">
        <v>60</v>
      </c>
      <c r="C5" s="71" t="s">
        <v>85</v>
      </c>
      <c r="D5" s="71" t="s">
        <v>86</v>
      </c>
      <c r="E5" s="71" t="s">
        <v>87</v>
      </c>
      <c r="F5" s="71" t="s">
        <v>88</v>
      </c>
      <c r="G5" s="71" t="s">
        <v>89</v>
      </c>
      <c r="H5" s="71" t="s">
        <v>90</v>
      </c>
      <c r="I5" s="71" t="s">
        <v>91</v>
      </c>
      <c r="J5" s="71" t="s">
        <v>92</v>
      </c>
      <c r="K5" s="71" t="s">
        <v>93</v>
      </c>
      <c r="L5" s="71" t="s">
        <v>94</v>
      </c>
      <c r="M5" s="71" t="s">
        <v>95</v>
      </c>
    </row>
    <row r="6" spans="1:25" ht="15" x14ac:dyDescent="0.2">
      <c r="B6" s="71" t="s">
        <v>96</v>
      </c>
      <c r="C6" s="2">
        <v>6.0212405011865783E-2</v>
      </c>
      <c r="D6" s="2">
        <v>5.1538332839479048E-2</v>
      </c>
      <c r="E6" s="2">
        <v>4.7931526949863718E-2</v>
      </c>
      <c r="F6" s="2">
        <v>5.3643413631620958E-2</v>
      </c>
      <c r="G6" s="2">
        <v>4.9683167622590382E-2</v>
      </c>
      <c r="H6" s="2">
        <v>4.8073545655273102E-2</v>
      </c>
      <c r="I6" s="2">
        <v>5.0862418687017491E-2</v>
      </c>
      <c r="J6" s="2">
        <v>4.8999133241302957E-2</v>
      </c>
      <c r="K6" s="2">
        <v>4.0239228328146623E-2</v>
      </c>
      <c r="L6" s="2">
        <v>5.4190697757968628E-2</v>
      </c>
      <c r="M6" s="2">
        <v>6.8050528283722683E-2</v>
      </c>
    </row>
    <row r="7" spans="1:25" ht="15" x14ac:dyDescent="0.2">
      <c r="B7" s="71" t="s">
        <v>97</v>
      </c>
      <c r="C7" s="2">
        <v>0.13362309665652911</v>
      </c>
      <c r="D7" s="2">
        <v>6.1776164487803827E-2</v>
      </c>
      <c r="E7" s="2">
        <v>6.2594955557289833E-2</v>
      </c>
      <c r="F7" s="2">
        <v>0.1129828643006477</v>
      </c>
      <c r="G7" s="2">
        <v>7.8505742053339836E-2</v>
      </c>
      <c r="H7" s="2">
        <v>6.2879733943210211E-2</v>
      </c>
      <c r="I7" s="2">
        <v>6.829097102094342E-2</v>
      </c>
      <c r="J7" s="2">
        <v>7.690837894116527E-2</v>
      </c>
      <c r="K7" s="2">
        <v>5.4871149103925557E-2</v>
      </c>
      <c r="L7" s="2">
        <v>7.982941555732119E-2</v>
      </c>
      <c r="M7" s="2">
        <v>0.1185233930078102</v>
      </c>
    </row>
    <row r="8" spans="1:25" ht="15" x14ac:dyDescent="0.2">
      <c r="B8" s="71" t="s">
        <v>98</v>
      </c>
      <c r="C8" s="2">
        <v>-9.0909090909091494E-3</v>
      </c>
      <c r="D8" s="2">
        <v>-4.5270840759395692E-2</v>
      </c>
      <c r="E8" s="2">
        <v>-1.022261799916757E-2</v>
      </c>
      <c r="F8" s="2">
        <v>-2.9714481697065138E-3</v>
      </c>
      <c r="G8" s="2">
        <v>-9.374985766943511E-3</v>
      </c>
      <c r="H8" s="2">
        <v>-1.0223083433831491E-2</v>
      </c>
      <c r="I8" s="2">
        <v>-1.7495809083918009E-2</v>
      </c>
      <c r="J8" s="2">
        <v>-9.2543019538081639E-3</v>
      </c>
      <c r="K8" s="2">
        <v>-6.6716327551316068E-3</v>
      </c>
      <c r="L8" s="2">
        <v>-1.6225424477910529E-2</v>
      </c>
      <c r="M8" s="2">
        <v>-9.3592095814419851E-3</v>
      </c>
    </row>
    <row r="10" spans="1:25" ht="15" x14ac:dyDescent="0.2">
      <c r="A10" s="67" t="s">
        <v>101</v>
      </c>
      <c r="B10" s="72" t="s">
        <v>162</v>
      </c>
    </row>
    <row r="12" spans="1:25" x14ac:dyDescent="0.2">
      <c r="A12" s="67" t="s">
        <v>102</v>
      </c>
      <c r="B12" t="s">
        <v>138</v>
      </c>
    </row>
    <row r="13" spans="1:25" ht="15" x14ac:dyDescent="0.2">
      <c r="B13" s="71" t="s">
        <v>125</v>
      </c>
      <c r="C13" s="71" t="s">
        <v>126</v>
      </c>
      <c r="D13" s="71" t="s">
        <v>85</v>
      </c>
      <c r="E13" s="71" t="s">
        <v>86</v>
      </c>
      <c r="F13" s="71" t="s">
        <v>87</v>
      </c>
      <c r="G13" s="71" t="s">
        <v>88</v>
      </c>
      <c r="H13" s="71" t="s">
        <v>89</v>
      </c>
      <c r="I13" s="71" t="s">
        <v>90</v>
      </c>
      <c r="J13" s="71" t="s">
        <v>91</v>
      </c>
      <c r="K13" s="71" t="s">
        <v>92</v>
      </c>
      <c r="L13" s="71" t="s">
        <v>93</v>
      </c>
      <c r="M13" s="71" t="s">
        <v>94</v>
      </c>
      <c r="N13" s="71" t="s">
        <v>95</v>
      </c>
      <c r="O13" s="71" t="s">
        <v>127</v>
      </c>
      <c r="P13" s="71" t="s">
        <v>128</v>
      </c>
      <c r="Q13" s="71" t="s">
        <v>129</v>
      </c>
      <c r="R13" s="71" t="s">
        <v>130</v>
      </c>
      <c r="S13" s="71" t="s">
        <v>131</v>
      </c>
      <c r="T13" s="71" t="s">
        <v>132</v>
      </c>
      <c r="U13" s="71" t="s">
        <v>133</v>
      </c>
      <c r="V13" s="71" t="s">
        <v>134</v>
      </c>
      <c r="W13" s="71" t="s">
        <v>135</v>
      </c>
      <c r="X13" s="71" t="s">
        <v>136</v>
      </c>
      <c r="Y13" s="71" t="s">
        <v>137</v>
      </c>
    </row>
    <row r="14" spans="1:25" x14ac:dyDescent="0.2">
      <c r="B14" t="s">
        <v>168</v>
      </c>
      <c r="C14">
        <v>245</v>
      </c>
      <c r="D14">
        <v>245.9</v>
      </c>
      <c r="E14">
        <v>252.62088120000001</v>
      </c>
      <c r="O14" s="2"/>
      <c r="P14" s="2">
        <f>E14/C14-1</f>
        <v>3.110563755102036E-2</v>
      </c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t="s">
        <v>169</v>
      </c>
      <c r="C15">
        <v>228</v>
      </c>
      <c r="D15">
        <v>236.3</v>
      </c>
      <c r="E15">
        <v>215.08103500000001</v>
      </c>
      <c r="O15" s="2"/>
      <c r="P15" s="2">
        <f t="shared" ref="P15:P21" si="0">E15/C15-1</f>
        <v>-5.6662127192982359E-2</v>
      </c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t="s">
        <v>167</v>
      </c>
      <c r="C16">
        <v>256</v>
      </c>
      <c r="D16">
        <v>246.6</v>
      </c>
      <c r="E16">
        <v>248.05244200000001</v>
      </c>
      <c r="O16" s="2"/>
      <c r="P16" s="2">
        <f t="shared" si="0"/>
        <v>-3.1045148437499948E-2</v>
      </c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">
      <c r="B17" t="s">
        <v>42</v>
      </c>
      <c r="C17">
        <v>248</v>
      </c>
      <c r="D17">
        <v>240.9</v>
      </c>
      <c r="E17">
        <v>239.31675999999999</v>
      </c>
      <c r="O17" s="2"/>
      <c r="P17" s="2">
        <f t="shared" si="0"/>
        <v>-3.5013064516129067E-2</v>
      </c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">
      <c r="B18" t="s">
        <v>43</v>
      </c>
      <c r="C18">
        <v>250</v>
      </c>
      <c r="D18">
        <v>243</v>
      </c>
      <c r="E18">
        <v>244.07985300000001</v>
      </c>
      <c r="O18" s="2"/>
      <c r="P18" s="2">
        <f t="shared" si="0"/>
        <v>-2.3680587999999947E-2</v>
      </c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">
      <c r="B19" t="s">
        <v>44</v>
      </c>
      <c r="C19">
        <v>240</v>
      </c>
      <c r="D19">
        <v>230.1</v>
      </c>
      <c r="E19">
        <v>244.70290299999999</v>
      </c>
      <c r="O19" s="2"/>
      <c r="P19" s="2">
        <f t="shared" si="0"/>
        <v>1.9595429166666678E-2</v>
      </c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">
      <c r="B20" t="s">
        <v>45</v>
      </c>
      <c r="C20">
        <v>259</v>
      </c>
      <c r="D20">
        <v>258.8</v>
      </c>
      <c r="E20">
        <v>256.008329</v>
      </c>
      <c r="O20" s="2"/>
      <c r="P20" s="2">
        <f t="shared" si="0"/>
        <v>-1.1550853281853235E-2</v>
      </c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">
      <c r="B21" t="s">
        <v>46</v>
      </c>
      <c r="C21">
        <v>247</v>
      </c>
      <c r="D21">
        <v>247.3</v>
      </c>
      <c r="E21">
        <v>243.313591</v>
      </c>
      <c r="F21">
        <v>246.8788052626314</v>
      </c>
      <c r="G21">
        <v>250.31194300609391</v>
      </c>
      <c r="H21">
        <v>248.863434018557</v>
      </c>
      <c r="I21">
        <v>246.8788024276362</v>
      </c>
      <c r="J21">
        <v>246.84809564932749</v>
      </c>
      <c r="K21">
        <v>248.82300976687219</v>
      </c>
      <c r="L21">
        <v>248.789236685025</v>
      </c>
      <c r="M21">
        <v>247.22465260485129</v>
      </c>
      <c r="N21">
        <v>247.1306864295548</v>
      </c>
      <c r="O21" s="2">
        <v>1.2145748987855141E-3</v>
      </c>
      <c r="P21" s="2">
        <f t="shared" si="0"/>
        <v>-1.4924732793522244E-2</v>
      </c>
      <c r="Q21" s="2">
        <v>-4.9066695290933549E-4</v>
      </c>
      <c r="R21" s="2">
        <v>1.340867613803187E-2</v>
      </c>
      <c r="S21" s="2">
        <v>7.5442672816072856E-3</v>
      </c>
      <c r="T21" s="2">
        <v>-4.906784306226708E-4</v>
      </c>
      <c r="U21" s="2">
        <v>-6.1499737114356634E-4</v>
      </c>
      <c r="V21" s="2">
        <v>7.3806063436121514E-3</v>
      </c>
      <c r="W21" s="2">
        <v>7.2438732187247723E-3</v>
      </c>
      <c r="X21" s="2">
        <v>9.0952471599736739E-4</v>
      </c>
      <c r="Y21" s="2">
        <v>5.2909485649710319E-4</v>
      </c>
    </row>
    <row r="22" spans="2:25" x14ac:dyDescent="0.2">
      <c r="B22" t="s">
        <v>47</v>
      </c>
      <c r="C22">
        <v>253</v>
      </c>
      <c r="D22">
        <v>250.7</v>
      </c>
      <c r="E22">
        <v>260.009275</v>
      </c>
      <c r="F22">
        <v>257.67295786920857</v>
      </c>
      <c r="G22">
        <v>252.74336617990059</v>
      </c>
      <c r="H22">
        <v>257.84348525033789</v>
      </c>
      <c r="I22">
        <v>257.67285599064468</v>
      </c>
      <c r="J22">
        <v>256.41180828428298</v>
      </c>
      <c r="K22">
        <v>257.7681083618952</v>
      </c>
      <c r="L22">
        <v>257.70291378246378</v>
      </c>
      <c r="M22">
        <v>256.69329903228288</v>
      </c>
      <c r="N22">
        <v>266.75591902113229</v>
      </c>
      <c r="O22" s="2">
        <v>-9.0909090909091494E-3</v>
      </c>
      <c r="P22" s="2">
        <v>2.7704644268774729E-2</v>
      </c>
      <c r="Q22" s="2">
        <v>1.8470189206357901E-2</v>
      </c>
      <c r="R22" s="2">
        <v>-1.014362925293999E-3</v>
      </c>
      <c r="S22" s="2">
        <v>1.9144210475643849E-2</v>
      </c>
      <c r="T22" s="2">
        <v>1.8469786524287549E-2</v>
      </c>
      <c r="U22" s="2">
        <v>1.348540823827271E-2</v>
      </c>
      <c r="V22" s="2">
        <v>1.884627811025763E-2</v>
      </c>
      <c r="W22" s="2">
        <v>1.858859202554863E-2</v>
      </c>
      <c r="X22" s="2">
        <v>1.459801989044607E-2</v>
      </c>
      <c r="Y22" s="2">
        <v>5.4371221427400362E-2</v>
      </c>
    </row>
    <row r="23" spans="2:25" x14ac:dyDescent="0.2">
      <c r="B23" t="s">
        <v>48</v>
      </c>
      <c r="C23">
        <v>249</v>
      </c>
      <c r="D23">
        <v>243.4</v>
      </c>
      <c r="E23">
        <v>247.11012500000001</v>
      </c>
      <c r="F23">
        <v>248.703657402869</v>
      </c>
      <c r="G23">
        <v>246.46711528849531</v>
      </c>
      <c r="H23">
        <v>247.80331306396701</v>
      </c>
      <c r="I23">
        <v>248.7036472124598</v>
      </c>
      <c r="J23">
        <v>248.54908730199239</v>
      </c>
      <c r="K23">
        <v>247.81343509367051</v>
      </c>
      <c r="L23">
        <v>247.8103881793657</v>
      </c>
      <c r="M23">
        <v>249.3318678256326</v>
      </c>
      <c r="N23">
        <v>249.04632612941899</v>
      </c>
      <c r="O23" s="2">
        <v>-2.2489959839357421E-2</v>
      </c>
      <c r="P23" s="2">
        <v>-7.5898594377509232E-3</v>
      </c>
      <c r="Q23" s="2">
        <v>-1.190130912172682E-3</v>
      </c>
      <c r="R23" s="2">
        <v>-1.017222775704707E-2</v>
      </c>
      <c r="S23" s="2">
        <v>-4.8059716306544384E-3</v>
      </c>
      <c r="T23" s="2">
        <v>-1.190171837510912E-3</v>
      </c>
      <c r="U23" s="2">
        <v>-1.810894369508653E-3</v>
      </c>
      <c r="V23" s="2">
        <v>-4.7653209089537629E-3</v>
      </c>
      <c r="W23" s="2">
        <v>-4.7775575125876824E-3</v>
      </c>
      <c r="X23" s="2">
        <v>1.3328025125805001E-3</v>
      </c>
      <c r="Y23" s="2">
        <v>1.8604871252603239E-4</v>
      </c>
    </row>
    <row r="24" spans="2:25" x14ac:dyDescent="0.2">
      <c r="B24" t="s">
        <v>49</v>
      </c>
      <c r="C24">
        <v>267</v>
      </c>
      <c r="D24">
        <v>266</v>
      </c>
      <c r="E24">
        <v>273.30024400000002</v>
      </c>
      <c r="F24">
        <v>264.27056099422231</v>
      </c>
      <c r="G24">
        <v>266.20662333868842</v>
      </c>
      <c r="H24">
        <v>269.16032456085958</v>
      </c>
      <c r="I24">
        <v>264.27043672316699</v>
      </c>
      <c r="J24">
        <v>262.32861897459389</v>
      </c>
      <c r="K24">
        <v>268.98304312006951</v>
      </c>
      <c r="L24">
        <v>268.98899675264948</v>
      </c>
      <c r="M24">
        <v>257.84687003510749</v>
      </c>
      <c r="N24">
        <v>265.39537608779762</v>
      </c>
      <c r="O24" s="2">
        <v>-3.7453183520599338E-3</v>
      </c>
      <c r="P24" s="2">
        <v>2.3596419475655491E-2</v>
      </c>
      <c r="Q24" s="2">
        <v>-1.022261799916757E-2</v>
      </c>
      <c r="R24" s="2">
        <v>-2.9714481697065138E-3</v>
      </c>
      <c r="S24" s="2">
        <v>8.0911032241934855E-3</v>
      </c>
      <c r="T24" s="2">
        <v>-1.0223083433831491E-2</v>
      </c>
      <c r="U24" s="2">
        <v>-1.7495809083918009E-2</v>
      </c>
      <c r="V24" s="2">
        <v>7.4271277905224586E-3</v>
      </c>
      <c r="W24" s="2">
        <v>7.4494260398858536E-3</v>
      </c>
      <c r="X24" s="2">
        <v>-3.4281385636301343E-2</v>
      </c>
      <c r="Y24" s="2">
        <v>-6.009827386526001E-3</v>
      </c>
    </row>
    <row r="25" spans="2:25" x14ac:dyDescent="0.2">
      <c r="B25" t="s">
        <v>50</v>
      </c>
      <c r="C25">
        <v>233</v>
      </c>
      <c r="D25">
        <v>237.7</v>
      </c>
      <c r="E25">
        <v>244.79898</v>
      </c>
      <c r="F25">
        <v>247.51674346994929</v>
      </c>
      <c r="G25">
        <v>241.74505834589479</v>
      </c>
      <c r="H25">
        <v>244.46321387981101</v>
      </c>
      <c r="I25">
        <v>247.51675192803361</v>
      </c>
      <c r="J25">
        <v>247.51689185713551</v>
      </c>
      <c r="K25">
        <v>244.5061500987515</v>
      </c>
      <c r="L25">
        <v>245.41460923876241</v>
      </c>
      <c r="M25">
        <v>247.53793791257419</v>
      </c>
      <c r="N25">
        <v>248.09743807568611</v>
      </c>
      <c r="O25" s="2">
        <v>2.017167381974239E-2</v>
      </c>
      <c r="P25" s="2">
        <v>5.0639399141630959E-2</v>
      </c>
      <c r="Q25" s="2">
        <v>6.2303620042700958E-2</v>
      </c>
      <c r="R25" s="2">
        <v>3.7532439252767391E-2</v>
      </c>
      <c r="S25" s="2">
        <v>4.9198342831806567E-2</v>
      </c>
      <c r="T25" s="2">
        <v>6.2303656343491998E-2</v>
      </c>
      <c r="U25" s="2">
        <v>6.2304256897577133E-2</v>
      </c>
      <c r="V25" s="2">
        <v>4.9382618449577143E-2</v>
      </c>
      <c r="W25" s="2">
        <v>5.3281584715718422E-2</v>
      </c>
      <c r="X25" s="2">
        <v>6.2394583315768859E-2</v>
      </c>
      <c r="Y25" s="2">
        <v>6.4795871569468311E-2</v>
      </c>
    </row>
    <row r="26" spans="2:25" x14ac:dyDescent="0.2">
      <c r="B26" t="s">
        <v>51</v>
      </c>
      <c r="C26">
        <v>170.7</v>
      </c>
      <c r="D26">
        <v>99.7</v>
      </c>
      <c r="E26">
        <v>160.72537399999999</v>
      </c>
      <c r="F26">
        <v>192.0428286194701</v>
      </c>
      <c r="G26">
        <v>110.23075110376629</v>
      </c>
      <c r="H26">
        <v>132.7455940982716</v>
      </c>
      <c r="I26">
        <v>192.3094818150112</v>
      </c>
      <c r="J26">
        <v>197.02845490140891</v>
      </c>
      <c r="K26">
        <v>133.789231645943</v>
      </c>
      <c r="L26">
        <v>150.11346948296321</v>
      </c>
      <c r="M26">
        <v>207.49795372624681</v>
      </c>
      <c r="N26">
        <v>109.4008991344153</v>
      </c>
      <c r="O26" s="2">
        <v>-0.4159343878148799</v>
      </c>
      <c r="P26" s="2">
        <v>-5.8433661394258977E-2</v>
      </c>
      <c r="Q26" s="2">
        <v>0.12503121628277761</v>
      </c>
      <c r="R26" s="2">
        <v>-0.35424281720113482</v>
      </c>
      <c r="S26" s="2">
        <v>-0.22234567019173071</v>
      </c>
      <c r="T26" s="2">
        <v>0.12659333224962621</v>
      </c>
      <c r="U26" s="2">
        <v>0.15423816579618579</v>
      </c>
      <c r="V26" s="2">
        <v>-0.21623180055100749</v>
      </c>
      <c r="W26" s="2">
        <v>-0.1206006474343102</v>
      </c>
      <c r="X26" s="2">
        <v>0.2155709064220668</v>
      </c>
      <c r="Y26" s="2">
        <v>-0.35910428157928909</v>
      </c>
    </row>
    <row r="27" spans="2:25" x14ac:dyDescent="0.2">
      <c r="B27" t="s">
        <v>52</v>
      </c>
      <c r="C27">
        <v>268.60000000000002</v>
      </c>
      <c r="D27">
        <v>229.4</v>
      </c>
      <c r="E27">
        <v>256.268486</v>
      </c>
      <c r="F27">
        <v>254.96420806619929</v>
      </c>
      <c r="G27">
        <v>239.25925325663141</v>
      </c>
      <c r="H27">
        <v>247.37514297131409</v>
      </c>
      <c r="I27">
        <v>254.96419365217221</v>
      </c>
      <c r="J27">
        <v>254.9639835216546</v>
      </c>
      <c r="K27">
        <v>247.33272965557319</v>
      </c>
      <c r="L27">
        <v>246.5849998195923</v>
      </c>
      <c r="M27">
        <v>253.97939508239699</v>
      </c>
      <c r="N27">
        <v>253.18678314995009</v>
      </c>
      <c r="O27" s="2">
        <v>-0.14594192107222639</v>
      </c>
      <c r="P27" s="2">
        <v>-4.5910327624720908E-2</v>
      </c>
      <c r="Q27" s="2">
        <v>-5.0766165055103341E-2</v>
      </c>
      <c r="R27" s="2">
        <v>-0.1092358404444104</v>
      </c>
      <c r="S27" s="2">
        <v>-7.9020316562494086E-2</v>
      </c>
      <c r="T27" s="2">
        <v>-5.0766218718644278E-2</v>
      </c>
      <c r="U27" s="2">
        <v>-5.07670010362824E-2</v>
      </c>
      <c r="V27" s="2">
        <v>-7.9178221684388705E-2</v>
      </c>
      <c r="W27" s="2">
        <v>-8.1962025988114973E-2</v>
      </c>
      <c r="X27" s="2">
        <v>-5.4432631860026233E-2</v>
      </c>
      <c r="Y27" s="2">
        <v>-5.7383532576507523E-2</v>
      </c>
    </row>
    <row r="28" spans="2:25" x14ac:dyDescent="0.2">
      <c r="B28" t="s">
        <v>53</v>
      </c>
      <c r="C28">
        <v>269.7</v>
      </c>
      <c r="D28">
        <v>269.7</v>
      </c>
      <c r="E28">
        <v>241.50841199999999</v>
      </c>
      <c r="F28">
        <v>243.61757535163869</v>
      </c>
      <c r="G28">
        <v>263.30029681639098</v>
      </c>
      <c r="H28">
        <v>247.95864027458529</v>
      </c>
      <c r="I28">
        <v>243.6175756342117</v>
      </c>
      <c r="J28">
        <v>243.61757997464881</v>
      </c>
      <c r="K28">
        <v>248.05067137693541</v>
      </c>
      <c r="L28">
        <v>248.54430027353399</v>
      </c>
      <c r="M28">
        <v>245.066645672275</v>
      </c>
      <c r="N28">
        <v>244.85404136998281</v>
      </c>
      <c r="O28" s="2">
        <v>0</v>
      </c>
      <c r="P28" s="2">
        <v>-0.1045294327030033</v>
      </c>
      <c r="Q28" s="2">
        <v>-9.6709027246426604E-2</v>
      </c>
      <c r="R28" s="2">
        <v>-2.3728969905854491E-2</v>
      </c>
      <c r="S28" s="2">
        <v>-8.0613124677103132E-2</v>
      </c>
      <c r="T28" s="2">
        <v>-9.6709026198695924E-2</v>
      </c>
      <c r="U28" s="2">
        <v>-9.6709010105121118E-2</v>
      </c>
      <c r="V28" s="2">
        <v>-8.0271889592378964E-2</v>
      </c>
      <c r="W28" s="2">
        <v>-7.8441600765539632E-2</v>
      </c>
      <c r="X28" s="2">
        <v>-9.1336130247404501E-2</v>
      </c>
      <c r="Y28" s="2">
        <v>-9.2124429477260517E-2</v>
      </c>
    </row>
    <row r="29" spans="2:25" x14ac:dyDescent="0.2">
      <c r="B29" t="s">
        <v>54</v>
      </c>
      <c r="C29">
        <v>235.2</v>
      </c>
      <c r="D29">
        <v>228.1</v>
      </c>
      <c r="E29">
        <v>219.662881</v>
      </c>
      <c r="F29">
        <v>226.6826629293453</v>
      </c>
      <c r="G29">
        <v>241.02397372122221</v>
      </c>
      <c r="H29">
        <v>232.9950033476149</v>
      </c>
      <c r="I29">
        <v>226.68268339955699</v>
      </c>
      <c r="J29">
        <v>226.68302227980851</v>
      </c>
      <c r="K29">
        <v>233.02338818046431</v>
      </c>
      <c r="L29">
        <v>233.630831975993</v>
      </c>
      <c r="M29">
        <v>231.3837801627954</v>
      </c>
      <c r="N29">
        <v>232.99871390644481</v>
      </c>
      <c r="O29" s="2">
        <v>-3.0187074829931989E-2</v>
      </c>
      <c r="P29" s="2">
        <v>-6.6059179421768643E-2</v>
      </c>
      <c r="Q29" s="2">
        <v>-3.6213167817409353E-2</v>
      </c>
      <c r="R29" s="2">
        <v>2.4761793032407331E-2</v>
      </c>
      <c r="S29" s="2">
        <v>-9.374985766943511E-3</v>
      </c>
      <c r="T29" s="2">
        <v>-3.6213080784196272E-2</v>
      </c>
      <c r="U29" s="2">
        <v>-3.6211639966800553E-2</v>
      </c>
      <c r="V29" s="2">
        <v>-9.2543019538081639E-3</v>
      </c>
      <c r="W29" s="2">
        <v>-6.6716327551316068E-3</v>
      </c>
      <c r="X29" s="2">
        <v>-1.6225424477910529E-2</v>
      </c>
      <c r="Y29" s="2">
        <v>-9.3592095814419851E-3</v>
      </c>
    </row>
    <row r="30" spans="2:25" x14ac:dyDescent="0.2">
      <c r="B30" t="s">
        <v>55</v>
      </c>
      <c r="C30">
        <v>258.10000000000002</v>
      </c>
      <c r="D30">
        <v>254.6</v>
      </c>
      <c r="E30">
        <v>246.41559599999999</v>
      </c>
      <c r="F30">
        <v>249.9742745852123</v>
      </c>
      <c r="G30">
        <v>255.3676325019787</v>
      </c>
      <c r="H30">
        <v>253.14328451340489</v>
      </c>
      <c r="I30">
        <v>249.9742694073843</v>
      </c>
      <c r="J30">
        <v>249.974175490037</v>
      </c>
      <c r="K30">
        <v>253.14706225986259</v>
      </c>
      <c r="L30">
        <v>253.1589723378959</v>
      </c>
      <c r="M30">
        <v>251.03258983434091</v>
      </c>
      <c r="N30">
        <v>250.44973901498099</v>
      </c>
      <c r="O30" s="2">
        <v>-1.356063541263086E-2</v>
      </c>
      <c r="P30" s="2">
        <v>-4.5270840759395692E-2</v>
      </c>
      <c r="Q30" s="2">
        <v>-3.1482857089452532E-2</v>
      </c>
      <c r="R30" s="2">
        <v>-1.058646841542543E-2</v>
      </c>
      <c r="S30" s="2">
        <v>-1.920463187367338E-2</v>
      </c>
      <c r="T30" s="2">
        <v>-3.1482877150777799E-2</v>
      </c>
      <c r="U30" s="2">
        <v>-3.1483241030464959E-2</v>
      </c>
      <c r="V30" s="2">
        <v>-1.9189995118703559E-2</v>
      </c>
      <c r="W30" s="2">
        <v>-1.9143849911290811E-2</v>
      </c>
      <c r="X30" s="2">
        <v>-2.7382449305149659E-2</v>
      </c>
      <c r="Y30" s="2">
        <v>-2.9640685722661871E-2</v>
      </c>
    </row>
    <row r="31" spans="2:25" x14ac:dyDescent="0.2">
      <c r="B31" t="s">
        <v>71</v>
      </c>
      <c r="C31">
        <v>258.2</v>
      </c>
      <c r="D31">
        <v>258.2</v>
      </c>
      <c r="E31">
        <v>226.63165100000001</v>
      </c>
      <c r="F31">
        <v>233.8344050086732</v>
      </c>
      <c r="G31">
        <v>257.57450876857501</v>
      </c>
      <c r="H31">
        <v>246.0201329683114</v>
      </c>
      <c r="I31">
        <v>233.83441722352239</v>
      </c>
      <c r="J31">
        <v>233.83465189489289</v>
      </c>
      <c r="K31">
        <v>246.0485128099802</v>
      </c>
      <c r="L31">
        <v>246.7176597751193</v>
      </c>
      <c r="M31">
        <v>238.1549484624764</v>
      </c>
      <c r="N31">
        <v>238.82167475466011</v>
      </c>
      <c r="O31" s="2">
        <v>0</v>
      </c>
      <c r="P31" s="2">
        <v>-0.1222631642137877</v>
      </c>
      <c r="Q31" s="2">
        <v>-9.4367137844023063E-2</v>
      </c>
      <c r="R31" s="2">
        <v>-2.4225067057512821E-3</v>
      </c>
      <c r="S31" s="2">
        <v>-4.7172219332643713E-2</v>
      </c>
      <c r="T31" s="2">
        <v>-9.4367090536318976E-2</v>
      </c>
      <c r="U31" s="2">
        <v>-9.436618166191757E-2</v>
      </c>
      <c r="V31" s="2">
        <v>-4.7062305151122419E-2</v>
      </c>
      <c r="W31" s="2">
        <v>-4.4470721242760192E-2</v>
      </c>
      <c r="X31" s="2">
        <v>-7.7633816954003065E-2</v>
      </c>
      <c r="Y31" s="2">
        <v>-7.5051608231370692E-2</v>
      </c>
    </row>
    <row r="32" spans="2:25" x14ac:dyDescent="0.2">
      <c r="B32" s="101" t="s">
        <v>148</v>
      </c>
      <c r="C32" s="101"/>
      <c r="E32">
        <f>E$31/(1+P32)</f>
        <v>231.36828077550661</v>
      </c>
      <c r="L32" s="101">
        <f t="shared" ref="L32:L37" si="1">L$31/(1+W32)</f>
        <v>252.39745662086798</v>
      </c>
      <c r="M32" s="100" t="s">
        <v>141</v>
      </c>
      <c r="N32" s="100"/>
      <c r="P32" s="3">
        <f>AVERAGE(P14:P30)</f>
        <v>-2.0472252115243356E-2</v>
      </c>
      <c r="W32" s="109">
        <f>AVERAGE(W21:W30)</f>
        <v>-2.2503383836709724E-2</v>
      </c>
    </row>
    <row r="33" spans="1:23" x14ac:dyDescent="0.2">
      <c r="B33" s="90" t="s">
        <v>149</v>
      </c>
      <c r="C33" s="90"/>
      <c r="E33">
        <f>E$31/(1+P33)</f>
        <v>232.12859256351649</v>
      </c>
      <c r="I33" s="3"/>
      <c r="K33">
        <f>AVERAGE(L32:L33)</f>
        <v>250.26780342163769</v>
      </c>
      <c r="L33" s="101">
        <f t="shared" si="1"/>
        <v>248.1381502224074</v>
      </c>
      <c r="M33" s="90" t="s">
        <v>143</v>
      </c>
      <c r="N33" s="90"/>
      <c r="P33" s="1">
        <f>MEDIAN(P14:P30)</f>
        <v>-2.3680587999999947E-2</v>
      </c>
      <c r="R33" s="3"/>
      <c r="W33" s="110">
        <f>MEDIAN(W21:W30)</f>
        <v>-5.7245951338596446E-3</v>
      </c>
    </row>
    <row r="34" spans="1:23" x14ac:dyDescent="0.2">
      <c r="B34" s="91" t="s">
        <v>150</v>
      </c>
      <c r="C34" s="91"/>
      <c r="E34">
        <f>E$31/(1+P34)</f>
        <v>236.49897588649176</v>
      </c>
      <c r="L34" s="101">
        <f t="shared" si="1"/>
        <v>260.23227265352824</v>
      </c>
      <c r="M34" s="91" t="s">
        <v>142</v>
      </c>
      <c r="N34" s="91"/>
      <c r="P34" s="1">
        <f>AVERAGE(P26:P30,P23,P20:P21,P15:P18)</f>
        <v>-4.172248463024044E-2</v>
      </c>
      <c r="W34" s="111">
        <f>AVERAGE(W26:W30,W23)</f>
        <v>-5.1932885727829149E-2</v>
      </c>
    </row>
    <row r="35" spans="1:23" x14ac:dyDescent="0.2">
      <c r="B35" s="92" t="s">
        <v>151</v>
      </c>
      <c r="C35" s="92"/>
      <c r="E35">
        <f>E$31/(1+P35)</f>
        <v>236.10954934721951</v>
      </c>
      <c r="L35" s="101">
        <f t="shared" si="1"/>
        <v>259.3731843176821</v>
      </c>
      <c r="M35" s="92" t="s">
        <v>144</v>
      </c>
      <c r="N35" s="92"/>
      <c r="P35" s="1">
        <f>MEDIAN(P26:P30,P23,P20:P21,P15:P18)</f>
        <v>-4.0141952637762379E-2</v>
      </c>
      <c r="W35" s="112">
        <f>MEDIAN(W26:W30,W23)</f>
        <v>-4.8792725338415222E-2</v>
      </c>
    </row>
    <row r="36" spans="1:23" x14ac:dyDescent="0.2">
      <c r="B36" s="93" t="s">
        <v>152</v>
      </c>
      <c r="C36" s="93"/>
      <c r="E36">
        <f t="shared" ref="E36" si="2">E$31/(1+P36)</f>
        <v>219.91792918051934</v>
      </c>
      <c r="I36" s="97"/>
      <c r="L36" s="101">
        <f t="shared" si="1"/>
        <v>241.49157229449744</v>
      </c>
      <c r="M36" s="93" t="s">
        <v>145</v>
      </c>
      <c r="N36" s="93"/>
      <c r="P36" s="1">
        <f>AVERAGE(P24:P25,P22,P19,P14)</f>
        <v>3.0528305920749642E-2</v>
      </c>
      <c r="W36" s="113">
        <f>AVERAGE(W24:W25,W21:W22)</f>
        <v>2.164086899996942E-2</v>
      </c>
    </row>
    <row r="37" spans="1:23" x14ac:dyDescent="0.2">
      <c r="B37" s="94" t="s">
        <v>153</v>
      </c>
      <c r="C37" s="94"/>
      <c r="E37">
        <f>E$31/(1+P37)</f>
        <v>220.52216292284189</v>
      </c>
      <c r="L37" s="101">
        <f t="shared" si="1"/>
        <v>243.54692022087332</v>
      </c>
      <c r="M37" s="94" t="s">
        <v>146</v>
      </c>
      <c r="N37" s="94"/>
      <c r="P37" s="1">
        <f>MEDIAN(P24:P25,P22,P19,P14)</f>
        <v>2.7704644268774729E-2</v>
      </c>
      <c r="W37" s="114">
        <f>MEDIAN(W24:W25,W21:W22)</f>
        <v>1.3019009032717242E-2</v>
      </c>
    </row>
    <row r="39" spans="1:23" x14ac:dyDescent="0.2">
      <c r="A39" s="67" t="s">
        <v>103</v>
      </c>
      <c r="B39" t="s">
        <v>154</v>
      </c>
    </row>
    <row r="40" spans="1:23" x14ac:dyDescent="0.2">
      <c r="B40" t="s">
        <v>155</v>
      </c>
    </row>
    <row r="46" spans="1:23" x14ac:dyDescent="0.2">
      <c r="A46" s="67" t="s">
        <v>105</v>
      </c>
      <c r="B46" s="77" t="s">
        <v>156</v>
      </c>
      <c r="C46" s="78">
        <f>E34</f>
        <v>236.49897588649176</v>
      </c>
      <c r="D46" t="s">
        <v>170</v>
      </c>
    </row>
    <row r="48" spans="1:23" x14ac:dyDescent="0.2">
      <c r="B48" s="182" t="s">
        <v>164</v>
      </c>
      <c r="C48" s="182"/>
      <c r="D48" s="2">
        <f>C46/D31-1</f>
        <v>-8.4047343584462531E-2</v>
      </c>
    </row>
    <row r="49" spans="2:4" x14ac:dyDescent="0.2">
      <c r="B49" s="170" t="s">
        <v>163</v>
      </c>
      <c r="C49" s="170"/>
      <c r="D49" s="2">
        <f>'1. Data &amp; Confidence Interval'!K25</f>
        <v>-6.0975609756097615E-3</v>
      </c>
    </row>
  </sheetData>
  <mergeCells count="2">
    <mergeCell ref="B49:C49"/>
    <mergeCell ref="B48:C48"/>
  </mergeCells>
  <conditionalFormatting sqref="P22:W30 Q21:W2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K6">
    <cfRule type="colorScale" priority="2">
      <colorScale>
        <cfvo type="min"/>
        <cfvo type="max"/>
        <color rgb="FF92D050"/>
        <color rgb="FFFF0000"/>
      </colorScale>
    </cfRule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3">
      <colorScale>
        <cfvo type="min"/>
        <cfvo type="max"/>
        <color rgb="FF92D050"/>
        <color rgb="FFC0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33:P37 S31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2:P3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2021-10-29T17:51:32Z</dcterms:modified>
</cp:coreProperties>
</file>