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ZBH\"/>
    </mc:Choice>
  </mc:AlternateContent>
  <xr:revisionPtr revIDLastSave="0" documentId="13_ncr:1_{0049E7E9-9662-411B-A92E-867BD72C385B}" xr6:coauthVersionLast="46" xr6:coauthVersionMax="46" xr10:uidLastSave="{00000000-0000-0000-0000-000000000000}"/>
  <bookViews>
    <workbookView xWindow="-28920" yWindow="-120" windowWidth="29040" windowHeight="15840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6" i="4" l="1"/>
  <c r="F37" i="4"/>
  <c r="F36" i="4"/>
  <c r="P15" i="4"/>
  <c r="P16" i="4"/>
  <c r="P17" i="4"/>
  <c r="P18" i="4"/>
  <c r="P19" i="4"/>
  <c r="P20" i="4"/>
  <c r="P14" i="4"/>
  <c r="P35" i="4" l="1"/>
  <c r="E35" i="4" s="1"/>
  <c r="P34" i="4"/>
  <c r="E34" i="4" s="1"/>
  <c r="P33" i="4"/>
  <c r="E33" i="4" s="1"/>
  <c r="P32" i="4"/>
  <c r="E32" i="4" s="1"/>
  <c r="P37" i="4"/>
  <c r="E37" i="4" s="1"/>
  <c r="P36" i="4"/>
  <c r="E36" i="4" s="1"/>
  <c r="R23" i="2"/>
  <c r="O23" i="2"/>
  <c r="N23" i="2"/>
  <c r="M23" i="2"/>
  <c r="L23" i="2"/>
  <c r="K23" i="2"/>
  <c r="J23" i="2"/>
  <c r="P23" i="2" s="1"/>
  <c r="Q23" i="2" s="1"/>
  <c r="AK26" i="1"/>
  <c r="AK25" i="1"/>
  <c r="AK24" i="1"/>
  <c r="AK23" i="1"/>
  <c r="AK22" i="1"/>
  <c r="AK21" i="1"/>
  <c r="AK20" i="1"/>
  <c r="K25" i="1"/>
  <c r="H25" i="1"/>
  <c r="K24" i="1"/>
  <c r="H24" i="1"/>
  <c r="AJ13" i="1"/>
  <c r="AI13" i="1"/>
  <c r="AH13" i="1"/>
  <c r="J13" i="1"/>
  <c r="D48" i="4" l="1"/>
  <c r="C2" i="4"/>
  <c r="AH20" i="1" l="1"/>
  <c r="AI20" i="1"/>
  <c r="AH22" i="1"/>
  <c r="AI22" i="1"/>
  <c r="J22" i="1"/>
  <c r="L22" i="1"/>
  <c r="J20" i="1"/>
  <c r="L20" i="1"/>
  <c r="N22" i="1"/>
  <c r="R28" i="2" l="1"/>
  <c r="K29" i="2"/>
  <c r="L29" i="2"/>
  <c r="M29" i="2"/>
  <c r="N29" i="2"/>
  <c r="O29" i="2"/>
  <c r="P29" i="2"/>
  <c r="Q29" i="2"/>
  <c r="R29" i="2"/>
  <c r="K30" i="2"/>
  <c r="L30" i="2"/>
  <c r="M30" i="2"/>
  <c r="N30" i="2"/>
  <c r="O30" i="2"/>
  <c r="P30" i="2"/>
  <c r="Q30" i="2"/>
  <c r="R30" i="2"/>
  <c r="A28" i="2"/>
  <c r="B28" i="2"/>
  <c r="C28" i="2"/>
  <c r="D28" i="2"/>
  <c r="E28" i="2"/>
  <c r="F28" i="2"/>
  <c r="G28" i="2"/>
  <c r="H28" i="2"/>
  <c r="I28" i="2"/>
  <c r="J28" i="2"/>
  <c r="A29" i="2"/>
  <c r="B29" i="2"/>
  <c r="C29" i="2"/>
  <c r="D29" i="2"/>
  <c r="E29" i="2"/>
  <c r="F29" i="2"/>
  <c r="G29" i="2"/>
  <c r="H29" i="2"/>
  <c r="I29" i="2"/>
  <c r="J29" i="2"/>
  <c r="F17" i="1"/>
  <c r="F18" i="1"/>
  <c r="J39" i="2" l="1"/>
  <c r="J42" i="2"/>
  <c r="H18" i="1"/>
  <c r="G18" i="1"/>
  <c r="M22" i="1"/>
  <c r="O22" i="1"/>
  <c r="P22" i="1"/>
  <c r="M20" i="1"/>
  <c r="N20" i="1"/>
  <c r="O20" i="1"/>
  <c r="P20" i="1"/>
  <c r="J41" i="2"/>
  <c r="J40" i="2"/>
  <c r="G40" i="2"/>
  <c r="R24" i="2"/>
  <c r="Q22" i="1"/>
  <c r="R22" i="1"/>
  <c r="Q20" i="1"/>
  <c r="R20" i="1"/>
  <c r="H39" i="2"/>
  <c r="H40" i="2"/>
  <c r="G44" i="2"/>
  <c r="G43" i="2"/>
  <c r="G42" i="2"/>
  <c r="G41" i="2"/>
  <c r="G39" i="2"/>
  <c r="G37" i="2"/>
  <c r="G36" i="2"/>
  <c r="E41" i="2"/>
  <c r="E40" i="2"/>
  <c r="E39" i="2"/>
  <c r="E38" i="2"/>
  <c r="E37" i="2"/>
  <c r="E36" i="2"/>
  <c r="E35" i="2"/>
  <c r="E34" i="2"/>
  <c r="E33" i="2"/>
  <c r="E32" i="2"/>
  <c r="E31" i="2"/>
  <c r="AJ18" i="1"/>
  <c r="AK18" i="1"/>
  <c r="J17" i="1"/>
  <c r="I17" i="1"/>
  <c r="H17" i="1"/>
  <c r="G17" i="1"/>
  <c r="R17" i="1"/>
  <c r="Q17" i="1"/>
  <c r="P17" i="1"/>
  <c r="O17" i="1"/>
  <c r="M18" i="1"/>
  <c r="L18" i="1"/>
  <c r="J18" i="1"/>
  <c r="I18" i="1"/>
  <c r="S20" i="1"/>
  <c r="S22" i="1"/>
  <c r="N23" i="1" l="1"/>
  <c r="N21" i="1"/>
  <c r="O21" i="1"/>
  <c r="O23" i="1"/>
  <c r="R21" i="1"/>
  <c r="P21" i="1"/>
  <c r="S21" i="1"/>
  <c r="S23" i="1"/>
  <c r="Q23" i="1"/>
  <c r="P23" i="1"/>
  <c r="Q21" i="1"/>
  <c r="R23" i="1"/>
  <c r="J24" i="2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Q31" i="2"/>
  <c r="P31" i="2"/>
  <c r="O31" i="2"/>
  <c r="N31" i="2"/>
  <c r="M31" i="2"/>
  <c r="L31" i="2"/>
  <c r="K31" i="2"/>
  <c r="R31" i="2"/>
  <c r="A30" i="2"/>
  <c r="B30" i="2"/>
  <c r="C30" i="2"/>
  <c r="D30" i="2"/>
  <c r="E30" i="2"/>
  <c r="F30" i="2"/>
  <c r="G30" i="2"/>
  <c r="H30" i="2"/>
  <c r="I30" i="2"/>
  <c r="J30" i="2"/>
  <c r="Q24" i="2"/>
  <c r="P24" i="2"/>
  <c r="O24" i="2"/>
  <c r="N24" i="2"/>
  <c r="M24" i="2"/>
  <c r="L24" i="2"/>
  <c r="K24" i="2"/>
  <c r="I24" i="2"/>
  <c r="H24" i="2"/>
  <c r="G24" i="2"/>
  <c r="F24" i="2"/>
  <c r="E24" i="2"/>
  <c r="AJ17" i="1"/>
  <c r="AI17" i="1"/>
  <c r="AH17" i="1"/>
  <c r="AG17" i="1"/>
  <c r="AF17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AI18" i="1"/>
  <c r="AH18" i="1"/>
  <c r="S18" i="1"/>
  <c r="R18" i="1"/>
  <c r="Q18" i="1"/>
  <c r="P18" i="1"/>
  <c r="O18" i="1"/>
  <c r="N18" i="1"/>
  <c r="K18" i="1"/>
  <c r="L17" i="1"/>
  <c r="K17" i="1"/>
  <c r="J31" i="2"/>
  <c r="I31" i="2"/>
  <c r="H31" i="2"/>
  <c r="G31" i="2"/>
  <c r="F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A44" i="2"/>
  <c r="B44" i="2"/>
  <c r="C44" i="2"/>
  <c r="D44" i="2"/>
  <c r="B31" i="2"/>
  <c r="C31" i="2"/>
  <c r="D31" i="2"/>
  <c r="A31" i="2"/>
  <c r="I24" i="3"/>
  <c r="E24" i="3"/>
  <c r="AE17" i="1"/>
  <c r="AD17" i="1"/>
  <c r="AC17" i="1"/>
  <c r="AB17" i="1"/>
  <c r="C7" i="1" l="1"/>
  <c r="AJ10" i="1"/>
  <c r="J10" i="1"/>
  <c r="AD21" i="1"/>
  <c r="AB21" i="1"/>
  <c r="AH21" i="1"/>
  <c r="U21" i="1"/>
  <c r="AI21" i="1"/>
  <c r="AC21" i="1"/>
  <c r="AF21" i="1"/>
  <c r="AE21" i="1"/>
  <c r="AG21" i="1"/>
  <c r="W21" i="1"/>
  <c r="X21" i="1"/>
  <c r="Y21" i="1"/>
  <c r="T21" i="1"/>
  <c r="Z21" i="1"/>
  <c r="V21" i="1"/>
  <c r="AA21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AC18" i="1"/>
  <c r="AB18" i="1"/>
  <c r="AA18" i="1"/>
  <c r="Z18" i="1"/>
  <c r="Y18" i="1"/>
  <c r="X18" i="1"/>
  <c r="W18" i="1"/>
  <c r="V18" i="1"/>
  <c r="U18" i="1"/>
  <c r="T18" i="1"/>
  <c r="M17" i="1"/>
  <c r="N17" i="1"/>
  <c r="S17" i="1"/>
  <c r="T17" i="1"/>
  <c r="U17" i="1"/>
  <c r="V17" i="1"/>
  <c r="W17" i="1"/>
  <c r="X17" i="1"/>
  <c r="Y17" i="1"/>
  <c r="Z17" i="1"/>
  <c r="AA17" i="1"/>
  <c r="F20" i="3"/>
  <c r="D49" i="4" l="1"/>
  <c r="AH23" i="1"/>
  <c r="AI23" i="1"/>
  <c r="U23" i="1"/>
  <c r="T23" i="1"/>
  <c r="B7" i="1"/>
  <c r="R44" i="2"/>
  <c r="R43" i="2"/>
  <c r="R42" i="2"/>
  <c r="R41" i="2"/>
  <c r="R39" i="2"/>
  <c r="R38" i="2"/>
  <c r="R37" i="2"/>
  <c r="R36" i="2"/>
  <c r="R35" i="2"/>
  <c r="R34" i="2"/>
  <c r="R33" i="2"/>
  <c r="R32" i="2"/>
  <c r="N2" i="1" l="1"/>
  <c r="M2" i="1"/>
  <c r="N3" i="1"/>
  <c r="M3" i="1"/>
  <c r="H20" i="3"/>
  <c r="O2" i="1" l="1"/>
  <c r="P2" i="1" s="1"/>
  <c r="O3" i="1"/>
  <c r="P3" i="1" s="1"/>
  <c r="R40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K44" i="2"/>
  <c r="L44" i="2"/>
  <c r="M44" i="2"/>
  <c r="N44" i="2"/>
  <c r="O44" i="2"/>
  <c r="P44" i="2"/>
  <c r="Q44" i="2"/>
  <c r="E44" i="2"/>
  <c r="F32" i="2"/>
  <c r="G32" i="2"/>
  <c r="H32" i="2"/>
  <c r="I32" i="2"/>
  <c r="J32" i="2"/>
  <c r="F33" i="2"/>
  <c r="G33" i="2"/>
  <c r="H33" i="2"/>
  <c r="I33" i="2"/>
  <c r="J33" i="2"/>
  <c r="F34" i="2"/>
  <c r="G34" i="2"/>
  <c r="H34" i="2"/>
  <c r="I34" i="2"/>
  <c r="J34" i="2"/>
  <c r="F35" i="2"/>
  <c r="G35" i="2"/>
  <c r="H35" i="2"/>
  <c r="I35" i="2"/>
  <c r="J35" i="2"/>
  <c r="F36" i="2"/>
  <c r="H36" i="2"/>
  <c r="I36" i="2"/>
  <c r="J36" i="2"/>
  <c r="F37" i="2"/>
  <c r="H37" i="2"/>
  <c r="I37" i="2"/>
  <c r="J37" i="2"/>
  <c r="F38" i="2"/>
  <c r="G38" i="2"/>
  <c r="H38" i="2"/>
  <c r="I38" i="2"/>
  <c r="J38" i="2"/>
  <c r="F39" i="2"/>
  <c r="I39" i="2"/>
  <c r="F40" i="2"/>
  <c r="I40" i="2"/>
  <c r="F41" i="2"/>
  <c r="H41" i="2"/>
  <c r="I41" i="2"/>
  <c r="E42" i="2"/>
  <c r="F42" i="2"/>
  <c r="H42" i="2"/>
  <c r="I42" i="2"/>
  <c r="E43" i="2"/>
  <c r="F43" i="2"/>
  <c r="H43" i="2"/>
  <c r="I43" i="2"/>
  <c r="J43" i="2"/>
  <c r="F44" i="2"/>
  <c r="H44" i="2"/>
  <c r="I44" i="2"/>
  <c r="J44" i="2"/>
  <c r="H46" i="2" l="1" a="1"/>
  <c r="H46" i="2" s="1"/>
  <c r="H45" i="2" a="1"/>
  <c r="H45" i="2" s="1"/>
  <c r="Q46" i="2" a="1"/>
  <c r="Q46" i="2" s="1"/>
  <c r="Q45" i="2" a="1"/>
  <c r="Q45" i="2" s="1"/>
  <c r="P45" i="2" a="1"/>
  <c r="P45" i="2" s="1"/>
  <c r="P46" i="2" a="1"/>
  <c r="P46" i="2" s="1"/>
  <c r="F45" i="2" a="1"/>
  <c r="F45" i="2" s="1"/>
  <c r="F46" i="2" a="1"/>
  <c r="F46" i="2" s="1"/>
  <c r="N46" i="2" a="1"/>
  <c r="N46" i="2" s="1"/>
  <c r="N45" i="2" a="1"/>
  <c r="N45" i="2" s="1"/>
  <c r="M46" i="2" a="1"/>
  <c r="M46" i="2" s="1"/>
  <c r="M45" i="2" a="1"/>
  <c r="M45" i="2" s="1"/>
  <c r="O46" i="2" a="1"/>
  <c r="O46" i="2" s="1"/>
  <c r="O45" i="2" a="1"/>
  <c r="O45" i="2" s="1"/>
  <c r="L45" i="2" a="1"/>
  <c r="L45" i="2" s="1"/>
  <c r="L46" i="2" a="1"/>
  <c r="L46" i="2" s="1"/>
  <c r="E46" i="2" a="1"/>
  <c r="E46" i="2" s="1"/>
  <c r="E45" i="2" a="1"/>
  <c r="E45" i="2" s="1"/>
  <c r="J45" i="2" a="1"/>
  <c r="J45" i="2" s="1"/>
  <c r="J46" i="2" a="1"/>
  <c r="J46" i="2" s="1"/>
  <c r="K46" i="2" a="1"/>
  <c r="K46" i="2" s="1"/>
  <c r="K45" i="2" a="1"/>
  <c r="K45" i="2" s="1"/>
  <c r="G46" i="2" a="1"/>
  <c r="G46" i="2" s="1"/>
  <c r="G45" i="2" a="1"/>
  <c r="G45" i="2" s="1"/>
  <c r="I45" i="2" a="1"/>
  <c r="I45" i="2" s="1"/>
  <c r="I46" i="2" a="1"/>
  <c r="I46" i="2" s="1"/>
  <c r="R46" i="2" a="1"/>
  <c r="R46" i="2" s="1"/>
  <c r="R45" i="2" a="1"/>
  <c r="R45" i="2" s="1"/>
  <c r="Y23" i="1"/>
  <c r="X23" i="1"/>
  <c r="AD23" i="1"/>
  <c r="W23" i="1"/>
  <c r="V23" i="1"/>
  <c r="AE23" i="1"/>
  <c r="AA23" i="1"/>
  <c r="AC23" i="1"/>
  <c r="Z23" i="1"/>
  <c r="AB23" i="1"/>
  <c r="AG23" i="1"/>
  <c r="AF23" i="1"/>
  <c r="O4" i="1" l="1"/>
  <c r="P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<sst xmlns="http://schemas.openxmlformats.org/spreadsheetml/2006/main" count="313" uniqueCount="174">
  <si>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</si>
  <si>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</si>
  <si>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</si>
  <si>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</si>
  <si>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</si>
  <si>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</si>
  <si>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</si>
  <si>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</si>
  <si>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</si>
  <si>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</si>
  <si>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</si>
  <si>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</si>
  <si>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</si>
  <si>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</si>
  <si>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</si>
  <si>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</si>
  <si>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</si>
  <si>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</si>
  <si>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</si>
  <si>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</si>
  <si>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</si>
  <si>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</si>
  <si>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</si>
  <si>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</si>
  <si>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</si>
  <si>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</si>
  <si>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</si>
  <si>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</si>
  <si>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</si>
  <si>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</si>
  <si>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</si>
  <si>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</si>
  <si>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</si>
  <si>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</si>
  <si>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</si>
  <si>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</si>
  <si>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</si>
  <si>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</si>
  <si>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</si>
  <si>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</si>
  <si>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</si>
  <si>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</si>
  <si>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</si>
  <si>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</si>
  <si>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</si>
  <si>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</si>
  <si>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</si>
  <si>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</si>
  <si>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</si>
  <si>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</si>
  <si>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</si>
  <si>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</si>
  <si>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</si>
  <si>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</si>
  <si>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</si>
  <si>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</si>
  <si>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</si>
  <si>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</si>
  <si>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</si>
  <si>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</si>
  <si>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</si>
  <si>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</si>
  <si>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</si>
  <si>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</si>
  <si>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</si>
  <si>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</si>
  <si>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</si>
  <si>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</si>
  <si>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</si>
  <si>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</si>
  <si>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</si>
  <si>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</si>
  <si>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</si>
  <si>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</si>
  <si>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</si>
  <si>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</si>
  <si>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</si>
  <si>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</si>
  <si>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</si>
  <si>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</si>
  <si>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</si>
  <si>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</si>
  <si>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</si>
  <si>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</si>
  <si>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</si>
  <si>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</si>
  <si>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</si>
  <si>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</si>
  <si>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</si>
  <si>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</si>
  <si>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</si>
  <si>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</si>
  <si>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</si>
  <si>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</si>
  <si>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</si>
  <si>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</si>
  <si>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</si>
  <si>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</si>
  <si>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</si>
  <si>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</si>
  <si>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</si>
  <si>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</si>
  <si>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</si>
  <si>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</si>
  <si>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</si>
  <si>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</si>
  <si>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</si>
  <si>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</si>
  <si>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</si>
  <si>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</si>
  <si>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</si>
  <si>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</si>
  <si>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</si>
  <si>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</si>
  <si>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</si>
  <si>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</si>
  <si>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</si>
  <si>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</si>
  <si>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</si>
  <si>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</si>
  <si>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</si>
  <si>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</si>
  <si>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</si>
  <si>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</si>
  <si>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</si>
  <si>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</si>
  <si>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</si>
  <si>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</si>
  <si>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</si>
  <si>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</si>
  <si>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</si>
  <si>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</si>
  <si>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</si>
  <si>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</si>
  <si>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</si>
  <si>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</si>
  <si>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</si>
  <si>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</si>
  <si>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</si>
  <si>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</si>
  <si>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</si>
  <si>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</si>
  <si>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</si>
  <si>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</si>
  <si>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</si>
  <si>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</si>
  <si>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</si>
  <si>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</si>
  <si>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</si>
  <si>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</si>
  <si>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</si>
  <si>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</si>
  <si>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</si>
  <si>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</si>
  <si>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</si>
  <si>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</si>
  <si>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</si>
  <si>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</si>
  <si>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</si>
  <si>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</si>
  <si>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</si>
  <si>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</si>
  <si>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</si>
  <si>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</si>
  <si>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</si>
  <si>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</si>
  <si>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C:\dev\da.research\personal\rxia\Improved Alpha Models</t>
    </r>
  </si>
  <si>
    <t>2017Q4</t>
  </si>
  <si>
    <t>2017Q2</t>
  </si>
  <si>
    <t>2017Q3</t>
  </si>
  <si>
    <t>If this value is unsatisfactory, use confidence interval.</t>
  </si>
  <si>
    <t>ZBH_HIP</t>
  </si>
  <si>
    <t>Americas Revenue - Knee</t>
  </si>
  <si>
    <t>ZBH_KNEE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</si>
</sst>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0.0"/>
    <numFmt numFmtId="167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8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166" fontId="0" fillId="0" borderId="10" xfId="0" applyNumberFormat="1" applyBorder="1"/>
    <xf numFmtId="166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0" fontId="0" fillId="3" borderId="14" xfId="0" applyFill="1" applyBorder="1"/>
    <xf numFmtId="164" fontId="0" fillId="3" borderId="0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165" fontId="0" fillId="0" borderId="0" xfId="0" applyNumberFormat="1" applyBorder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6" fontId="0" fillId="0" borderId="0" xfId="0" applyNumberFormat="1"/>
    <xf numFmtId="167" fontId="4" fillId="0" borderId="3" xfId="0" applyNumberFormat="1" applyFont="1" applyBorder="1"/>
    <xf numFmtId="167" fontId="2" fillId="0" borderId="3" xfId="0" applyNumberFormat="1" applyFont="1" applyBorder="1"/>
    <xf numFmtId="0" fontId="0" fillId="10" borderId="0" xfId="0" applyFill="1" applyAlignment="1"/>
    <xf numFmtId="0" fontId="0" fillId="10" borderId="0" xfId="0" applyFill="1"/>
    <xf numFmtId="0" fontId="0" fillId="5" borderId="2" xfId="0" applyFill="1" applyBorder="1" applyAlignment="1">
      <alignment horizontal="center"/>
    </xf>
    <xf numFmtId="4" fontId="0" fillId="0" borderId="0" xfId="0" applyNumberFormat="1"/>
    <xf numFmtId="4" fontId="0" fillId="0" borderId="0" xfId="0" applyNumberFormat="1" applyBorder="1"/>
    <xf numFmtId="0" fontId="0" fillId="5" borderId="1" xfId="0" applyFill="1" applyBorder="1" applyAlignment="1">
      <alignment horizontal="center"/>
    </xf>
    <xf numFmtId="10" fontId="0" fillId="3" borderId="8" xfId="1" applyNumberFormat="1" applyFont="1" applyFill="1" applyBorder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8" borderId="1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L29"/>
  <sheetViews>
    <sheetView tabSelected="1" topLeftCell="D1" zoomScale="70" zoomScaleNormal="70" workbookViewId="0">
      <selection activeCell="AG9" sqref="AG9"/>
    </sheetView>
  </sheetViews>
  <sheetFormatPr defaultRowHeight="12.75" x14ac:dyDescent="0.2"/>
  <cols>
    <col min="1" max="1" width="17.85546875" bestFit="1" customWidth="1"/>
    <col min="2" max="3" width="17.85546875" customWidth="1"/>
    <col min="4" max="4" width="5.140625" customWidth="1"/>
    <col min="5" max="5" width="7" customWidth="1"/>
    <col min="6" max="35" width="10.7109375" customWidth="1"/>
    <col min="36" max="36" width="17.85546875" customWidth="1"/>
    <col min="37" max="38" width="10.7109375" customWidth="1"/>
  </cols>
  <sheetData>
    <row r="1" spans="1:37" x14ac:dyDescent="0.2">
      <c r="A1" s="148" t="s">
        <v>171</v>
      </c>
      <c r="B1" s="149"/>
      <c r="C1" s="150"/>
      <c r="K1" s="157" t="s">
        <v>35</v>
      </c>
      <c r="L1" s="158"/>
      <c r="M1" s="61" t="s">
        <v>31</v>
      </c>
      <c r="N1" s="61" t="s">
        <v>32</v>
      </c>
      <c r="O1" s="4" t="s">
        <v>39</v>
      </c>
      <c r="P1" s="159" t="s">
        <v>41</v>
      </c>
      <c r="Q1" s="160"/>
    </row>
    <row r="2" spans="1:37" x14ac:dyDescent="0.2">
      <c r="A2" s="151"/>
      <c r="B2" s="152"/>
      <c r="C2" s="153"/>
      <c r="K2" s="59" t="s">
        <v>37</v>
      </c>
      <c r="L2" s="60"/>
      <c r="M2" s="62">
        <f>$B$7*($AK$25-2*$AK$26)</f>
        <v>370.25835378289867</v>
      </c>
      <c r="N2" s="62">
        <f>$B$7*($AK$25+2*$AK$26)</f>
        <v>398.06025416139153</v>
      </c>
      <c r="O2" s="64">
        <f>AVERAGE(M2:N2)</f>
        <v>384.1593039721451</v>
      </c>
      <c r="P2" s="161">
        <f>$O$2/AF14-1</f>
        <v>-2.7936983876151067E-2</v>
      </c>
      <c r="Q2" s="162"/>
    </row>
    <row r="3" spans="1:37" x14ac:dyDescent="0.2">
      <c r="A3" s="154"/>
      <c r="B3" s="155"/>
      <c r="C3" s="156"/>
      <c r="K3" s="45" t="s">
        <v>38</v>
      </c>
      <c r="L3" s="19"/>
      <c r="M3" s="63">
        <f>$C$7*($AK$25-2*$AK$26)</f>
        <v>376.72574860880081</v>
      </c>
      <c r="N3" s="63">
        <f>$C$7*($AK$25+2*$AK$26)</f>
        <v>405.01327170132851</v>
      </c>
      <c r="O3" s="65">
        <f>AVERAGE(M3:N3)</f>
        <v>390.86951015506463</v>
      </c>
      <c r="P3" s="146">
        <f>$O$3/AF15-1</f>
        <v>-1.095771721896599E-2</v>
      </c>
      <c r="Q3" s="147"/>
    </row>
    <row r="4" spans="1:37" x14ac:dyDescent="0.2">
      <c r="A4" s="50"/>
      <c r="B4" s="50"/>
      <c r="C4" s="50"/>
      <c r="N4" s="4" t="s">
        <v>40</v>
      </c>
      <c r="O4" s="65">
        <f>AVERAGE(O2:O3)</f>
        <v>387.51440706360484</v>
      </c>
      <c r="P4" s="146">
        <f>$O$4/AF15-1</f>
        <v>-1.9447350547558639E-2</v>
      </c>
      <c r="Q4" s="147"/>
    </row>
    <row r="5" spans="1:37" x14ac:dyDescent="0.2">
      <c r="A5" s="58" t="s">
        <v>34</v>
      </c>
      <c r="B5" s="48" t="s">
        <v>31</v>
      </c>
      <c r="C5" s="49" t="s">
        <v>32</v>
      </c>
    </row>
    <row r="6" spans="1:37" ht="15.75" x14ac:dyDescent="0.25">
      <c r="A6" s="52" t="s">
        <v>33</v>
      </c>
      <c r="B6" s="56">
        <v>8043.0524999999998</v>
      </c>
      <c r="C6" s="57">
        <v>8183.5425000000005</v>
      </c>
    </row>
    <row r="7" spans="1:37" ht="14.25" x14ac:dyDescent="0.2">
      <c r="A7" s="53" t="s">
        <v>36</v>
      </c>
      <c r="B7" s="54">
        <f>B6*$AK$24</f>
        <v>1610.9788841758416</v>
      </c>
      <c r="C7" s="55">
        <f>C6*$AK$24</f>
        <v>1639.1182533317515</v>
      </c>
    </row>
    <row r="8" spans="1:37" x14ac:dyDescent="0.2">
      <c r="F8" s="50"/>
      <c r="G8" s="50"/>
      <c r="H8" s="50"/>
    </row>
    <row r="9" spans="1:37" x14ac:dyDescent="0.2">
      <c r="F9" s="50"/>
      <c r="G9" s="50"/>
      <c r="H9" s="50"/>
    </row>
    <row r="10" spans="1:37" x14ac:dyDescent="0.2">
      <c r="H10" s="145" t="s">
        <v>15</v>
      </c>
      <c r="I10" s="145"/>
      <c r="J10" s="35">
        <f>AVERAGE(F13:AJ13)</f>
        <v>1.0058512238748369</v>
      </c>
      <c r="AG10" s="145" t="s">
        <v>16</v>
      </c>
      <c r="AH10" s="145"/>
      <c r="AI10" s="145"/>
      <c r="AJ10" s="79">
        <f>AVERAGE(AJ13,AF13:AH13)</f>
        <v>1.0050558063500079</v>
      </c>
    </row>
    <row r="11" spans="1:37" x14ac:dyDescent="0.2">
      <c r="A11" s="51" t="s">
        <v>6</v>
      </c>
      <c r="B11" s="110">
        <v>2012</v>
      </c>
      <c r="C11" s="111"/>
      <c r="D11" s="111"/>
      <c r="E11" s="112"/>
      <c r="F11" s="128">
        <v>2014</v>
      </c>
      <c r="G11" s="128"/>
      <c r="H11" s="128"/>
      <c r="I11" s="129"/>
      <c r="J11" s="130">
        <v>2015</v>
      </c>
      <c r="K11" s="131"/>
      <c r="L11" s="131"/>
      <c r="M11" s="132"/>
      <c r="N11" s="130">
        <v>2016</v>
      </c>
      <c r="O11" s="131"/>
      <c r="P11" s="131"/>
      <c r="Q11" s="132"/>
      <c r="R11" s="133">
        <v>2017</v>
      </c>
      <c r="S11" s="134"/>
      <c r="T11" s="134"/>
      <c r="U11" s="135"/>
      <c r="V11" s="141">
        <v>2018</v>
      </c>
      <c r="W11" s="142"/>
      <c r="X11" s="142"/>
      <c r="Y11" s="143"/>
      <c r="Z11" s="136">
        <v>2019</v>
      </c>
      <c r="AA11" s="137"/>
      <c r="AB11" s="137"/>
      <c r="AC11" s="138"/>
      <c r="AD11" s="139">
        <v>2020</v>
      </c>
      <c r="AE11" s="128"/>
      <c r="AF11" s="128"/>
      <c r="AG11" s="129"/>
      <c r="AH11" s="130">
        <v>2021</v>
      </c>
      <c r="AI11" s="131"/>
      <c r="AJ11" s="131"/>
      <c r="AK11" s="132"/>
    </row>
    <row r="12" spans="1:37" x14ac:dyDescent="0.2">
      <c r="A12" s="14" t="s">
        <v>19</v>
      </c>
      <c r="B12" s="102" t="s">
        <v>20</v>
      </c>
      <c r="C12" s="102" t="s">
        <v>3</v>
      </c>
      <c r="D12" s="102" t="s">
        <v>4</v>
      </c>
      <c r="E12" s="105" t="s">
        <v>5</v>
      </c>
      <c r="F12" s="20" t="s">
        <v>20</v>
      </c>
      <c r="G12" s="20" t="s">
        <v>3</v>
      </c>
      <c r="H12" s="20" t="s">
        <v>4</v>
      </c>
      <c r="I12" s="20" t="s">
        <v>5</v>
      </c>
      <c r="J12" s="21" t="s">
        <v>20</v>
      </c>
      <c r="K12" s="22" t="s">
        <v>3</v>
      </c>
      <c r="L12" s="22" t="s">
        <v>4</v>
      </c>
      <c r="M12" s="22" t="s">
        <v>5</v>
      </c>
      <c r="N12" s="21" t="s">
        <v>20</v>
      </c>
      <c r="O12" s="22" t="s">
        <v>3</v>
      </c>
      <c r="P12" s="22" t="s">
        <v>4</v>
      </c>
      <c r="Q12" s="22" t="s">
        <v>5</v>
      </c>
      <c r="R12" s="23" t="s">
        <v>20</v>
      </c>
      <c r="S12" s="24" t="s">
        <v>3</v>
      </c>
      <c r="T12" s="24" t="s">
        <v>4</v>
      </c>
      <c r="U12" s="24" t="s">
        <v>5</v>
      </c>
      <c r="V12" s="25" t="s">
        <v>20</v>
      </c>
      <c r="W12" s="26" t="s">
        <v>3</v>
      </c>
      <c r="X12" s="26" t="s">
        <v>4</v>
      </c>
      <c r="Y12" s="26" t="s">
        <v>5</v>
      </c>
      <c r="Z12" s="27" t="s">
        <v>20</v>
      </c>
      <c r="AA12" s="28" t="s">
        <v>3</v>
      </c>
      <c r="AB12" s="28" t="s">
        <v>4</v>
      </c>
      <c r="AC12" s="28" t="s">
        <v>5</v>
      </c>
      <c r="AD12" s="29" t="s">
        <v>20</v>
      </c>
      <c r="AE12" s="20" t="s">
        <v>3</v>
      </c>
      <c r="AF12" s="20" t="s">
        <v>4</v>
      </c>
      <c r="AG12" s="20" t="s">
        <v>5</v>
      </c>
      <c r="AH12" s="37" t="s">
        <v>20</v>
      </c>
      <c r="AI12" s="38" t="s">
        <v>3</v>
      </c>
      <c r="AJ12" s="39" t="s">
        <v>21</v>
      </c>
      <c r="AK12" s="30" t="s">
        <v>22</v>
      </c>
    </row>
    <row r="13" spans="1:37" x14ac:dyDescent="0.2">
      <c r="A13" s="34" t="s">
        <v>2</v>
      </c>
      <c r="F13" s="82"/>
      <c r="G13" s="82"/>
      <c r="H13" s="82"/>
      <c r="I13" s="82"/>
      <c r="J13" s="82">
        <f>J15/F15</f>
        <v>1.0087387812942845</v>
      </c>
      <c r="K13" s="82">
        <f t="shared" ref="K13:AG13" si="0">K15/G15</f>
        <v>0.99663784822286272</v>
      </c>
      <c r="L13" s="82">
        <f t="shared" si="0"/>
        <v>1.0221712538226302</v>
      </c>
      <c r="M13" s="82">
        <f t="shared" si="0"/>
        <v>0.98242100578549185</v>
      </c>
      <c r="N13" s="82">
        <f t="shared" si="0"/>
        <v>1.0046827440880355</v>
      </c>
      <c r="O13" s="82">
        <f t="shared" si="0"/>
        <v>1.0043373493975905</v>
      </c>
      <c r="P13" s="82">
        <f t="shared" si="0"/>
        <v>0.98977811019695827</v>
      </c>
      <c r="Q13" s="82">
        <f t="shared" si="0"/>
        <v>1.0047565118912798</v>
      </c>
      <c r="R13" s="82">
        <f t="shared" si="0"/>
        <v>0.99743649498951292</v>
      </c>
      <c r="S13" s="82">
        <f t="shared" si="0"/>
        <v>0.97264875239923221</v>
      </c>
      <c r="T13" s="82">
        <f t="shared" si="0"/>
        <v>0.96095717884130982</v>
      </c>
      <c r="U13" s="82">
        <f t="shared" si="0"/>
        <v>0.99549143372407578</v>
      </c>
      <c r="V13" s="82">
        <f t="shared" si="0"/>
        <v>0.97476635514018684</v>
      </c>
      <c r="W13" s="82">
        <f t="shared" si="0"/>
        <v>1.0066600888011841</v>
      </c>
      <c r="X13" s="82">
        <f t="shared" si="0"/>
        <v>1.0081258191349936</v>
      </c>
      <c r="Y13" s="82">
        <f t="shared" si="0"/>
        <v>0.98007246376811596</v>
      </c>
      <c r="Z13" s="82">
        <f t="shared" si="0"/>
        <v>0.96788111217641426</v>
      </c>
      <c r="AA13" s="82">
        <f t="shared" si="0"/>
        <v>0.98480764518500352</v>
      </c>
      <c r="AB13" s="82">
        <f t="shared" si="0"/>
        <v>0.9932397295891835</v>
      </c>
      <c r="AC13" s="82">
        <f t="shared" si="0"/>
        <v>1.0039279112754158</v>
      </c>
      <c r="AD13" s="82">
        <f t="shared" si="0"/>
        <v>0.89177810797424473</v>
      </c>
      <c r="AE13" s="82">
        <f t="shared" si="0"/>
        <v>0.53918885294849461</v>
      </c>
      <c r="AF13" s="82">
        <f t="shared" si="0"/>
        <v>1.0345549738219895</v>
      </c>
      <c r="AG13" s="82">
        <f t="shared" si="0"/>
        <v>0.99585730724971233</v>
      </c>
      <c r="AH13" s="82">
        <f>AH15/AD15</f>
        <v>0.99638989169675085</v>
      </c>
      <c r="AI13" s="82">
        <f>AI15/AE15</f>
        <v>1.8472542685740656</v>
      </c>
      <c r="AJ13" s="82">
        <f>AJ14/AF15</f>
        <v>0.99342105263157898</v>
      </c>
      <c r="AK13" s="31"/>
    </row>
    <row r="14" spans="1:37" x14ac:dyDescent="0.2">
      <c r="A14" s="15" t="s">
        <v>0</v>
      </c>
      <c r="B14" s="6"/>
      <c r="C14" s="6"/>
      <c r="D14" s="6"/>
      <c r="E14" s="6"/>
      <c r="F14" s="7">
        <v>398.5</v>
      </c>
      <c r="G14" s="7">
        <v>392.4</v>
      </c>
      <c r="H14" s="7">
        <v>392.4</v>
      </c>
      <c r="I14" s="7">
        <v>420.4</v>
      </c>
      <c r="J14" s="9">
        <v>407.7</v>
      </c>
      <c r="K14" s="6">
        <v>398</v>
      </c>
      <c r="L14" s="6">
        <v>401</v>
      </c>
      <c r="M14" s="6">
        <v>441.4</v>
      </c>
      <c r="N14" s="9">
        <v>429.2</v>
      </c>
      <c r="O14" s="6">
        <v>416.9</v>
      </c>
      <c r="P14" s="6">
        <v>397.1</v>
      </c>
      <c r="Q14" s="6">
        <v>443.7</v>
      </c>
      <c r="R14" s="9">
        <v>428.2</v>
      </c>
      <c r="S14" s="6">
        <v>405.5</v>
      </c>
      <c r="T14" s="6">
        <v>381.7</v>
      </c>
      <c r="U14" s="6">
        <v>441.9</v>
      </c>
      <c r="V14" s="9">
        <v>417.2</v>
      </c>
      <c r="W14" s="6">
        <v>408.1</v>
      </c>
      <c r="X14" s="6">
        <v>384.6</v>
      </c>
      <c r="Y14" s="6">
        <v>432.8</v>
      </c>
      <c r="Z14" s="9">
        <v>403.8</v>
      </c>
      <c r="AA14" s="6">
        <v>401.9</v>
      </c>
      <c r="AB14" s="6">
        <v>382</v>
      </c>
      <c r="AC14" s="6">
        <v>434.5</v>
      </c>
      <c r="AD14" s="9">
        <v>368.6</v>
      </c>
      <c r="AE14" s="6">
        <v>216.7</v>
      </c>
      <c r="AF14" s="6">
        <v>395.2</v>
      </c>
      <c r="AG14" s="6">
        <v>432.7</v>
      </c>
      <c r="AH14" s="6">
        <v>358.8</v>
      </c>
      <c r="AI14" s="6">
        <v>400.3</v>
      </c>
      <c r="AJ14" s="104">
        <v>392.6</v>
      </c>
      <c r="AK14" s="104">
        <v>471.8</v>
      </c>
    </row>
    <row r="15" spans="1:37" x14ac:dyDescent="0.2">
      <c r="A15" s="15" t="s">
        <v>1</v>
      </c>
      <c r="B15" s="6"/>
      <c r="C15" s="6"/>
      <c r="D15" s="6"/>
      <c r="E15" s="6"/>
      <c r="F15" s="6">
        <v>423.4</v>
      </c>
      <c r="G15" s="6">
        <v>416.4</v>
      </c>
      <c r="H15" s="6">
        <v>392.4</v>
      </c>
      <c r="I15" s="6">
        <v>449.4</v>
      </c>
      <c r="J15" s="9">
        <v>427.1</v>
      </c>
      <c r="K15" s="6">
        <v>415</v>
      </c>
      <c r="L15" s="6">
        <v>401.1</v>
      </c>
      <c r="M15" s="6">
        <v>441.5</v>
      </c>
      <c r="N15" s="9">
        <v>429.1</v>
      </c>
      <c r="O15" s="6">
        <v>416.8</v>
      </c>
      <c r="P15" s="6">
        <v>397</v>
      </c>
      <c r="Q15" s="6">
        <v>443.6</v>
      </c>
      <c r="R15" s="9">
        <v>428</v>
      </c>
      <c r="S15" s="6">
        <v>405.4</v>
      </c>
      <c r="T15" s="6">
        <v>381.5</v>
      </c>
      <c r="U15" s="6">
        <v>441.6</v>
      </c>
      <c r="V15" s="9">
        <v>417.2</v>
      </c>
      <c r="W15" s="6">
        <v>408.1</v>
      </c>
      <c r="X15" s="6">
        <v>384.6</v>
      </c>
      <c r="Y15" s="6">
        <v>432.8</v>
      </c>
      <c r="Z15" s="9">
        <v>403.8</v>
      </c>
      <c r="AA15" s="6">
        <v>401.9</v>
      </c>
      <c r="AB15" s="6">
        <v>382</v>
      </c>
      <c r="AC15" s="6">
        <v>434.5</v>
      </c>
      <c r="AD15" s="9">
        <v>360.1</v>
      </c>
      <c r="AE15" s="6">
        <v>216.7</v>
      </c>
      <c r="AF15" s="6">
        <v>395.2</v>
      </c>
      <c r="AG15" s="6">
        <v>432.7</v>
      </c>
      <c r="AH15" s="9">
        <v>358.8</v>
      </c>
      <c r="AI15" s="6">
        <v>400.3</v>
      </c>
      <c r="AJ15" s="9"/>
      <c r="AK15" s="10"/>
    </row>
    <row r="16" spans="1:37" x14ac:dyDescent="0.2">
      <c r="A16" s="15" t="s">
        <v>157</v>
      </c>
      <c r="B16" s="9"/>
      <c r="C16" s="9"/>
      <c r="D16" s="9"/>
      <c r="E16" s="9"/>
      <c r="F16" s="9">
        <v>1161.5</v>
      </c>
      <c r="G16" s="6">
        <v>1182.9000000000001</v>
      </c>
      <c r="H16" s="6">
        <v>1106</v>
      </c>
      <c r="I16" s="10">
        <v>1222.9000000000001</v>
      </c>
      <c r="J16" s="9">
        <v>1134.4000000000001</v>
      </c>
      <c r="K16" s="6">
        <v>1167.5999999999999</v>
      </c>
      <c r="L16" s="6">
        <v>1762.2</v>
      </c>
      <c r="M16" s="10">
        <v>1933.6</v>
      </c>
      <c r="N16" s="9">
        <v>1900.8</v>
      </c>
      <c r="O16" s="6">
        <v>1930.1</v>
      </c>
      <c r="P16" s="6">
        <v>1829.2</v>
      </c>
      <c r="Q16" s="10">
        <v>2008.3</v>
      </c>
      <c r="R16" s="9">
        <v>1972.4</v>
      </c>
      <c r="S16" s="6">
        <v>1949.5</v>
      </c>
      <c r="T16" s="6">
        <v>1813.1</v>
      </c>
      <c r="U16" s="10">
        <v>2068.3000000000002</v>
      </c>
      <c r="V16" s="9">
        <v>2017.6</v>
      </c>
      <c r="W16" s="6">
        <v>2007.6</v>
      </c>
      <c r="X16" s="6">
        <v>1836.7</v>
      </c>
      <c r="Y16" s="10">
        <v>2071</v>
      </c>
      <c r="Z16" s="9">
        <v>1975.5</v>
      </c>
      <c r="AA16" s="6">
        <v>1988.6</v>
      </c>
      <c r="AB16" s="6">
        <v>1892.4</v>
      </c>
      <c r="AC16" s="10">
        <v>2125.6999999999998</v>
      </c>
      <c r="AD16" s="9">
        <v>1783.8</v>
      </c>
      <c r="AE16" s="6">
        <v>1226.0999999999999</v>
      </c>
      <c r="AF16" s="6">
        <v>1929.3</v>
      </c>
      <c r="AG16" s="10">
        <v>2085.3000000000002</v>
      </c>
      <c r="AH16" s="9">
        <v>1847.4</v>
      </c>
      <c r="AI16">
        <v>2026.9</v>
      </c>
      <c r="AJ16" s="103">
        <v>1943.9</v>
      </c>
      <c r="AK16" s="10"/>
    </row>
    <row r="17" spans="1:38" x14ac:dyDescent="0.2">
      <c r="A17" s="83" t="s">
        <v>18</v>
      </c>
      <c r="B17" s="84"/>
      <c r="C17" s="84"/>
      <c r="D17" s="84"/>
      <c r="E17" s="84"/>
      <c r="F17" s="84">
        <f>F15/F16</f>
        <v>0.36452862677572101</v>
      </c>
      <c r="G17" s="84">
        <f t="shared" ref="G17:L17" si="1">G15/G16</f>
        <v>0.35201623129596749</v>
      </c>
      <c r="H17" s="84">
        <f t="shared" si="1"/>
        <v>0.35479204339963832</v>
      </c>
      <c r="I17" s="84">
        <f t="shared" si="1"/>
        <v>0.36748712077847734</v>
      </c>
      <c r="J17" s="84">
        <f t="shared" si="1"/>
        <v>0.37649858956276444</v>
      </c>
      <c r="K17" s="84">
        <f t="shared" si="1"/>
        <v>0.35542994176087706</v>
      </c>
      <c r="L17" s="84">
        <f t="shared" si="1"/>
        <v>0.22761321075927818</v>
      </c>
      <c r="M17" s="84">
        <f t="shared" ref="M17:AA17" si="2">M15/M16</f>
        <v>0.22833057509309063</v>
      </c>
      <c r="N17" s="84">
        <f t="shared" si="2"/>
        <v>0.22574705387205388</v>
      </c>
      <c r="O17" s="84">
        <f>O15/O16</f>
        <v>0.21594736024040206</v>
      </c>
      <c r="P17" s="84">
        <f>P15/P16</f>
        <v>0.21703476929805379</v>
      </c>
      <c r="Q17" s="84">
        <f>Q15/Q16</f>
        <v>0.22088333416322264</v>
      </c>
      <c r="R17" s="84">
        <f>R15/R16</f>
        <v>0.21699452443723383</v>
      </c>
      <c r="S17" s="84">
        <f t="shared" si="2"/>
        <v>0.20795075660425749</v>
      </c>
      <c r="T17" s="84">
        <f t="shared" si="2"/>
        <v>0.21041310462743368</v>
      </c>
      <c r="U17" s="84">
        <f t="shared" si="2"/>
        <v>0.21350867862495768</v>
      </c>
      <c r="V17" s="84">
        <f t="shared" si="2"/>
        <v>0.20678033306899288</v>
      </c>
      <c r="W17" s="84">
        <f t="shared" si="2"/>
        <v>0.20327754532775455</v>
      </c>
      <c r="X17" s="84">
        <f t="shared" si="2"/>
        <v>0.20939728861545162</v>
      </c>
      <c r="Y17" s="84">
        <f t="shared" si="2"/>
        <v>0.20898116851762435</v>
      </c>
      <c r="Z17" s="84">
        <f t="shared" si="2"/>
        <v>0.20440394836750189</v>
      </c>
      <c r="AA17" s="84">
        <f t="shared" si="2"/>
        <v>0.20210198129337223</v>
      </c>
      <c r="AB17" s="84">
        <f t="shared" ref="AB17:AE17" si="3">AB15/AB16</f>
        <v>0.201860071866413</v>
      </c>
      <c r="AC17" s="84">
        <f t="shared" si="3"/>
        <v>0.20440325539822177</v>
      </c>
      <c r="AD17" s="84">
        <f t="shared" si="3"/>
        <v>0.20187240722054045</v>
      </c>
      <c r="AE17" s="84">
        <f t="shared" si="3"/>
        <v>0.17673925454693745</v>
      </c>
      <c r="AF17" s="84">
        <f>AF15/AF16</f>
        <v>0.20484113409008448</v>
      </c>
      <c r="AG17" s="84">
        <f>AG15/AG16</f>
        <v>0.20750011988682682</v>
      </c>
      <c r="AH17" s="84">
        <f>AH15/AH16</f>
        <v>0.19421890224098734</v>
      </c>
      <c r="AI17" s="84">
        <f>AI15/AI16</f>
        <v>0.19749370960580195</v>
      </c>
      <c r="AJ17" s="106">
        <f>AJ14/AJ16</f>
        <v>0.20196512166263697</v>
      </c>
      <c r="AK17" s="85"/>
    </row>
    <row r="18" spans="1:38" x14ac:dyDescent="0.2">
      <c r="A18" s="83" t="s">
        <v>24</v>
      </c>
      <c r="B18" s="84"/>
      <c r="C18" s="84"/>
      <c r="D18" s="84"/>
      <c r="E18" s="86"/>
      <c r="F18" s="84">
        <f>F15/SUM(F15:I15)</f>
        <v>0.25178401522359656</v>
      </c>
      <c r="G18" s="84">
        <f>G15/SUM(F15:I15)</f>
        <v>0.24762131303520457</v>
      </c>
      <c r="H18" s="84">
        <f>H15/SUM(F15:I15)</f>
        <v>0.23334919124643197</v>
      </c>
      <c r="I18" s="86">
        <f>I15/SUM(F15:I15)</f>
        <v>0.26724548049476687</v>
      </c>
      <c r="J18" s="84">
        <f>J15/SUM(J15:M15)</f>
        <v>0.2535169466373835</v>
      </c>
      <c r="K18" s="84">
        <f>K15/SUM(J15:M15)</f>
        <v>0.24633465898973111</v>
      </c>
      <c r="L18" s="84">
        <f>L15/SUM(J15:M15)</f>
        <v>0.23808393185730398</v>
      </c>
      <c r="M18" s="86">
        <f>M15/SUM(J15:M15)</f>
        <v>0.26206446251558141</v>
      </c>
      <c r="N18" s="84">
        <f>N15/SUM(N15:Q15)</f>
        <v>0.25443225615179366</v>
      </c>
      <c r="O18" s="84">
        <f>O15/SUM(N15:Q15)</f>
        <v>0.24713904536021347</v>
      </c>
      <c r="P18" s="84">
        <f>P15/SUM(N15:Q15)</f>
        <v>0.23539875481766973</v>
      </c>
      <c r="Q18" s="86">
        <f>Q15/SUM(N15:Q15)</f>
        <v>0.26302994367032317</v>
      </c>
      <c r="R18" s="84">
        <f>R15/SUM(R15:U15)</f>
        <v>0.25837609417446422</v>
      </c>
      <c r="S18" s="84">
        <f>S15/SUM(R15:U15)</f>
        <v>0.24473287051011167</v>
      </c>
      <c r="T18" s="84">
        <f>T15/SUM(R15:U15)</f>
        <v>0.23030485964382735</v>
      </c>
      <c r="U18" s="86">
        <f>U15/SUM(R15:U15)</f>
        <v>0.26658617567159676</v>
      </c>
      <c r="V18" s="84">
        <f>V15/SUM(V15:Y15)</f>
        <v>0.25397211907225908</v>
      </c>
      <c r="W18" s="84">
        <f>W15/SUM(V15:Y15)</f>
        <v>0.24843245875692457</v>
      </c>
      <c r="X18" s="84">
        <f>X15/SUM(V15:Y15)</f>
        <v>0.23412674255798382</v>
      </c>
      <c r="Y18" s="86">
        <f>Y15/SUM(V15:Y15)</f>
        <v>0.26346867961283255</v>
      </c>
      <c r="Z18" s="84">
        <f>Z15/SUM(Z15:AC15)</f>
        <v>0.24892121809887807</v>
      </c>
      <c r="AA18" s="84">
        <f>AA15/SUM(Z15:AC15)</f>
        <v>0.24774996917765996</v>
      </c>
      <c r="AB18" s="84">
        <f>AB15/SUM(Z15:AC15)</f>
        <v>0.23548267784490198</v>
      </c>
      <c r="AC18" s="86">
        <f>AC15/SUM(Z15:AC15)</f>
        <v>0.26784613487855996</v>
      </c>
      <c r="AD18" s="84"/>
      <c r="AE18" s="84"/>
      <c r="AF18" s="84"/>
      <c r="AG18" s="86"/>
      <c r="AH18" s="84">
        <f>AH15/SUM(AH15:AI15,AJ14:AK14)</f>
        <v>0.22100400369571913</v>
      </c>
      <c r="AI18" s="84">
        <f>AI15/SUM(AH15:AI15,AJ14:AK14)</f>
        <v>0.24656606097936556</v>
      </c>
      <c r="AJ18" s="84">
        <f>AJ14/SUM(AH15:AI15,AJ14:AK14)</f>
        <v>0.24182322143517093</v>
      </c>
      <c r="AK18" s="86">
        <f>AK14/SUM(AH15:AI15,AJ14:AK14)</f>
        <v>0.29060671388974441</v>
      </c>
      <c r="AL18" s="3"/>
    </row>
    <row r="19" spans="1:38" x14ac:dyDescent="0.2">
      <c r="A19" s="16" t="s">
        <v>17</v>
      </c>
      <c r="B19" s="12"/>
      <c r="C19" s="12"/>
      <c r="D19" s="12"/>
      <c r="E19" s="12"/>
      <c r="F19" s="12"/>
      <c r="G19" s="12"/>
      <c r="H19" s="12"/>
      <c r="I19" s="12"/>
      <c r="J19" s="11">
        <v>285</v>
      </c>
      <c r="K19" s="12"/>
      <c r="L19" s="12">
        <v>287.8</v>
      </c>
      <c r="M19" s="6">
        <v>442.3</v>
      </c>
      <c r="N19" s="9">
        <v>420</v>
      </c>
      <c r="O19" s="12">
        <v>419.7</v>
      </c>
      <c r="P19" s="12">
        <v>405.9</v>
      </c>
      <c r="Q19" s="6">
        <v>436.1</v>
      </c>
      <c r="R19" s="80">
        <v>429.3</v>
      </c>
      <c r="S19" s="80">
        <v>410.6</v>
      </c>
      <c r="T19" s="80">
        <v>389</v>
      </c>
      <c r="U19" s="80">
        <v>432.6</v>
      </c>
      <c r="V19" s="80">
        <v>416.5</v>
      </c>
      <c r="W19" s="63">
        <v>402.5</v>
      </c>
      <c r="X19" s="63">
        <v>384.4</v>
      </c>
      <c r="Y19" s="63">
        <v>443.2</v>
      </c>
      <c r="Z19" s="80">
        <v>411.29999999999995</v>
      </c>
      <c r="AA19" s="63">
        <v>397.8</v>
      </c>
      <c r="AB19" s="63">
        <v>383.5</v>
      </c>
      <c r="AC19" s="63">
        <v>430.7</v>
      </c>
      <c r="AD19" s="80">
        <v>372.9</v>
      </c>
      <c r="AE19" s="63">
        <v>133.1</v>
      </c>
      <c r="AF19" s="63">
        <v>341.1</v>
      </c>
      <c r="AG19" s="63">
        <v>432.5</v>
      </c>
      <c r="AH19" s="80">
        <v>359.9</v>
      </c>
      <c r="AI19" s="63">
        <v>392.1</v>
      </c>
      <c r="AJ19" s="81"/>
      <c r="AK19" s="13"/>
    </row>
    <row r="20" spans="1:38" x14ac:dyDescent="0.2">
      <c r="F20" s="122" t="s">
        <v>7</v>
      </c>
      <c r="G20" s="140"/>
      <c r="H20" s="7"/>
      <c r="I20" s="7"/>
      <c r="J20" s="7">
        <f t="shared" ref="J20:L20" si="4">IF(J15&gt;J19,1,0)</f>
        <v>1</v>
      </c>
      <c r="K20" s="7"/>
      <c r="L20" s="7">
        <f t="shared" si="4"/>
        <v>1</v>
      </c>
      <c r="M20" s="7">
        <f t="shared" ref="M20:P20" si="5">IF(M15&gt;M19,1,0)</f>
        <v>0</v>
      </c>
      <c r="N20" s="7">
        <f t="shared" si="5"/>
        <v>1</v>
      </c>
      <c r="O20" s="7">
        <f t="shared" si="5"/>
        <v>0</v>
      </c>
      <c r="P20" s="7">
        <f t="shared" si="5"/>
        <v>0</v>
      </c>
      <c r="Q20" s="7">
        <f t="shared" ref="Q20:AC20" si="6">IF(Q15&gt;Q19,1,0)</f>
        <v>1</v>
      </c>
      <c r="R20" s="7">
        <f t="shared" si="6"/>
        <v>0</v>
      </c>
      <c r="S20" s="7">
        <f t="shared" si="6"/>
        <v>0</v>
      </c>
      <c r="T20" s="7">
        <f t="shared" si="6"/>
        <v>0</v>
      </c>
      <c r="U20" s="7">
        <f t="shared" si="6"/>
        <v>1</v>
      </c>
      <c r="V20" s="7">
        <f t="shared" si="6"/>
        <v>1</v>
      </c>
      <c r="W20" s="7">
        <f t="shared" si="6"/>
        <v>1</v>
      </c>
      <c r="X20" s="7">
        <f t="shared" si="6"/>
        <v>1</v>
      </c>
      <c r="Y20" s="7">
        <f t="shared" si="6"/>
        <v>0</v>
      </c>
      <c r="Z20" s="7">
        <f t="shared" si="6"/>
        <v>0</v>
      </c>
      <c r="AA20" s="7">
        <f t="shared" si="6"/>
        <v>1</v>
      </c>
      <c r="AB20" s="7">
        <f t="shared" si="6"/>
        <v>0</v>
      </c>
      <c r="AC20" s="7">
        <f t="shared" si="6"/>
        <v>1</v>
      </c>
      <c r="AD20" s="7">
        <f t="shared" ref="AD20:AI20" si="7">IF(AD15&gt;AD19,1,0)</f>
        <v>0</v>
      </c>
      <c r="AE20" s="7">
        <f t="shared" si="7"/>
        <v>1</v>
      </c>
      <c r="AF20" s="7">
        <f t="shared" si="7"/>
        <v>1</v>
      </c>
      <c r="AG20" s="7">
        <f t="shared" si="7"/>
        <v>1</v>
      </c>
      <c r="AH20" s="7">
        <f t="shared" si="7"/>
        <v>0</v>
      </c>
      <c r="AI20" s="8">
        <f t="shared" si="7"/>
        <v>1</v>
      </c>
      <c r="AJ20" s="45" t="s">
        <v>8</v>
      </c>
      <c r="AK20" s="42">
        <f>AVERAGE(L20:AI20)</f>
        <v>0.54166666666666663</v>
      </c>
    </row>
    <row r="21" spans="1:38" x14ac:dyDescent="0.2">
      <c r="F21" s="113" t="s">
        <v>9</v>
      </c>
      <c r="G21" s="114"/>
      <c r="I21" s="6"/>
      <c r="J21" s="6"/>
      <c r="K21" s="6"/>
      <c r="L21" s="6"/>
      <c r="M21" s="6"/>
      <c r="N21" s="6">
        <f>AVERAGE(L20:N20,J20)</f>
        <v>0.75</v>
      </c>
      <c r="O21" s="6">
        <f t="shared" ref="O21" si="8">AVERAGE(L20:O20)</f>
        <v>0.5</v>
      </c>
      <c r="P21" s="6">
        <f t="shared" ref="P21" si="9">AVERAGE(M20:P20)</f>
        <v>0.25</v>
      </c>
      <c r="Q21" s="6">
        <f t="shared" ref="Q21" si="10">AVERAGE(N20:Q20)</f>
        <v>0.5</v>
      </c>
      <c r="R21" s="6">
        <f t="shared" ref="R21" si="11">AVERAGE(O20:R20)</f>
        <v>0.25</v>
      </c>
      <c r="S21" s="6">
        <f t="shared" ref="S21" si="12">AVERAGE(P20:S20)</f>
        <v>0.25</v>
      </c>
      <c r="T21" s="6">
        <f t="shared" ref="T21:AI21" si="13">AVERAGE(Q20:T20)</f>
        <v>0.25</v>
      </c>
      <c r="U21" s="6">
        <f t="shared" si="13"/>
        <v>0.25</v>
      </c>
      <c r="V21" s="6">
        <f t="shared" si="13"/>
        <v>0.5</v>
      </c>
      <c r="W21" s="6">
        <f t="shared" si="13"/>
        <v>0.75</v>
      </c>
      <c r="X21" s="6">
        <f t="shared" si="13"/>
        <v>1</v>
      </c>
      <c r="Y21" s="6">
        <f t="shared" si="13"/>
        <v>0.75</v>
      </c>
      <c r="Z21" s="6">
        <f t="shared" si="13"/>
        <v>0.5</v>
      </c>
      <c r="AA21" s="6">
        <f t="shared" si="13"/>
        <v>0.5</v>
      </c>
      <c r="AB21" s="6">
        <f t="shared" si="13"/>
        <v>0.25</v>
      </c>
      <c r="AC21" s="6">
        <f t="shared" si="13"/>
        <v>0.5</v>
      </c>
      <c r="AD21" s="6">
        <f t="shared" si="13"/>
        <v>0.5</v>
      </c>
      <c r="AE21" s="6">
        <f t="shared" si="13"/>
        <v>0.5</v>
      </c>
      <c r="AF21" s="6">
        <f t="shared" si="13"/>
        <v>0.75</v>
      </c>
      <c r="AG21" s="6">
        <f t="shared" si="13"/>
        <v>0.75</v>
      </c>
      <c r="AH21" s="6">
        <f t="shared" si="13"/>
        <v>0.75</v>
      </c>
      <c r="AI21" s="10">
        <f t="shared" si="13"/>
        <v>0.75</v>
      </c>
      <c r="AJ21" s="41" t="s">
        <v>10</v>
      </c>
      <c r="AK21" s="42">
        <f>AVERAGE(N21:AI21)</f>
        <v>0.53409090909090906</v>
      </c>
    </row>
    <row r="22" spans="1:38" x14ac:dyDescent="0.2">
      <c r="F22" s="126" t="s">
        <v>11</v>
      </c>
      <c r="G22" s="127"/>
      <c r="H22" s="18"/>
      <c r="I22" s="18"/>
      <c r="J22" s="18">
        <f t="shared" ref="J22:L22" si="14">J15/J19-1</f>
        <v>0.49859649122807026</v>
      </c>
      <c r="K22" s="18"/>
      <c r="L22" s="18">
        <f t="shared" si="14"/>
        <v>0.39367616400277972</v>
      </c>
      <c r="M22" s="18">
        <f t="shared" ref="M22:P22" si="15">M15/M19-1</f>
        <v>-1.8087271082976031E-3</v>
      </c>
      <c r="N22" s="18">
        <f>N15/N19-1</f>
        <v>2.1666666666666723E-2</v>
      </c>
      <c r="O22" s="18">
        <f t="shared" si="15"/>
        <v>-6.9096974029068114E-3</v>
      </c>
      <c r="P22" s="18">
        <f t="shared" si="15"/>
        <v>-2.1926582902192626E-2</v>
      </c>
      <c r="Q22" s="18">
        <f t="shared" ref="Q22:AC22" si="16">Q15/Q19-1</f>
        <v>1.7197890392111947E-2</v>
      </c>
      <c r="R22" s="18">
        <f t="shared" si="16"/>
        <v>-3.0281854181225532E-3</v>
      </c>
      <c r="S22" s="18">
        <f t="shared" si="16"/>
        <v>-1.2664393570384957E-2</v>
      </c>
      <c r="T22" s="18">
        <f t="shared" si="16"/>
        <v>-1.9280205655527016E-2</v>
      </c>
      <c r="U22" s="18">
        <f t="shared" si="16"/>
        <v>2.0804438280166426E-2</v>
      </c>
      <c r="V22" s="18">
        <f t="shared" si="16"/>
        <v>1.6806722689075571E-3</v>
      </c>
      <c r="W22" s="18">
        <f t="shared" si="16"/>
        <v>1.3913043478260834E-2</v>
      </c>
      <c r="X22" s="18">
        <f t="shared" si="16"/>
        <v>5.2029136316344982E-4</v>
      </c>
      <c r="Y22" s="18">
        <f t="shared" si="16"/>
        <v>-2.3465703971119134E-2</v>
      </c>
      <c r="Z22" s="18">
        <f t="shared" si="16"/>
        <v>-1.8234865061998451E-2</v>
      </c>
      <c r="AA22" s="18">
        <f t="shared" si="16"/>
        <v>1.0306686777274976E-2</v>
      </c>
      <c r="AB22" s="18">
        <f t="shared" si="16"/>
        <v>-3.9113428943937656E-3</v>
      </c>
      <c r="AC22" s="18">
        <f t="shared" si="16"/>
        <v>8.822846528906414E-3</v>
      </c>
      <c r="AD22" s="18">
        <f t="shared" ref="AD22:AI22" si="17">AD15/AD19-1</f>
        <v>-3.4325556449450123E-2</v>
      </c>
      <c r="AE22" s="18">
        <f t="shared" si="17"/>
        <v>0.62809917355371891</v>
      </c>
      <c r="AF22" s="18">
        <f t="shared" si="17"/>
        <v>0.15860451480504234</v>
      </c>
      <c r="AG22" s="18">
        <f t="shared" si="17"/>
        <v>4.6242774566462863E-4</v>
      </c>
      <c r="AH22" s="18">
        <f t="shared" si="17"/>
        <v>-3.0564045568212128E-3</v>
      </c>
      <c r="AI22" s="40">
        <f t="shared" si="17"/>
        <v>2.091303238969644E-2</v>
      </c>
      <c r="AJ22" s="41" t="s">
        <v>13</v>
      </c>
      <c r="AK22" s="43">
        <f>MEDIAN(J22:AI22)</f>
        <v>5.2029136316344982E-4</v>
      </c>
    </row>
    <row r="23" spans="1:38" x14ac:dyDescent="0.2">
      <c r="F23" s="113" t="s">
        <v>12</v>
      </c>
      <c r="G23" s="114"/>
      <c r="I23" s="32"/>
      <c r="J23" s="32"/>
      <c r="K23" s="32"/>
      <c r="L23" s="32"/>
      <c r="M23" s="32"/>
      <c r="N23" s="32">
        <f>AVERAGE(L22:N22,J22)</f>
        <v>0.22803264869730477</v>
      </c>
      <c r="O23" s="32">
        <f t="shared" ref="O23" si="18">AVERAGE(L22:O22)</f>
        <v>0.10165610153956051</v>
      </c>
      <c r="P23" s="32">
        <f t="shared" ref="P23" si="19">AVERAGE(M22:P22)</f>
        <v>-2.2445851866825794E-3</v>
      </c>
      <c r="Q23" s="32">
        <f t="shared" ref="Q23" si="20">AVERAGE(N22:Q22)</f>
        <v>2.5070691884198082E-3</v>
      </c>
      <c r="R23" s="32">
        <f t="shared" ref="R23" si="21">AVERAGE(O22:R22)</f>
        <v>-3.6666438327775108E-3</v>
      </c>
      <c r="S23" s="32">
        <f t="shared" ref="S23" si="22">AVERAGE(P22:S22)</f>
        <v>-5.1053178746470473E-3</v>
      </c>
      <c r="T23" s="32">
        <f t="shared" ref="T23" si="23">AVERAGE(Q22:T22)</f>
        <v>-4.4437235629806449E-3</v>
      </c>
      <c r="U23" s="32">
        <f t="shared" ref="U23" si="24">AVERAGE(R22:U22)</f>
        <v>-3.5420865909670252E-3</v>
      </c>
      <c r="V23" s="32">
        <f t="shared" ref="V23:AI23" si="25">AVERAGE(S22:V22)</f>
        <v>-2.3648721692094976E-3</v>
      </c>
      <c r="W23" s="32">
        <f t="shared" si="25"/>
        <v>4.2794870929519502E-3</v>
      </c>
      <c r="X23" s="32">
        <f t="shared" si="25"/>
        <v>9.2296113476245667E-3</v>
      </c>
      <c r="Y23" s="32">
        <f t="shared" si="25"/>
        <v>-1.8379242151968234E-3</v>
      </c>
      <c r="Z23" s="32">
        <f t="shared" si="25"/>
        <v>-6.8168085479233254E-3</v>
      </c>
      <c r="AA23" s="32">
        <f t="shared" si="25"/>
        <v>-7.7183977231697898E-3</v>
      </c>
      <c r="AB23" s="32">
        <f t="shared" si="25"/>
        <v>-8.8263062875590936E-3</v>
      </c>
      <c r="AC23" s="32">
        <f t="shared" si="25"/>
        <v>-7.5416866255270665E-4</v>
      </c>
      <c r="AD23" s="32">
        <f t="shared" si="25"/>
        <v>-4.7768415094156247E-3</v>
      </c>
      <c r="AE23" s="32">
        <f t="shared" si="25"/>
        <v>0.14967128018469536</v>
      </c>
      <c r="AF23" s="32">
        <f t="shared" si="25"/>
        <v>0.19030024460955439</v>
      </c>
      <c r="AG23" s="32">
        <f t="shared" si="25"/>
        <v>0.18821013991374394</v>
      </c>
      <c r="AH23" s="32">
        <f t="shared" si="25"/>
        <v>0.19602742788690117</v>
      </c>
      <c r="AI23" s="33">
        <f t="shared" si="25"/>
        <v>4.4230892595895549E-2</v>
      </c>
      <c r="AJ23" s="19" t="s">
        <v>14</v>
      </c>
      <c r="AK23" s="33">
        <f>MEDIAN(N23:AI23)</f>
        <v>-1.296046438874765E-3</v>
      </c>
    </row>
    <row r="24" spans="1:38" x14ac:dyDescent="0.2">
      <c r="F24" s="122" t="s">
        <v>25</v>
      </c>
      <c r="G24" s="140"/>
      <c r="H24" s="96">
        <f>AVERAGE(L22,J22,N22,Q22,U22:X22,AA22,AC22,AE22:AG22,AI22)</f>
        <v>0.12823316710574503</v>
      </c>
      <c r="I24" s="122" t="s">
        <v>29</v>
      </c>
      <c r="J24" s="123"/>
      <c r="K24" s="46">
        <f>MEDIAN(L22,J22,N22,Q22,U22:X22,AA22,AC22,AE22:AG22,AI22)</f>
        <v>1.9001164336139187E-2</v>
      </c>
      <c r="AF24" s="3"/>
      <c r="AG24" s="115" t="s">
        <v>23</v>
      </c>
      <c r="AH24" s="116"/>
      <c r="AI24" s="116"/>
      <c r="AJ24" s="117"/>
      <c r="AK24" s="44">
        <f>AVERAGE(AG17:AJ17)</f>
        <v>0.20029446334906326</v>
      </c>
    </row>
    <row r="25" spans="1:38" x14ac:dyDescent="0.2">
      <c r="F25" s="124" t="s">
        <v>26</v>
      </c>
      <c r="G25" s="144"/>
      <c r="H25" s="95">
        <f>AVERAGE(M22,O22:P22,R22:T22,Y22:Z22,AB22,AD22,AH22)</f>
        <v>-1.3510151362837659E-2</v>
      </c>
      <c r="I25" s="124" t="s">
        <v>30</v>
      </c>
      <c r="J25" s="125"/>
      <c r="K25" s="33">
        <f>MEDIAN(M22,O22:P22,R22:T22,Y22:Z22,AB22,AD22,AH22)</f>
        <v>-1.2664393570384957E-2</v>
      </c>
      <c r="AG25" s="118" t="s">
        <v>27</v>
      </c>
      <c r="AH25" s="119"/>
      <c r="AI25" s="119"/>
      <c r="AJ25" s="119"/>
      <c r="AK25" s="46">
        <f>AVERAGE(AJ18,AB18,L18)</f>
        <v>0.23846327704579232</v>
      </c>
    </row>
    <row r="26" spans="1:38" x14ac:dyDescent="0.2">
      <c r="AG26" s="120" t="s">
        <v>28</v>
      </c>
      <c r="AH26" s="121"/>
      <c r="AI26" s="121"/>
      <c r="AJ26" s="121"/>
      <c r="AK26" s="47">
        <f>_xlfn.STDEV.S(AJ18,AB18,X18,L18,T18)</f>
        <v>4.3144420841859862E-3</v>
      </c>
    </row>
    <row r="29" spans="1:38" ht="18" customHeight="1" x14ac:dyDescent="0.2"/>
  </sheetData>
  <mergeCells count="28">
    <mergeCell ref="P4:Q4"/>
    <mergeCell ref="H10:I10"/>
    <mergeCell ref="A1:C3"/>
    <mergeCell ref="K1:L1"/>
    <mergeCell ref="P1:Q1"/>
    <mergeCell ref="P2:Q2"/>
    <mergeCell ref="P3:Q3"/>
    <mergeCell ref="F21:G21"/>
    <mergeCell ref="V11:Y11"/>
    <mergeCell ref="F24:G24"/>
    <mergeCell ref="F25:G25"/>
    <mergeCell ref="AG10:AI10"/>
    <mergeCell ref="B11:E11"/>
    <mergeCell ref="F23:G23"/>
    <mergeCell ref="AG24:AJ24"/>
    <mergeCell ref="AG25:AJ25"/>
    <mergeCell ref="AG26:AJ26"/>
    <mergeCell ref="I24:J24"/>
    <mergeCell ref="I25:J25"/>
    <mergeCell ref="F22:G22"/>
    <mergeCell ref="F11:I11"/>
    <mergeCell ref="J11:M11"/>
    <mergeCell ref="N11:Q11"/>
    <mergeCell ref="R11:U11"/>
    <mergeCell ref="Z11:AC11"/>
    <mergeCell ref="AD11:AG11"/>
    <mergeCell ref="AH11:AK11"/>
    <mergeCell ref="F20:G20"/>
  </mergeCells>
  <conditionalFormatting sqref="H20:AI20 AK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1:AI21 AK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2:AI22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I23:AI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conditionalFormatting sqref="AK22:A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K20:AK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K20:AK21 AK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H22:AI22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I23:AI23</xm:sqref>
        </x14:conditionalFormatting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AK22:AK23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AK20:AK21 AK24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V48"/>
  <sheetViews>
    <sheetView zoomScale="85" zoomScaleNormal="85" workbookViewId="0">
      <selection activeCell="G23" sqref="G23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65" t="s">
        <v>76</v>
      </c>
      <c r="B4" s="165"/>
      <c r="T4" s="70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09" t="s">
        <v>0</v>
      </c>
      <c r="S5" s="17" t="s">
        <v>72</v>
      </c>
      <c r="T5" s="36" t="s">
        <v>0</v>
      </c>
      <c r="U5" s="36" t="s">
        <v>72</v>
      </c>
    </row>
    <row r="6" spans="1:21" x14ac:dyDescent="0.2">
      <c r="A6" t="s">
        <v>173</v>
      </c>
      <c r="B6" t="s">
        <v>172</v>
      </c>
      <c r="C6" t="s">
        <v>168</v>
      </c>
      <c r="D6">
        <v>20170720</v>
      </c>
      <c r="E6">
        <v>460.71425472999999</v>
      </c>
      <c r="F6">
        <v>462.17865783325323</v>
      </c>
      <c r="G6">
        <v>402.54315794631179</v>
      </c>
      <c r="H6">
        <v>412.84775306</v>
      </c>
      <c r="I6">
        <v>286.66070729111561</v>
      </c>
      <c r="J6">
        <v>425.87035303349268</v>
      </c>
      <c r="R6" s="62">
        <v>410.6</v>
      </c>
      <c r="S6" s="6">
        <v>405.4</v>
      </c>
      <c r="T6" s="88"/>
      <c r="U6" s="87"/>
    </row>
    <row r="7" spans="1:21" x14ac:dyDescent="0.2">
      <c r="A7" t="s">
        <v>173</v>
      </c>
      <c r="B7" t="s">
        <v>172</v>
      </c>
      <c r="C7" t="s">
        <v>169</v>
      </c>
      <c r="D7">
        <v>20171026</v>
      </c>
      <c r="E7">
        <v>409.57163000000003</v>
      </c>
      <c r="F7">
        <v>404.86493999999999</v>
      </c>
      <c r="G7">
        <v>371.08155199999999</v>
      </c>
      <c r="H7">
        <v>369.62655999999998</v>
      </c>
      <c r="I7">
        <v>247.20935600000001</v>
      </c>
      <c r="J7">
        <v>380.45812258823526</v>
      </c>
      <c r="K7">
        <v>360.93105449374775</v>
      </c>
      <c r="L7">
        <v>355.65286898060094</v>
      </c>
      <c r="M7">
        <v>374.26821730278613</v>
      </c>
      <c r="N7">
        <v>363.49570089143793</v>
      </c>
      <c r="O7">
        <v>350.12471532791284</v>
      </c>
      <c r="P7">
        <v>362.70662343728702</v>
      </c>
      <c r="Q7">
        <v>361.19653007229545</v>
      </c>
      <c r="R7" s="62">
        <v>389</v>
      </c>
      <c r="S7" s="6">
        <v>381.5</v>
      </c>
      <c r="T7" s="88"/>
      <c r="U7" s="87"/>
    </row>
    <row r="8" spans="1:21" x14ac:dyDescent="0.2">
      <c r="A8" t="s">
        <v>173</v>
      </c>
      <c r="B8" t="s">
        <v>172</v>
      </c>
      <c r="C8" t="s">
        <v>167</v>
      </c>
      <c r="D8">
        <v>20180125</v>
      </c>
      <c r="E8">
        <v>466.27761600000002</v>
      </c>
      <c r="F8">
        <v>464.124483</v>
      </c>
      <c r="G8">
        <v>439.57268299999998</v>
      </c>
      <c r="H8">
        <v>436.192249</v>
      </c>
      <c r="I8">
        <v>285.994709</v>
      </c>
      <c r="J8">
        <v>441.8036960588235</v>
      </c>
      <c r="K8">
        <v>436.02709232570618</v>
      </c>
      <c r="L8">
        <v>439.05920080163031</v>
      </c>
      <c r="M8">
        <v>453.69093850561455</v>
      </c>
      <c r="N8">
        <v>451.97409884993118</v>
      </c>
      <c r="O8">
        <v>443.08991908461581</v>
      </c>
      <c r="P8">
        <v>444.75542916365595</v>
      </c>
      <c r="Q8">
        <v>444.76611312185901</v>
      </c>
      <c r="R8" s="62">
        <v>432.6</v>
      </c>
      <c r="S8" s="6">
        <v>441.6</v>
      </c>
      <c r="T8" s="88"/>
      <c r="U8" s="87"/>
    </row>
    <row r="9" spans="1:21" x14ac:dyDescent="0.2">
      <c r="A9" t="s">
        <v>173</v>
      </c>
      <c r="B9" t="s">
        <v>172</v>
      </c>
      <c r="C9" t="s">
        <v>42</v>
      </c>
      <c r="D9">
        <v>20180419</v>
      </c>
      <c r="E9">
        <v>432.95918</v>
      </c>
      <c r="F9">
        <v>435.47281800000002</v>
      </c>
      <c r="G9">
        <v>398.57201900000001</v>
      </c>
      <c r="H9">
        <v>398.02689800000002</v>
      </c>
      <c r="I9">
        <v>264.303271</v>
      </c>
      <c r="J9">
        <v>407.31923123529413</v>
      </c>
      <c r="K9">
        <v>411.34489445446593</v>
      </c>
      <c r="L9">
        <v>415.65240671434265</v>
      </c>
      <c r="M9">
        <v>401.6796567338103</v>
      </c>
      <c r="N9">
        <v>404.2389937424129</v>
      </c>
      <c r="O9">
        <v>409.40040276409445</v>
      </c>
      <c r="P9">
        <v>408.42215908761995</v>
      </c>
      <c r="Q9">
        <v>408.45641891612439</v>
      </c>
      <c r="R9" s="62">
        <v>416.5</v>
      </c>
      <c r="S9" s="9">
        <v>417.2</v>
      </c>
      <c r="T9" s="9"/>
      <c r="U9" s="62"/>
    </row>
    <row r="10" spans="1:21" x14ac:dyDescent="0.2">
      <c r="A10" t="s">
        <v>173</v>
      </c>
      <c r="B10" t="s">
        <v>172</v>
      </c>
      <c r="C10" t="s">
        <v>43</v>
      </c>
      <c r="D10">
        <v>20180719</v>
      </c>
      <c r="E10">
        <v>436.553406</v>
      </c>
      <c r="F10">
        <v>437.25705199999999</v>
      </c>
      <c r="G10">
        <v>412.35979400000002</v>
      </c>
      <c r="H10">
        <v>397.88022899999999</v>
      </c>
      <c r="I10">
        <v>261.347984</v>
      </c>
      <c r="J10">
        <v>411.62058282352933</v>
      </c>
      <c r="K10">
        <v>420.46174030078305</v>
      </c>
      <c r="L10">
        <v>418.70854654354105</v>
      </c>
      <c r="M10">
        <v>431.42525290517199</v>
      </c>
      <c r="N10">
        <v>416.84633959838561</v>
      </c>
      <c r="O10">
        <v>412.33734609360926</v>
      </c>
      <c r="P10">
        <v>421.40358194444775</v>
      </c>
      <c r="Q10">
        <v>420.19713456432311</v>
      </c>
      <c r="R10" s="62">
        <v>402.5</v>
      </c>
      <c r="S10" s="6">
        <v>408.1</v>
      </c>
      <c r="T10" s="9"/>
      <c r="U10" s="62"/>
    </row>
    <row r="11" spans="1:21" x14ac:dyDescent="0.2">
      <c r="A11" t="s">
        <v>173</v>
      </c>
      <c r="B11" t="s">
        <v>172</v>
      </c>
      <c r="C11" t="s">
        <v>44</v>
      </c>
      <c r="D11">
        <v>20181018</v>
      </c>
      <c r="E11">
        <v>423.18960199999998</v>
      </c>
      <c r="F11">
        <v>415.00336099999998</v>
      </c>
      <c r="G11">
        <v>394.58240799999999</v>
      </c>
      <c r="H11">
        <v>406.68163900000002</v>
      </c>
      <c r="I11">
        <v>270.64004399999999</v>
      </c>
      <c r="J11">
        <v>401.67459317647058</v>
      </c>
      <c r="K11">
        <v>395.51027490093617</v>
      </c>
      <c r="L11">
        <v>387.2353127606047</v>
      </c>
      <c r="M11">
        <v>390.41057059020642</v>
      </c>
      <c r="N11">
        <v>417.02526694785837</v>
      </c>
      <c r="O11">
        <v>422.50617839852941</v>
      </c>
      <c r="P11">
        <v>398.14149450893785</v>
      </c>
      <c r="Q11">
        <v>401.80484968451213</v>
      </c>
      <c r="R11" s="62">
        <v>384.4</v>
      </c>
      <c r="S11" s="6">
        <v>384.6</v>
      </c>
      <c r="T11" s="9"/>
      <c r="U11" s="62"/>
    </row>
    <row r="12" spans="1:21" x14ac:dyDescent="0.2">
      <c r="A12" t="s">
        <v>173</v>
      </c>
      <c r="B12" t="s">
        <v>172</v>
      </c>
      <c r="C12" t="s">
        <v>45</v>
      </c>
      <c r="D12">
        <v>20190124</v>
      </c>
      <c r="E12">
        <v>488.41828299999997</v>
      </c>
      <c r="F12">
        <v>489.12191799999999</v>
      </c>
      <c r="G12">
        <v>452.81627099999997</v>
      </c>
      <c r="H12">
        <v>469.96619099999998</v>
      </c>
      <c r="I12">
        <v>323.72954900000002</v>
      </c>
      <c r="J12">
        <v>466.17765888235289</v>
      </c>
      <c r="K12">
        <v>443.88064062547551</v>
      </c>
      <c r="L12">
        <v>453.28859315623714</v>
      </c>
      <c r="M12">
        <v>441.36062403116563</v>
      </c>
      <c r="N12">
        <v>444.44838351455547</v>
      </c>
      <c r="O12">
        <v>460.04420744699559</v>
      </c>
      <c r="P12">
        <v>446.36113573502348</v>
      </c>
      <c r="Q12">
        <v>448.2305974182421</v>
      </c>
      <c r="R12" s="62">
        <v>443.2</v>
      </c>
      <c r="S12" s="6">
        <v>432.8</v>
      </c>
      <c r="T12" s="9"/>
      <c r="U12" s="62"/>
    </row>
    <row r="13" spans="1:21" x14ac:dyDescent="0.2">
      <c r="A13" t="s">
        <v>173</v>
      </c>
      <c r="B13" t="s">
        <v>172</v>
      </c>
      <c r="C13" t="s">
        <v>46</v>
      </c>
      <c r="D13">
        <v>20190418</v>
      </c>
      <c r="E13">
        <v>440.27912800000001</v>
      </c>
      <c r="F13">
        <v>439.504684</v>
      </c>
      <c r="G13">
        <v>416.87361800000002</v>
      </c>
      <c r="H13">
        <v>411.01001400000001</v>
      </c>
      <c r="I13">
        <v>287.39172200000002</v>
      </c>
      <c r="J13">
        <v>418.70949988235293</v>
      </c>
      <c r="K13">
        <v>390.32294461425806</v>
      </c>
      <c r="L13">
        <v>389.07585444167313</v>
      </c>
      <c r="M13">
        <v>398.63027933022312</v>
      </c>
      <c r="N13">
        <v>378.68114658060585</v>
      </c>
      <c r="O13">
        <v>384.39683992516854</v>
      </c>
      <c r="P13">
        <v>388.91012899185927</v>
      </c>
      <c r="Q13">
        <v>388.33619898063131</v>
      </c>
      <c r="R13" s="62">
        <v>411.29999999999995</v>
      </c>
      <c r="S13" s="9">
        <v>403.8</v>
      </c>
      <c r="T13" s="9"/>
      <c r="U13" s="62"/>
    </row>
    <row r="14" spans="1:21" x14ac:dyDescent="0.2">
      <c r="A14" t="s">
        <v>173</v>
      </c>
      <c r="B14" t="s">
        <v>172</v>
      </c>
      <c r="C14" t="s">
        <v>47</v>
      </c>
      <c r="D14">
        <v>20190718</v>
      </c>
      <c r="E14">
        <v>404.84494999999998</v>
      </c>
      <c r="F14">
        <v>401.297189</v>
      </c>
      <c r="G14">
        <v>393.88335899999998</v>
      </c>
      <c r="H14">
        <v>386.95270799999997</v>
      </c>
      <c r="I14">
        <v>274.42747300000002</v>
      </c>
      <c r="J14">
        <v>389.54942923529404</v>
      </c>
      <c r="K14">
        <v>373.69245375629066</v>
      </c>
      <c r="L14">
        <v>371.07039707817995</v>
      </c>
      <c r="M14">
        <v>383.98735296700875</v>
      </c>
      <c r="N14">
        <v>382.61252810059267</v>
      </c>
      <c r="O14">
        <v>388.06728409247637</v>
      </c>
      <c r="P14">
        <v>378.09719647083602</v>
      </c>
      <c r="Q14">
        <v>379.58786874423072</v>
      </c>
      <c r="R14" s="62">
        <v>397.8</v>
      </c>
      <c r="S14" s="6">
        <v>401.9</v>
      </c>
      <c r="T14" s="9"/>
      <c r="U14" s="62"/>
    </row>
    <row r="15" spans="1:21" x14ac:dyDescent="0.2">
      <c r="A15" t="s">
        <v>173</v>
      </c>
      <c r="B15" t="s">
        <v>172</v>
      </c>
      <c r="C15" t="s">
        <v>48</v>
      </c>
      <c r="D15">
        <v>20191031</v>
      </c>
      <c r="E15">
        <v>404.39105599999999</v>
      </c>
      <c r="F15">
        <v>412.06749600000001</v>
      </c>
      <c r="G15">
        <v>393.48899399999999</v>
      </c>
      <c r="H15">
        <v>374.02079700000002</v>
      </c>
      <c r="I15">
        <v>261.40113400000001</v>
      </c>
      <c r="J15">
        <v>388.0749709411765</v>
      </c>
      <c r="K15">
        <v>405.84447466320131</v>
      </c>
      <c r="L15">
        <v>417.20457609485027</v>
      </c>
      <c r="M15">
        <v>405.8932031759179</v>
      </c>
      <c r="N15">
        <v>392.72150492638502</v>
      </c>
      <c r="O15">
        <v>387.01402444572307</v>
      </c>
      <c r="P15">
        <v>404.76214020624809</v>
      </c>
      <c r="Q15">
        <v>402.23998725205433</v>
      </c>
      <c r="R15" s="62">
        <v>383.5</v>
      </c>
      <c r="S15" s="6">
        <v>382</v>
      </c>
      <c r="T15" s="9"/>
      <c r="U15" s="62"/>
    </row>
    <row r="16" spans="1:21" x14ac:dyDescent="0.2">
      <c r="A16" t="s">
        <v>173</v>
      </c>
      <c r="B16" t="s">
        <v>172</v>
      </c>
      <c r="C16" t="s">
        <v>49</v>
      </c>
      <c r="D16">
        <v>20200130</v>
      </c>
      <c r="E16">
        <v>462.35599400000001</v>
      </c>
      <c r="F16">
        <v>455.394677</v>
      </c>
      <c r="G16">
        <v>456.467533</v>
      </c>
      <c r="H16">
        <v>449.73030199999999</v>
      </c>
      <c r="I16">
        <v>297.527129</v>
      </c>
      <c r="J16">
        <v>446.66595017647057</v>
      </c>
      <c r="K16">
        <v>442.01478897297864</v>
      </c>
      <c r="L16">
        <v>427.2493798642152</v>
      </c>
      <c r="M16">
        <v>448.47594455920154</v>
      </c>
      <c r="N16">
        <v>464.855794511341</v>
      </c>
      <c r="O16">
        <v>440.02864988106739</v>
      </c>
      <c r="P16">
        <v>444.96829032655677</v>
      </c>
      <c r="Q16">
        <v>444.59880801922674</v>
      </c>
      <c r="R16" s="62">
        <v>430.7</v>
      </c>
      <c r="S16" s="6">
        <v>434.5</v>
      </c>
      <c r="T16" s="9"/>
      <c r="U16" s="62"/>
    </row>
    <row r="17" spans="1:22" x14ac:dyDescent="0.2">
      <c r="A17" t="s">
        <v>173</v>
      </c>
      <c r="B17" t="s">
        <v>172</v>
      </c>
      <c r="C17" t="s">
        <v>50</v>
      </c>
      <c r="D17">
        <v>20200430</v>
      </c>
      <c r="E17">
        <v>429.31985700000001</v>
      </c>
      <c r="F17">
        <v>427.40334300000001</v>
      </c>
      <c r="G17">
        <v>398.86892699999999</v>
      </c>
      <c r="H17">
        <v>392.12315000000001</v>
      </c>
      <c r="I17">
        <v>267.94213500000001</v>
      </c>
      <c r="J17">
        <v>403.45901429411754</v>
      </c>
      <c r="K17">
        <v>401.96854481635637</v>
      </c>
      <c r="L17">
        <v>406.29132602860881</v>
      </c>
      <c r="M17">
        <v>378.27522444690493</v>
      </c>
      <c r="N17">
        <v>377.44868620171383</v>
      </c>
      <c r="O17">
        <v>389.85402988747285</v>
      </c>
      <c r="P17">
        <v>391.02467340283971</v>
      </c>
      <c r="Q17">
        <v>390.81041413064941</v>
      </c>
      <c r="R17" s="62">
        <v>387</v>
      </c>
      <c r="S17" s="9">
        <v>360.1</v>
      </c>
      <c r="T17" s="9"/>
      <c r="U17" s="62"/>
    </row>
    <row r="18" spans="1:22" x14ac:dyDescent="0.2">
      <c r="A18" t="s">
        <v>173</v>
      </c>
      <c r="B18" t="s">
        <v>172</v>
      </c>
      <c r="C18" t="s">
        <v>51</v>
      </c>
      <c r="D18">
        <v>20200730</v>
      </c>
      <c r="E18">
        <v>267.41128700000002</v>
      </c>
      <c r="F18">
        <v>269.13682799999998</v>
      </c>
      <c r="G18">
        <v>210.80734899999999</v>
      </c>
      <c r="H18">
        <v>251.05880500000001</v>
      </c>
      <c r="I18">
        <v>173.523717</v>
      </c>
      <c r="J18">
        <v>245.12828194117645</v>
      </c>
      <c r="K18">
        <v>231.02319804485541</v>
      </c>
      <c r="L18">
        <v>233.55654825844445</v>
      </c>
      <c r="M18">
        <v>196.0254119872817</v>
      </c>
      <c r="N18">
        <v>237.47057722682274</v>
      </c>
      <c r="O18">
        <v>240.20091739322746</v>
      </c>
      <c r="P18">
        <v>225.3465074539244</v>
      </c>
      <c r="Q18">
        <v>227.27052672742604</v>
      </c>
      <c r="R18" s="62">
        <v>155.30000000000001</v>
      </c>
      <c r="S18" s="6">
        <v>216.7</v>
      </c>
      <c r="T18" s="9"/>
      <c r="U18" s="62"/>
    </row>
    <row r="19" spans="1:22" x14ac:dyDescent="0.2">
      <c r="A19" t="s">
        <v>173</v>
      </c>
      <c r="B19" t="s">
        <v>172</v>
      </c>
      <c r="C19" t="s">
        <v>52</v>
      </c>
      <c r="D19">
        <v>20201029</v>
      </c>
      <c r="E19">
        <v>338.18037199999998</v>
      </c>
      <c r="F19">
        <v>349.21655900000002</v>
      </c>
      <c r="G19">
        <v>380.84588000000002</v>
      </c>
      <c r="H19">
        <v>323.48848600000002</v>
      </c>
      <c r="I19">
        <v>223.02063100000001</v>
      </c>
      <c r="J19">
        <v>340.58504817647065</v>
      </c>
      <c r="K19">
        <v>273.1633401547482</v>
      </c>
      <c r="L19">
        <v>280.26924930541281</v>
      </c>
      <c r="M19">
        <v>390.22695589232046</v>
      </c>
      <c r="N19">
        <v>278.31532527210112</v>
      </c>
      <c r="O19">
        <v>277.61309594353611</v>
      </c>
      <c r="P19">
        <v>300.11376012406197</v>
      </c>
      <c r="Q19">
        <v>299.9502877820301</v>
      </c>
      <c r="R19" s="62">
        <v>343</v>
      </c>
      <c r="S19" s="6">
        <v>395.2</v>
      </c>
      <c r="T19" s="9"/>
      <c r="U19" s="62"/>
    </row>
    <row r="20" spans="1:22" x14ac:dyDescent="0.2">
      <c r="A20" t="s">
        <v>173</v>
      </c>
      <c r="B20" t="s">
        <v>172</v>
      </c>
      <c r="C20" t="s">
        <v>53</v>
      </c>
      <c r="D20">
        <v>20210128</v>
      </c>
      <c r="E20">
        <v>345.014543</v>
      </c>
      <c r="F20">
        <v>345.832943</v>
      </c>
      <c r="G20">
        <v>387.16457200000002</v>
      </c>
      <c r="H20">
        <v>331.031046</v>
      </c>
      <c r="I20">
        <v>222.21209400000001</v>
      </c>
      <c r="J20">
        <v>344.61085352941177</v>
      </c>
      <c r="K20">
        <v>405.32889925941657</v>
      </c>
      <c r="L20">
        <v>393.4504957249178</v>
      </c>
      <c r="M20">
        <v>403.89168567505573</v>
      </c>
      <c r="N20">
        <v>406.56357263918193</v>
      </c>
      <c r="O20">
        <v>395.85963213510951</v>
      </c>
      <c r="P20">
        <v>401.99619108439185</v>
      </c>
      <c r="Q20">
        <v>401.18174608634558</v>
      </c>
      <c r="R20" s="62">
        <v>437</v>
      </c>
      <c r="S20" s="6">
        <v>432.7</v>
      </c>
    </row>
    <row r="21" spans="1:22" x14ac:dyDescent="0.2">
      <c r="A21" t="s">
        <v>173</v>
      </c>
      <c r="B21" t="s">
        <v>172</v>
      </c>
      <c r="C21" t="s">
        <v>54</v>
      </c>
      <c r="D21">
        <v>20210429</v>
      </c>
      <c r="E21">
        <v>354.07458100000002</v>
      </c>
      <c r="F21">
        <v>340.73574400000001</v>
      </c>
      <c r="G21">
        <v>337.16785399999998</v>
      </c>
      <c r="H21">
        <v>339.69708200000002</v>
      </c>
      <c r="I21">
        <v>200.304025</v>
      </c>
      <c r="J21">
        <v>334.52970994117646</v>
      </c>
      <c r="K21">
        <v>446.21779267664095</v>
      </c>
      <c r="L21">
        <v>428.39152397115623</v>
      </c>
      <c r="M21">
        <v>378.65185381476482</v>
      </c>
      <c r="N21">
        <v>446.18259537384904</v>
      </c>
      <c r="O21">
        <v>391.93271843250801</v>
      </c>
      <c r="P21">
        <v>422.08048989962936</v>
      </c>
      <c r="Q21">
        <v>418.90949569475805</v>
      </c>
      <c r="R21" s="62">
        <v>363.40000000000003</v>
      </c>
      <c r="S21" s="9">
        <v>358.8</v>
      </c>
    </row>
    <row r="22" spans="1:22" x14ac:dyDescent="0.2">
      <c r="A22" t="s">
        <v>173</v>
      </c>
      <c r="B22" t="s">
        <v>172</v>
      </c>
      <c r="C22" t="s">
        <v>55</v>
      </c>
      <c r="D22">
        <v>20210729</v>
      </c>
      <c r="E22">
        <v>420.18491499999999</v>
      </c>
      <c r="F22">
        <v>402.72888799999998</v>
      </c>
      <c r="G22">
        <v>395.28070400000001</v>
      </c>
      <c r="H22">
        <v>414.193375</v>
      </c>
      <c r="I22">
        <v>220.289534</v>
      </c>
      <c r="J22">
        <v>397.0494742352941</v>
      </c>
      <c r="K22">
        <v>425.79263124793471</v>
      </c>
      <c r="L22">
        <v>424.07973791678285</v>
      </c>
      <c r="M22">
        <v>420.64127677842038</v>
      </c>
      <c r="N22">
        <v>437.48560357077196</v>
      </c>
      <c r="O22">
        <v>394.59958330442936</v>
      </c>
      <c r="P22">
        <v>425.85560302154886</v>
      </c>
      <c r="Q22">
        <v>421.40907263998133</v>
      </c>
      <c r="R22" s="62">
        <v>392.2</v>
      </c>
      <c r="S22" s="6">
        <v>400.3</v>
      </c>
    </row>
    <row r="23" spans="1:22" x14ac:dyDescent="0.2">
      <c r="A23" t="s">
        <v>173</v>
      </c>
      <c r="B23" t="s">
        <v>172</v>
      </c>
      <c r="C23" t="s">
        <v>71</v>
      </c>
      <c r="D23" s="12">
        <v>20211028</v>
      </c>
      <c r="E23">
        <v>453.60458499999999</v>
      </c>
      <c r="F23">
        <v>430.96909900000003</v>
      </c>
      <c r="G23">
        <v>387.12872399999998</v>
      </c>
      <c r="H23">
        <v>429.58436699999999</v>
      </c>
      <c r="I23">
        <v>231.99519699999999</v>
      </c>
      <c r="J23">
        <f>AVERAGE(E23:H23)</f>
        <v>425.32169374999995</v>
      </c>
      <c r="K23" s="89">
        <f t="shared" ref="K23:P23" si="0">(E23/E22)*$S21</f>
        <v>387.33738239508199</v>
      </c>
      <c r="L23" s="89">
        <f t="shared" si="0"/>
        <v>383.95982341649159</v>
      </c>
      <c r="M23" s="89">
        <f t="shared" si="0"/>
        <v>351.40037134522004</v>
      </c>
      <c r="N23" s="89">
        <f t="shared" si="0"/>
        <v>372.13263220253106</v>
      </c>
      <c r="O23" s="89">
        <f t="shared" si="0"/>
        <v>377.86578042150654</v>
      </c>
      <c r="P23" s="89">
        <f t="shared" si="0"/>
        <v>384.34863567421581</v>
      </c>
      <c r="Q23" s="89">
        <f>AVERAGE(K23:P23)</f>
        <v>376.17410424250784</v>
      </c>
      <c r="R23" s="103">
        <f>'1. Data &amp; Confidence Interval'!AJ14</f>
        <v>392.6</v>
      </c>
      <c r="S23" s="10"/>
    </row>
    <row r="24" spans="1:22" x14ac:dyDescent="0.2">
      <c r="A24" s="163" t="s">
        <v>75</v>
      </c>
      <c r="B24" s="164"/>
      <c r="C24" s="164"/>
      <c r="D24" s="164"/>
      <c r="E24" s="98">
        <f t="shared" ref="E24:Q24" si="1">CORREL(E$8:E$22,$S$8:$S$22)</f>
        <v>0.73728825971448808</v>
      </c>
      <c r="F24" s="98">
        <f t="shared" si="1"/>
        <v>0.74363913966905437</v>
      </c>
      <c r="G24" s="99">
        <f t="shared" si="1"/>
        <v>0.93402893420476263</v>
      </c>
      <c r="H24" s="98">
        <f t="shared" si="1"/>
        <v>0.75704928238431624</v>
      </c>
      <c r="I24" s="98">
        <f t="shared" si="1"/>
        <v>0.68091671693820977</v>
      </c>
      <c r="J24" s="98">
        <f>CORREL(J$8:J$22,$S$8:$S$22)</f>
        <v>0.80918609046438861</v>
      </c>
      <c r="K24" s="98">
        <f t="shared" si="1"/>
        <v>0.71168143759594038</v>
      </c>
      <c r="L24" s="98">
        <f t="shared" si="1"/>
        <v>0.72338165032345592</v>
      </c>
      <c r="M24" s="99">
        <f t="shared" si="1"/>
        <v>0.95745852284345112</v>
      </c>
      <c r="N24" s="98">
        <f t="shared" si="1"/>
        <v>0.72518887098962614</v>
      </c>
      <c r="O24" s="98">
        <f t="shared" si="1"/>
        <v>0.77076525542836827</v>
      </c>
      <c r="P24" s="98">
        <f t="shared" si="1"/>
        <v>0.80650604257558678</v>
      </c>
      <c r="Q24" s="98">
        <f t="shared" si="1"/>
        <v>0.80941139032671217</v>
      </c>
      <c r="R24" s="99">
        <f>CORREL(R$8:R$22,$S$8:$S$22)</f>
        <v>0.96240098057007917</v>
      </c>
      <c r="S24" s="5"/>
    </row>
    <row r="26" spans="1:22" x14ac:dyDescent="0.2">
      <c r="A26" s="166" t="s">
        <v>77</v>
      </c>
      <c r="B26" s="167"/>
    </row>
    <row r="27" spans="1:22" x14ac:dyDescent="0.2">
      <c r="A27" s="17" t="s">
        <v>56</v>
      </c>
      <c r="B27" s="17" t="s">
        <v>57</v>
      </c>
      <c r="C27" s="17" t="s">
        <v>68</v>
      </c>
      <c r="D27" s="17" t="s">
        <v>58</v>
      </c>
      <c r="E27" s="17" t="s">
        <v>59</v>
      </c>
      <c r="F27" s="17" t="s">
        <v>69</v>
      </c>
      <c r="G27" s="17" t="s">
        <v>60</v>
      </c>
      <c r="H27" s="17" t="s">
        <v>61</v>
      </c>
      <c r="I27" s="17" t="s">
        <v>70</v>
      </c>
      <c r="J27" s="17" t="s">
        <v>62</v>
      </c>
      <c r="K27" s="17" t="s">
        <v>63</v>
      </c>
      <c r="L27" s="17" t="s">
        <v>73</v>
      </c>
      <c r="M27" s="17" t="s">
        <v>64</v>
      </c>
      <c r="N27" s="17" t="s">
        <v>65</v>
      </c>
      <c r="O27" s="17" t="s">
        <v>74</v>
      </c>
      <c r="P27" s="17" t="s">
        <v>66</v>
      </c>
      <c r="Q27" s="17" t="s">
        <v>67</v>
      </c>
      <c r="R27" s="17" t="s">
        <v>0</v>
      </c>
    </row>
    <row r="28" spans="1:22" x14ac:dyDescent="0.2">
      <c r="A28" s="9" t="str">
        <f t="shared" ref="A28:D28" si="2">A6</f>
        <v>ZBH_KNEE</v>
      </c>
      <c r="B28" s="9" t="str">
        <f t="shared" si="2"/>
        <v>Americas Revenue - Knee</v>
      </c>
      <c r="C28" s="9" t="str">
        <f t="shared" si="2"/>
        <v>2017Q2</v>
      </c>
      <c r="D28" s="9">
        <f t="shared" si="2"/>
        <v>20170720</v>
      </c>
      <c r="E28" s="18">
        <f t="shared" ref="E28:R28" si="3">$S6/E6-1</f>
        <v>-0.12006195632565519</v>
      </c>
      <c r="F28" s="18">
        <f t="shared" si="3"/>
        <v>-0.12285002102744891</v>
      </c>
      <c r="G28" s="18">
        <f t="shared" si="3"/>
        <v>7.0969832607841177E-3</v>
      </c>
      <c r="H28" s="18">
        <f t="shared" si="3"/>
        <v>-1.8039950574510244E-2</v>
      </c>
      <c r="I28" s="18">
        <f t="shared" si="3"/>
        <v>0.41421544595681126</v>
      </c>
      <c r="J28" s="18">
        <f t="shared" si="3"/>
        <v>-4.8067100439562194E-2</v>
      </c>
      <c r="K28" s="18"/>
      <c r="L28" s="18"/>
      <c r="M28" s="18"/>
      <c r="N28" s="18"/>
      <c r="O28" s="18"/>
      <c r="P28" s="18"/>
      <c r="Q28" s="18"/>
      <c r="R28" s="40">
        <f t="shared" si="3"/>
        <v>-1.2664393570384957E-2</v>
      </c>
    </row>
    <row r="29" spans="1:22" x14ac:dyDescent="0.2">
      <c r="A29" s="9" t="str">
        <f t="shared" ref="A29:D29" si="4">A7</f>
        <v>ZBH_KNEE</v>
      </c>
      <c r="B29" s="9" t="str">
        <f t="shared" si="4"/>
        <v>Americas Revenue - Knee</v>
      </c>
      <c r="C29" s="9" t="str">
        <f t="shared" si="4"/>
        <v>2017Q3</v>
      </c>
      <c r="D29" s="9">
        <f t="shared" si="4"/>
        <v>20171026</v>
      </c>
      <c r="E29" s="18">
        <f t="shared" ref="E29:R29" si="5">$S7/E7-1</f>
        <v>-6.8539000125570237E-2</v>
      </c>
      <c r="F29" s="18">
        <f t="shared" si="5"/>
        <v>-5.7710455244655123E-2</v>
      </c>
      <c r="G29" s="18">
        <f t="shared" si="5"/>
        <v>2.8075898529172916E-2</v>
      </c>
      <c r="H29" s="18">
        <f t="shared" si="5"/>
        <v>3.2122799833431914E-2</v>
      </c>
      <c r="I29" s="18">
        <f t="shared" si="5"/>
        <v>0.54322638177173199</v>
      </c>
      <c r="J29" s="18">
        <f t="shared" si="5"/>
        <v>2.7384811886177474E-3</v>
      </c>
      <c r="K29" s="18">
        <f t="shared" si="5"/>
        <v>5.69885723330259E-2</v>
      </c>
      <c r="L29" s="18">
        <f t="shared" si="5"/>
        <v>7.2675165234808992E-2</v>
      </c>
      <c r="M29" s="18">
        <f t="shared" si="5"/>
        <v>1.9322460104495898E-2</v>
      </c>
      <c r="N29" s="18">
        <f t="shared" si="5"/>
        <v>4.9530982249331279E-2</v>
      </c>
      <c r="O29" s="18">
        <f t="shared" si="5"/>
        <v>8.961173918471399E-2</v>
      </c>
      <c r="P29" s="18">
        <f t="shared" si="5"/>
        <v>5.1814263507549141E-2</v>
      </c>
      <c r="Q29" s="18">
        <f t="shared" si="5"/>
        <v>5.621169706043605E-2</v>
      </c>
      <c r="R29" s="40">
        <f t="shared" si="5"/>
        <v>-1.9280205655527016E-2</v>
      </c>
    </row>
    <row r="30" spans="1:22" x14ac:dyDescent="0.2">
      <c r="A30" s="9" t="str">
        <f>A8</f>
        <v>ZBH_KNEE</v>
      </c>
      <c r="B30" s="9" t="str">
        <f t="shared" ref="B30:D31" si="6">B8</f>
        <v>Americas Revenue - Knee</v>
      </c>
      <c r="C30" s="9" t="str">
        <f t="shared" si="6"/>
        <v>2017Q4</v>
      </c>
      <c r="D30" s="9">
        <f t="shared" si="6"/>
        <v>20180125</v>
      </c>
      <c r="E30" s="18">
        <f t="shared" ref="E30:R31" si="7">$S8/E8-1</f>
        <v>-5.2924728001526034E-2</v>
      </c>
      <c r="F30" s="18">
        <f t="shared" si="7"/>
        <v>-4.8531124353549671E-2</v>
      </c>
      <c r="G30" s="18">
        <f t="shared" si="7"/>
        <v>4.612017712665839E-3</v>
      </c>
      <c r="H30" s="18">
        <f t="shared" si="7"/>
        <v>1.2397632035868744E-2</v>
      </c>
      <c r="I30" s="18">
        <f t="shared" si="7"/>
        <v>0.54408450961937205</v>
      </c>
      <c r="J30" s="18">
        <f t="shared" si="7"/>
        <v>-4.6105557884779103E-4</v>
      </c>
      <c r="K30" s="18">
        <f t="shared" si="7"/>
        <v>1.278110413866429E-2</v>
      </c>
      <c r="L30" s="18">
        <f t="shared" si="7"/>
        <v>5.7869171030484612E-3</v>
      </c>
      <c r="M30" s="18">
        <f t="shared" si="7"/>
        <v>-2.6650165298518269E-2</v>
      </c>
      <c r="N30" s="18">
        <f t="shared" si="7"/>
        <v>-2.295286140583841E-2</v>
      </c>
      <c r="O30" s="18">
        <f t="shared" si="7"/>
        <v>-3.3625659723738321E-3</v>
      </c>
      <c r="P30" s="18">
        <f t="shared" si="7"/>
        <v>-7.0947513099268722E-3</v>
      </c>
      <c r="Q30" s="18">
        <f t="shared" si="7"/>
        <v>-7.118602403487384E-3</v>
      </c>
      <c r="R30" s="40">
        <f t="shared" si="7"/>
        <v>2.0804438280166426E-2</v>
      </c>
      <c r="V30" s="103"/>
    </row>
    <row r="31" spans="1:22" x14ac:dyDescent="0.2">
      <c r="A31" s="9" t="str">
        <f>A9</f>
        <v>ZBH_KNEE</v>
      </c>
      <c r="B31" s="9" t="str">
        <f t="shared" si="6"/>
        <v>Americas Revenue - Knee</v>
      </c>
      <c r="C31" s="9" t="str">
        <f t="shared" si="6"/>
        <v>2018Q1</v>
      </c>
      <c r="D31" s="9">
        <f t="shared" si="6"/>
        <v>20180419</v>
      </c>
      <c r="E31" s="18">
        <f t="shared" ref="E31:E41" si="8">$S9/E9-1</f>
        <v>-3.6398766276303451E-2</v>
      </c>
      <c r="F31" s="18">
        <f t="shared" si="7"/>
        <v>-4.1960869300457726E-2</v>
      </c>
      <c r="G31" s="18">
        <f t="shared" si="7"/>
        <v>4.6736800658352173E-2</v>
      </c>
      <c r="H31" s="18">
        <f t="shared" si="7"/>
        <v>4.8170367621737986E-2</v>
      </c>
      <c r="I31" s="18">
        <f t="shared" si="7"/>
        <v>0.57848973424169237</v>
      </c>
      <c r="J31" s="18">
        <f t="shared" si="7"/>
        <v>2.4258046286545376E-2</v>
      </c>
      <c r="K31" s="18">
        <f t="shared" ref="K31:Q31" si="9">$S9/K9-1</f>
        <v>1.4234054255855666E-2</v>
      </c>
      <c r="L31" s="18">
        <f t="shared" si="9"/>
        <v>3.7232872002133099E-3</v>
      </c>
      <c r="M31" s="18">
        <f t="shared" si="9"/>
        <v>3.8638609165300375E-2</v>
      </c>
      <c r="N31" s="18">
        <f t="shared" si="9"/>
        <v>3.2062731350073648E-2</v>
      </c>
      <c r="O31" s="18">
        <f t="shared" si="9"/>
        <v>1.9051269083386391E-2</v>
      </c>
      <c r="P31" s="18">
        <f t="shared" si="9"/>
        <v>2.1492078030215023E-2</v>
      </c>
      <c r="Q31" s="18">
        <f t="shared" si="9"/>
        <v>2.1406399015781119E-2</v>
      </c>
      <c r="R31" s="40">
        <f>$S9/R9-1</f>
        <v>1.6806722689075571E-3</v>
      </c>
    </row>
    <row r="32" spans="1:22" x14ac:dyDescent="0.2">
      <c r="A32" s="9" t="str">
        <f t="shared" ref="A32:D32" si="10">A10</f>
        <v>ZBH_KNEE</v>
      </c>
      <c r="B32" s="9" t="str">
        <f t="shared" si="10"/>
        <v>Americas Revenue - Knee</v>
      </c>
      <c r="C32" s="9" t="str">
        <f t="shared" si="10"/>
        <v>2018Q2</v>
      </c>
      <c r="D32" s="9">
        <f t="shared" si="10"/>
        <v>20180719</v>
      </c>
      <c r="E32" s="18">
        <f t="shared" si="8"/>
        <v>-6.5177377175245299E-2</v>
      </c>
      <c r="F32" s="18">
        <f t="shared" ref="F32:J32" si="11">$S10/F10-1</f>
        <v>-6.6681719292202457E-2</v>
      </c>
      <c r="G32" s="18">
        <f t="shared" si="11"/>
        <v>-1.0330284528175859E-2</v>
      </c>
      <c r="H32" s="18">
        <f t="shared" si="11"/>
        <v>2.5685546189831099E-2</v>
      </c>
      <c r="I32" s="18">
        <f t="shared" si="11"/>
        <v>0.56151960215618124</v>
      </c>
      <c r="J32" s="18">
        <f t="shared" si="11"/>
        <v>-8.5529805127326775E-3</v>
      </c>
      <c r="K32" s="18">
        <f t="shared" ref="K32:Q32" si="12">$S10/K10-1</f>
        <v>-2.9400392749028503E-2</v>
      </c>
      <c r="L32" s="18">
        <f t="shared" si="12"/>
        <v>-2.5336350621727455E-2</v>
      </c>
      <c r="M32" s="18">
        <f t="shared" si="12"/>
        <v>-5.4065571609687169E-2</v>
      </c>
      <c r="N32" s="18">
        <f t="shared" si="12"/>
        <v>-2.0982167210133906E-2</v>
      </c>
      <c r="O32" s="18">
        <f t="shared" si="12"/>
        <v>-1.0276406281780948E-2</v>
      </c>
      <c r="P32" s="18">
        <f t="shared" si="12"/>
        <v>-3.1569693553771261E-2</v>
      </c>
      <c r="Q32" s="18">
        <f t="shared" si="12"/>
        <v>-2.8789188619446127E-2</v>
      </c>
      <c r="R32" s="40">
        <f t="shared" ref="R32:R39" si="13">$S10/R10-1</f>
        <v>1.3913043478260834E-2</v>
      </c>
    </row>
    <row r="33" spans="1:18" x14ac:dyDescent="0.2">
      <c r="A33" s="9" t="str">
        <f t="shared" ref="A33:D33" si="14">A11</f>
        <v>ZBH_KNEE</v>
      </c>
      <c r="B33" s="9" t="str">
        <f t="shared" si="14"/>
        <v>Americas Revenue - Knee</v>
      </c>
      <c r="C33" s="9" t="str">
        <f t="shared" si="14"/>
        <v>2018Q3</v>
      </c>
      <c r="D33" s="9">
        <f t="shared" si="14"/>
        <v>20181018</v>
      </c>
      <c r="E33" s="18">
        <f t="shared" si="8"/>
        <v>-9.1187500396098908E-2</v>
      </c>
      <c r="F33" s="18">
        <f t="shared" ref="F33:J33" si="15">$S11/F11-1</f>
        <v>-7.3260517521447133E-2</v>
      </c>
      <c r="G33" s="18">
        <f t="shared" si="15"/>
        <v>-2.5298664607470212E-2</v>
      </c>
      <c r="H33" s="18">
        <f t="shared" si="15"/>
        <v>-5.4297113226692728E-2</v>
      </c>
      <c r="I33" s="18">
        <f t="shared" si="15"/>
        <v>0.42107573704059864</v>
      </c>
      <c r="J33" s="18">
        <f t="shared" si="15"/>
        <v>-4.2508521740057037E-2</v>
      </c>
      <c r="K33" s="18">
        <f t="shared" ref="K33:Q33" si="16">$S11/K11-1</f>
        <v>-2.7585313437606285E-2</v>
      </c>
      <c r="L33" s="18">
        <f t="shared" si="16"/>
        <v>-6.8054556848586856E-3</v>
      </c>
      <c r="M33" s="18">
        <f t="shared" si="16"/>
        <v>-1.4883230701008499E-2</v>
      </c>
      <c r="N33" s="18">
        <f t="shared" si="16"/>
        <v>-7.7753722658518321E-2</v>
      </c>
      <c r="O33" s="18">
        <f t="shared" si="16"/>
        <v>-8.9717453463542873E-2</v>
      </c>
      <c r="P33" s="18">
        <f t="shared" si="16"/>
        <v>-3.4011763897254021E-2</v>
      </c>
      <c r="Q33" s="18">
        <f t="shared" si="16"/>
        <v>-4.2818919925981413E-2</v>
      </c>
      <c r="R33" s="40">
        <f t="shared" si="13"/>
        <v>5.2029136316344982E-4</v>
      </c>
    </row>
    <row r="34" spans="1:18" x14ac:dyDescent="0.2">
      <c r="A34" s="9" t="str">
        <f t="shared" ref="A34:D34" si="17">A12</f>
        <v>ZBH_KNEE</v>
      </c>
      <c r="B34" s="9" t="str">
        <f t="shared" si="17"/>
        <v>Americas Revenue - Knee</v>
      </c>
      <c r="C34" s="9" t="str">
        <f t="shared" si="17"/>
        <v>2018Q4</v>
      </c>
      <c r="D34" s="9">
        <f t="shared" si="17"/>
        <v>20190124</v>
      </c>
      <c r="E34" s="18">
        <f t="shared" si="8"/>
        <v>-0.11387428549639278</v>
      </c>
      <c r="F34" s="18">
        <f t="shared" ref="F34:J34" si="18">$S12/F12-1</f>
        <v>-0.11514903734082915</v>
      </c>
      <c r="G34" s="18">
        <f t="shared" si="18"/>
        <v>-4.420395706142799E-2</v>
      </c>
      <c r="H34" s="18">
        <f t="shared" si="18"/>
        <v>-7.9082690865309391E-2</v>
      </c>
      <c r="I34" s="18">
        <f t="shared" si="18"/>
        <v>0.33691842878389822</v>
      </c>
      <c r="J34" s="18">
        <f t="shared" si="18"/>
        <v>-7.1598581026758867E-2</v>
      </c>
      <c r="K34" s="18">
        <f t="shared" ref="K34:Q34" si="19">$S12/K12-1</f>
        <v>-2.4963108573200388E-2</v>
      </c>
      <c r="L34" s="18">
        <f t="shared" si="19"/>
        <v>-4.5199886927609567E-2</v>
      </c>
      <c r="M34" s="18">
        <f t="shared" si="19"/>
        <v>-1.9395984972508828E-2</v>
      </c>
      <c r="N34" s="18">
        <f t="shared" si="19"/>
        <v>-2.6208630623074325E-2</v>
      </c>
      <c r="O34" s="18">
        <f t="shared" si="19"/>
        <v>-5.9220846618603606E-2</v>
      </c>
      <c r="P34" s="18">
        <f t="shared" si="19"/>
        <v>-3.0381533357944135E-2</v>
      </c>
      <c r="Q34" s="18">
        <f t="shared" si="19"/>
        <v>-3.4425578055404027E-2</v>
      </c>
      <c r="R34" s="40">
        <f t="shared" si="13"/>
        <v>-2.3465703971119134E-2</v>
      </c>
    </row>
    <row r="35" spans="1:18" x14ac:dyDescent="0.2">
      <c r="A35" s="9" t="str">
        <f t="shared" ref="A35:D35" si="20">A13</f>
        <v>ZBH_KNEE</v>
      </c>
      <c r="B35" s="9" t="str">
        <f t="shared" si="20"/>
        <v>Americas Revenue - Knee</v>
      </c>
      <c r="C35" s="9" t="str">
        <f t="shared" si="20"/>
        <v>2019Q1</v>
      </c>
      <c r="D35" s="9">
        <f t="shared" si="20"/>
        <v>20190418</v>
      </c>
      <c r="E35" s="18">
        <f t="shared" si="8"/>
        <v>-8.2854547672312151E-2</v>
      </c>
      <c r="F35" s="18">
        <f t="shared" ref="F35:J35" si="21">$S13/F13-1</f>
        <v>-8.1238460703185522E-2</v>
      </c>
      <c r="G35" s="18">
        <f t="shared" si="21"/>
        <v>-3.1361106665185989E-2</v>
      </c>
      <c r="H35" s="18">
        <f t="shared" si="21"/>
        <v>-1.7542185723971149E-2</v>
      </c>
      <c r="I35" s="18">
        <f t="shared" si="21"/>
        <v>0.40505090818169065</v>
      </c>
      <c r="J35" s="18">
        <f t="shared" si="21"/>
        <v>-3.5608219747920944E-2</v>
      </c>
      <c r="K35" s="18">
        <f t="shared" ref="K35:Q35" si="22">$S13/K13-1</f>
        <v>3.4527960940294866E-2</v>
      </c>
      <c r="L35" s="18">
        <f t="shared" si="22"/>
        <v>3.7843894423765123E-2</v>
      </c>
      <c r="M35" s="18">
        <f t="shared" si="22"/>
        <v>1.2968710451356058E-2</v>
      </c>
      <c r="N35" s="18">
        <f t="shared" si="22"/>
        <v>6.6332463726306301E-2</v>
      </c>
      <c r="O35" s="18">
        <f t="shared" si="22"/>
        <v>5.047689798544841E-2</v>
      </c>
      <c r="P35" s="18">
        <f t="shared" si="22"/>
        <v>3.8286148645031659E-2</v>
      </c>
      <c r="Q35" s="18">
        <f t="shared" si="22"/>
        <v>3.9820652980486093E-2</v>
      </c>
      <c r="R35" s="40">
        <f t="shared" si="13"/>
        <v>-1.8234865061998451E-2</v>
      </c>
    </row>
    <row r="36" spans="1:18" x14ac:dyDescent="0.2">
      <c r="A36" s="9" t="str">
        <f t="shared" ref="A36:D36" si="23">A14</f>
        <v>ZBH_KNEE</v>
      </c>
      <c r="B36" s="9" t="str">
        <f t="shared" si="23"/>
        <v>Americas Revenue - Knee</v>
      </c>
      <c r="C36" s="9" t="str">
        <f t="shared" si="23"/>
        <v>2019Q2</v>
      </c>
      <c r="D36" s="9">
        <f t="shared" si="23"/>
        <v>20190718</v>
      </c>
      <c r="E36" s="18">
        <f t="shared" si="8"/>
        <v>-7.2742663580217526E-3</v>
      </c>
      <c r="F36" s="18">
        <f t="shared" ref="F36:J36" si="24">$S14/F14-1</f>
        <v>1.502156049241643E-3</v>
      </c>
      <c r="G36" s="18">
        <f>$S14/G14-1</f>
        <v>2.0352829884341395E-2</v>
      </c>
      <c r="H36" s="18">
        <f t="shared" si="24"/>
        <v>3.862821396768723E-2</v>
      </c>
      <c r="I36" s="18">
        <f t="shared" si="24"/>
        <v>0.46450351929597056</v>
      </c>
      <c r="J36" s="18">
        <f t="shared" si="24"/>
        <v>3.1704758980011238E-2</v>
      </c>
      <c r="K36" s="18">
        <f t="shared" ref="K36:Q36" si="25">$S14/K14-1</f>
        <v>7.5483317792939264E-2</v>
      </c>
      <c r="L36" s="18">
        <f t="shared" si="25"/>
        <v>8.3082895225739639E-2</v>
      </c>
      <c r="M36" s="18">
        <f t="shared" si="25"/>
        <v>4.664905470084646E-2</v>
      </c>
      <c r="N36" s="18">
        <f t="shared" si="25"/>
        <v>5.0409932981432481E-2</v>
      </c>
      <c r="O36" s="18">
        <f t="shared" si="25"/>
        <v>3.5645148340377242E-2</v>
      </c>
      <c r="P36" s="18">
        <f t="shared" si="25"/>
        <v>6.2954192073730209E-2</v>
      </c>
      <c r="Q36" s="18">
        <f t="shared" si="25"/>
        <v>5.877988495676445E-2</v>
      </c>
      <c r="R36" s="40">
        <f t="shared" si="13"/>
        <v>1.0306686777274976E-2</v>
      </c>
    </row>
    <row r="37" spans="1:18" x14ac:dyDescent="0.2">
      <c r="A37" s="9" t="str">
        <f t="shared" ref="A37:D37" si="26">A15</f>
        <v>ZBH_KNEE</v>
      </c>
      <c r="B37" s="9" t="str">
        <f t="shared" si="26"/>
        <v>Americas Revenue - Knee</v>
      </c>
      <c r="C37" s="9" t="str">
        <f t="shared" si="26"/>
        <v>2019Q3</v>
      </c>
      <c r="D37" s="9">
        <f t="shared" si="26"/>
        <v>20191031</v>
      </c>
      <c r="E37" s="18">
        <f t="shared" si="8"/>
        <v>-5.5369810157225641E-2</v>
      </c>
      <c r="F37" s="18">
        <f t="shared" ref="F37:J37" si="27">$S15/F15-1</f>
        <v>-7.2967405320413792E-2</v>
      </c>
      <c r="G37" s="18">
        <f>$S15/G15-1</f>
        <v>-2.9197751843600517E-2</v>
      </c>
      <c r="H37" s="18">
        <f t="shared" si="27"/>
        <v>2.1333581084262532E-2</v>
      </c>
      <c r="I37" s="18">
        <f t="shared" si="27"/>
        <v>0.46135555785308857</v>
      </c>
      <c r="J37" s="18">
        <f t="shared" si="27"/>
        <v>-1.5654116848719202E-2</v>
      </c>
      <c r="K37" s="18">
        <f t="shared" ref="K37:Q37" si="28">$S15/K15-1</f>
        <v>-5.8752739415731003E-2</v>
      </c>
      <c r="L37" s="18">
        <f t="shared" si="28"/>
        <v>-8.4382046871045335E-2</v>
      </c>
      <c r="M37" s="18">
        <f t="shared" si="28"/>
        <v>-5.8865738546408641E-2</v>
      </c>
      <c r="N37" s="18">
        <f t="shared" si="28"/>
        <v>-2.7300529234819293E-2</v>
      </c>
      <c r="O37" s="18">
        <f t="shared" si="28"/>
        <v>-1.2955666019866086E-2</v>
      </c>
      <c r="P37" s="18">
        <f t="shared" si="28"/>
        <v>-5.623584309206775E-2</v>
      </c>
      <c r="Q37" s="18">
        <f t="shared" si="28"/>
        <v>-5.0318187881632559E-2</v>
      </c>
      <c r="R37" s="40">
        <f t="shared" si="13"/>
        <v>-3.9113428943937656E-3</v>
      </c>
    </row>
    <row r="38" spans="1:18" x14ac:dyDescent="0.2">
      <c r="A38" s="9" t="str">
        <f t="shared" ref="A38:D38" si="29">A16</f>
        <v>ZBH_KNEE</v>
      </c>
      <c r="B38" s="9" t="str">
        <f t="shared" si="29"/>
        <v>Americas Revenue - Knee</v>
      </c>
      <c r="C38" s="9" t="str">
        <f t="shared" si="29"/>
        <v>2019Q4</v>
      </c>
      <c r="D38" s="9">
        <f t="shared" si="29"/>
        <v>20200130</v>
      </c>
      <c r="E38" s="18">
        <f t="shared" si="8"/>
        <v>-6.0247935273874731E-2</v>
      </c>
      <c r="F38" s="18">
        <f t="shared" ref="F38:J38" si="30">$S16/F16-1</f>
        <v>-4.5882567485521997E-2</v>
      </c>
      <c r="G38" s="18">
        <f t="shared" si="30"/>
        <v>-4.8125072238160649E-2</v>
      </c>
      <c r="H38" s="18">
        <f t="shared" si="30"/>
        <v>-3.3865412075346435E-2</v>
      </c>
      <c r="I38" s="18">
        <f t="shared" si="30"/>
        <v>0.46037103056911488</v>
      </c>
      <c r="J38" s="18">
        <f t="shared" si="30"/>
        <v>-2.7237245578410452E-2</v>
      </c>
      <c r="K38" s="18">
        <f t="shared" ref="K38:Q38" si="31">$S16/K16-1</f>
        <v>-1.7001216159394206E-2</v>
      </c>
      <c r="L38" s="18">
        <f t="shared" si="31"/>
        <v>1.697046380287115E-2</v>
      </c>
      <c r="M38" s="18">
        <f t="shared" si="31"/>
        <v>-3.1163197778507845E-2</v>
      </c>
      <c r="N38" s="18">
        <f t="shared" si="31"/>
        <v>-6.5301529785707357E-2</v>
      </c>
      <c r="O38" s="18">
        <f t="shared" si="31"/>
        <v>-1.2564295262505465E-2</v>
      </c>
      <c r="P38" s="18">
        <f t="shared" si="31"/>
        <v>-2.3525924327943093E-2</v>
      </c>
      <c r="Q38" s="18">
        <f t="shared" si="31"/>
        <v>-2.2714428912256612E-2</v>
      </c>
      <c r="R38" s="40">
        <f t="shared" si="13"/>
        <v>8.822846528906414E-3</v>
      </c>
    </row>
    <row r="39" spans="1:18" x14ac:dyDescent="0.2">
      <c r="A39" s="9" t="str">
        <f t="shared" ref="A39:D39" si="32">A17</f>
        <v>ZBH_KNEE</v>
      </c>
      <c r="B39" s="9" t="str">
        <f t="shared" si="32"/>
        <v>Americas Revenue - Knee</v>
      </c>
      <c r="C39" s="9" t="str">
        <f t="shared" si="32"/>
        <v>2020Q1</v>
      </c>
      <c r="D39" s="9">
        <f t="shared" si="32"/>
        <v>20200430</v>
      </c>
      <c r="E39" s="18">
        <f t="shared" si="8"/>
        <v>-0.16123143588953537</v>
      </c>
      <c r="F39" s="18">
        <f t="shared" ref="F39:J39" si="33">$S17/F17-1</f>
        <v>-0.15747032423188134</v>
      </c>
      <c r="G39" s="18">
        <f t="shared" ref="G39:G44" si="34">$S17/G17-1</f>
        <v>-9.7197160208972511E-2</v>
      </c>
      <c r="H39" s="18">
        <f t="shared" si="33"/>
        <v>-8.1666053126422056E-2</v>
      </c>
      <c r="I39" s="18">
        <f t="shared" si="33"/>
        <v>0.34394689360820396</v>
      </c>
      <c r="J39" s="18">
        <f t="shared" si="33"/>
        <v>-0.10746820062993867</v>
      </c>
      <c r="K39" s="18">
        <f t="shared" ref="K39:Q39" si="35">$S17/K17-1</f>
        <v>-0.10415875907773942</v>
      </c>
      <c r="L39" s="18">
        <f t="shared" si="35"/>
        <v>-0.11369016040809166</v>
      </c>
      <c r="M39" s="18">
        <f t="shared" si="35"/>
        <v>-4.8047620547921999E-2</v>
      </c>
      <c r="N39" s="18">
        <f t="shared" si="35"/>
        <v>-4.5963032422485117E-2</v>
      </c>
      <c r="O39" s="18">
        <f t="shared" si="35"/>
        <v>-7.6320949910562708E-2</v>
      </c>
      <c r="P39" s="18">
        <f t="shared" si="35"/>
        <v>-7.9086245718772319E-2</v>
      </c>
      <c r="Q39" s="18">
        <f t="shared" si="35"/>
        <v>-7.8581360732067784E-2</v>
      </c>
      <c r="R39" s="40">
        <f t="shared" si="13"/>
        <v>-6.9509043927648562E-2</v>
      </c>
    </row>
    <row r="40" spans="1:18" x14ac:dyDescent="0.2">
      <c r="A40" s="9" t="str">
        <f t="shared" ref="A40:D40" si="36">A18</f>
        <v>ZBH_KNEE</v>
      </c>
      <c r="B40" s="9" t="str">
        <f t="shared" si="36"/>
        <v>Americas Revenue - Knee</v>
      </c>
      <c r="C40" s="9" t="str">
        <f t="shared" si="36"/>
        <v>2020Q2</v>
      </c>
      <c r="D40" s="9">
        <f t="shared" si="36"/>
        <v>20200730</v>
      </c>
      <c r="E40" s="18">
        <f t="shared" si="8"/>
        <v>-0.18963779565519989</v>
      </c>
      <c r="F40" s="18">
        <f t="shared" ref="F40:J40" si="37">$S18/F18-1</f>
        <v>-0.19483334328366242</v>
      </c>
      <c r="G40" s="18">
        <f t="shared" si="34"/>
        <v>2.7952777870187129E-2</v>
      </c>
      <c r="H40" s="18">
        <f t="shared" si="37"/>
        <v>-0.13685560639866834</v>
      </c>
      <c r="I40" s="18">
        <f t="shared" si="37"/>
        <v>0.24882064392385028</v>
      </c>
      <c r="J40" s="18">
        <f t="shared" si="37"/>
        <v>-0.11597308036450238</v>
      </c>
      <c r="K40" s="18">
        <f t="shared" ref="K40:Q40" si="38">$S18/K18-1</f>
        <v>-6.1998960130724257E-2</v>
      </c>
      <c r="L40" s="18">
        <f t="shared" si="38"/>
        <v>-7.217330613994033E-2</v>
      </c>
      <c r="M40" s="18">
        <f t="shared" si="38"/>
        <v>0.10546891754044463</v>
      </c>
      <c r="N40" s="18">
        <f t="shared" si="38"/>
        <v>-8.7465897751970778E-2</v>
      </c>
      <c r="O40" s="18">
        <f t="shared" si="38"/>
        <v>-9.7838583000724566E-2</v>
      </c>
      <c r="P40" s="18">
        <f t="shared" si="38"/>
        <v>-3.8369831206247262E-2</v>
      </c>
      <c r="Q40" s="18">
        <f t="shared" si="38"/>
        <v>-4.6510767936502773E-2</v>
      </c>
      <c r="R40" s="40">
        <f t="shared" ref="R40" si="39">$S18/R18-1</f>
        <v>0.3953638119768188</v>
      </c>
    </row>
    <row r="41" spans="1:18" x14ac:dyDescent="0.2">
      <c r="A41" s="9" t="str">
        <f t="shared" ref="A41:D41" si="40">A19</f>
        <v>ZBH_KNEE</v>
      </c>
      <c r="B41" s="9" t="str">
        <f t="shared" si="40"/>
        <v>Americas Revenue - Knee</v>
      </c>
      <c r="C41" s="9" t="str">
        <f t="shared" si="40"/>
        <v>2020Q3</v>
      </c>
      <c r="D41" s="9">
        <f t="shared" si="40"/>
        <v>20201029</v>
      </c>
      <c r="E41" s="18">
        <f t="shared" si="8"/>
        <v>0.16860714790390019</v>
      </c>
      <c r="F41" s="18">
        <f t="shared" ref="F41:I41" si="41">$S19/F19-1</f>
        <v>0.13167600394344414</v>
      </c>
      <c r="G41" s="18">
        <f t="shared" si="34"/>
        <v>3.769010183331889E-2</v>
      </c>
      <c r="H41" s="18">
        <f t="shared" si="41"/>
        <v>0.22168181281110555</v>
      </c>
      <c r="I41" s="18">
        <f t="shared" si="41"/>
        <v>0.77203336851826942</v>
      </c>
      <c r="J41" s="18">
        <f>$S19/J19-1</f>
        <v>0.16035628139269087</v>
      </c>
      <c r="K41" s="18">
        <f t="shared" ref="K41:Q41" si="42">$S19/K19-1</f>
        <v>0.44675343249250621</v>
      </c>
      <c r="L41" s="18">
        <f t="shared" si="42"/>
        <v>0.41007263900487967</v>
      </c>
      <c r="M41" s="18">
        <f t="shared" si="42"/>
        <v>1.2743978939916634E-2</v>
      </c>
      <c r="N41" s="18">
        <f t="shared" si="42"/>
        <v>0.41997211117865674</v>
      </c>
      <c r="O41" s="18">
        <f t="shared" si="42"/>
        <v>0.42356396645055949</v>
      </c>
      <c r="P41" s="18">
        <f t="shared" si="42"/>
        <v>0.31683398934001228</v>
      </c>
      <c r="Q41" s="18">
        <f t="shared" si="42"/>
        <v>0.31755166138459123</v>
      </c>
      <c r="R41" s="40">
        <f>$S19/R19-1</f>
        <v>0.15218658892128278</v>
      </c>
    </row>
    <row r="42" spans="1:18" x14ac:dyDescent="0.2">
      <c r="A42" s="9" t="str">
        <f t="shared" ref="A42:D42" si="43">A20</f>
        <v>ZBH_KNEE</v>
      </c>
      <c r="B42" s="9" t="str">
        <f t="shared" si="43"/>
        <v>Americas Revenue - Knee</v>
      </c>
      <c r="C42" s="9" t="str">
        <f t="shared" si="43"/>
        <v>2020Q4</v>
      </c>
      <c r="D42" s="9">
        <f t="shared" si="43"/>
        <v>20210128</v>
      </c>
      <c r="E42" s="18">
        <f t="shared" ref="E42:I42" si="44">$S20/E20-1</f>
        <v>0.25415003158287153</v>
      </c>
      <c r="F42" s="18">
        <f t="shared" si="44"/>
        <v>0.25118213506918563</v>
      </c>
      <c r="G42" s="18">
        <f t="shared" si="34"/>
        <v>0.11761258982136402</v>
      </c>
      <c r="H42" s="18">
        <f t="shared" si="44"/>
        <v>0.30712815377443481</v>
      </c>
      <c r="I42" s="18">
        <f t="shared" si="44"/>
        <v>0.9472387493004768</v>
      </c>
      <c r="J42" s="18">
        <f>$S20/J20-1</f>
        <v>0.25561918775454351</v>
      </c>
      <c r="K42" s="18">
        <f t="shared" ref="K42:Q42" si="45">$S20/K20-1</f>
        <v>6.7528125407770423E-2</v>
      </c>
      <c r="L42" s="18">
        <f t="shared" si="45"/>
        <v>9.9757160561626534E-2</v>
      </c>
      <c r="M42" s="18">
        <f t="shared" si="45"/>
        <v>7.1326831788564027E-2</v>
      </c>
      <c r="N42" s="18">
        <f t="shared" si="45"/>
        <v>6.4286200534777516E-2</v>
      </c>
      <c r="O42" s="18">
        <f t="shared" si="45"/>
        <v>9.3064219926109137E-2</v>
      </c>
      <c r="P42" s="18">
        <f t="shared" si="45"/>
        <v>7.6378357796833996E-2</v>
      </c>
      <c r="Q42" s="18">
        <f t="shared" si="45"/>
        <v>7.8563529425565548E-2</v>
      </c>
      <c r="R42" s="40">
        <f>$S20/R20-1</f>
        <v>-9.8398169336384456E-3</v>
      </c>
    </row>
    <row r="43" spans="1:18" x14ac:dyDescent="0.2">
      <c r="A43" s="9" t="str">
        <f t="shared" ref="A43:D43" si="46">A21</f>
        <v>ZBH_KNEE</v>
      </c>
      <c r="B43" s="9" t="str">
        <f t="shared" si="46"/>
        <v>Americas Revenue - Knee</v>
      </c>
      <c r="C43" s="9" t="str">
        <f t="shared" si="46"/>
        <v>2021Q1</v>
      </c>
      <c r="D43" s="9">
        <f t="shared" si="46"/>
        <v>20210429</v>
      </c>
      <c r="E43" s="18">
        <f t="shared" ref="E43:J43" si="47">$S21/E21-1</f>
        <v>1.3345829533015774E-2</v>
      </c>
      <c r="F43" s="18">
        <f t="shared" si="47"/>
        <v>5.3015441784704631E-2</v>
      </c>
      <c r="G43" s="18">
        <f t="shared" si="34"/>
        <v>6.4158388005755906E-2</v>
      </c>
      <c r="H43" s="18">
        <f t="shared" si="47"/>
        <v>5.6235154825380551E-2</v>
      </c>
      <c r="I43" s="18">
        <f t="shared" si="47"/>
        <v>0.79127703499717494</v>
      </c>
      <c r="J43" s="18">
        <f t="shared" si="47"/>
        <v>7.2550477095416177E-2</v>
      </c>
      <c r="K43" s="18">
        <f t="shared" ref="K43:Q43" si="48">$S21/K21-1</f>
        <v>-0.19590835262812945</v>
      </c>
      <c r="L43" s="18">
        <f t="shared" si="48"/>
        <v>-0.16244841477265515</v>
      </c>
      <c r="M43" s="18">
        <f t="shared" si="48"/>
        <v>-5.2427721176498632E-2</v>
      </c>
      <c r="N43" s="18">
        <f t="shared" si="48"/>
        <v>-0.19584492151835864</v>
      </c>
      <c r="O43" s="18">
        <f t="shared" si="48"/>
        <v>-8.453675050406273E-2</v>
      </c>
      <c r="P43" s="18">
        <f t="shared" si="48"/>
        <v>-0.14992517165310681</v>
      </c>
      <c r="Q43" s="18">
        <f t="shared" si="48"/>
        <v>-0.14349041096589832</v>
      </c>
      <c r="R43" s="40">
        <f>$S21/R21-1</f>
        <v>-1.2658227848101333E-2</v>
      </c>
    </row>
    <row r="44" spans="1:18" x14ac:dyDescent="0.2">
      <c r="A44" s="9" t="str">
        <f t="shared" ref="A44:D44" si="49">A22</f>
        <v>ZBH_KNEE</v>
      </c>
      <c r="B44" s="9" t="str">
        <f t="shared" si="49"/>
        <v>Americas Revenue - Knee</v>
      </c>
      <c r="C44" s="9" t="str">
        <f t="shared" si="49"/>
        <v>2021Q2</v>
      </c>
      <c r="D44" s="9">
        <f t="shared" si="49"/>
        <v>20210729</v>
      </c>
      <c r="E44" s="18">
        <f>$S22/E22-1</f>
        <v>-4.732420010842131E-2</v>
      </c>
      <c r="F44" s="18">
        <f t="shared" ref="F44:J44" si="50">$S22/F22-1</f>
        <v>-6.0310746816850669E-3</v>
      </c>
      <c r="G44" s="18">
        <f t="shared" si="34"/>
        <v>1.2698054696846484E-2</v>
      </c>
      <c r="H44" s="18">
        <f t="shared" si="50"/>
        <v>-3.3543209135105001E-2</v>
      </c>
      <c r="I44" s="18">
        <f t="shared" si="50"/>
        <v>0.81715396429137677</v>
      </c>
      <c r="J44" s="18">
        <f t="shared" si="50"/>
        <v>8.186702100453136E-3</v>
      </c>
      <c r="K44" s="18">
        <f t="shared" ref="K44:Q44" si="51">$S22/K22-1</f>
        <v>-5.9871001461954787E-2</v>
      </c>
      <c r="L44" s="18">
        <f t="shared" si="51"/>
        <v>-5.6073742248560654E-2</v>
      </c>
      <c r="M44" s="18">
        <f t="shared" si="51"/>
        <v>-4.8357776331911073E-2</v>
      </c>
      <c r="N44" s="18">
        <f t="shared" si="51"/>
        <v>-8.4998462274556763E-2</v>
      </c>
      <c r="O44" s="18">
        <f t="shared" si="51"/>
        <v>1.4446078852477839E-2</v>
      </c>
      <c r="P44" s="18">
        <f t="shared" si="51"/>
        <v>-6.0010019453133001E-2</v>
      </c>
      <c r="Q44" s="18">
        <f t="shared" si="51"/>
        <v>-5.0091642564172423E-2</v>
      </c>
      <c r="R44" s="40">
        <f>$S22/R22-1</f>
        <v>2.0652728199898052E-2</v>
      </c>
    </row>
    <row r="45" spans="1:18" x14ac:dyDescent="0.2">
      <c r="A45" s="172" t="s">
        <v>78</v>
      </c>
      <c r="B45" s="172"/>
      <c r="C45" s="168"/>
      <c r="D45" s="169"/>
      <c r="E45" s="73" cm="1">
        <f t="array" ref="E45">SUM(ABS(E28:E44))/COUNT(E28:E44)</f>
        <v>9.3423918466539427E-2</v>
      </c>
      <c r="F45" s="73" cm="1">
        <f t="array" ref="F45">SUM(ABS(F28:F44))/COUNT(F28:F44)</f>
        <v>8.9526038625500973E-2</v>
      </c>
      <c r="G45" s="107" cm="1">
        <f t="array" ref="G45">SUM(ABS(G28:G44))/COUNT(G28:G44)</f>
        <v>3.8394143495634268E-2</v>
      </c>
      <c r="H45" s="73" cm="1">
        <f t="array" ref="H45">SUM(ABS(H28:H44))/COUNT(H28:H44)</f>
        <v>7.1663263721750928E-2</v>
      </c>
      <c r="I45" s="73" cm="1">
        <f t="array" ref="I45">SUM(ABS(I28:I44))/COUNT(I28:I44)</f>
        <v>0.53595773588879414</v>
      </c>
      <c r="J45" s="73" cm="1">
        <f t="array" ref="J45">SUM(ABS(J28:J44))/COUNT(J28:J44)</f>
        <v>6.0502531603866372E-2</v>
      </c>
      <c r="K45" s="73" cm="1">
        <f t="array" ref="K45">SUM(ABS(K28:K44))/COUNT(K28:K44)</f>
        <v>8.04960256871603E-2</v>
      </c>
      <c r="L45" s="73" cm="1">
        <f t="array" ref="L45">SUM(ABS(L28:L44))/COUNT(L28:L44)</f>
        <v>8.10013616394651E-2</v>
      </c>
      <c r="M45" s="107" cm="1">
        <f t="array" ref="M45">SUM(ABS(M28:M44))/COUNT(M28:M44)</f>
        <v>4.131097310336844E-2</v>
      </c>
      <c r="N45" s="73" cm="1">
        <f t="array" ref="N45">SUM(ABS(N28:N44))/COUNT(N28:N44)</f>
        <v>8.3585386056627561E-2</v>
      </c>
      <c r="O45" s="73" cm="1">
        <f t="array" ref="O45">SUM(ABS(O28:O44))/COUNT(O28:O44)</f>
        <v>7.3290802303568464E-2</v>
      </c>
      <c r="P45" s="73" cm="1">
        <f t="array" ref="P45">SUM(ABS(P28:P44))/COUNT(P28:P44)</f>
        <v>6.7373112935221177E-2</v>
      </c>
      <c r="Q45" s="73" cm="1">
        <f t="array" ref="Q45">SUM(ABS(Q28:Q44))/COUNT(Q28:Q44)</f>
        <v>6.7324557051279613E-2</v>
      </c>
      <c r="R45" s="107" cm="1">
        <f t="array" ref="R45">SUM(ABS(R28:R44))/COUNT(R28:R44)</f>
        <v>4.6694982803381822E-2</v>
      </c>
    </row>
    <row r="46" spans="1:18" x14ac:dyDescent="0.2">
      <c r="A46" s="173" t="s">
        <v>79</v>
      </c>
      <c r="B46" s="173"/>
      <c r="C46" s="170"/>
      <c r="D46" s="171"/>
      <c r="E46" s="74" cm="1">
        <f t="array" ref="E46">SQRT(SUM(POWER(E28:E44,2))/COUNT(E28:E44))</f>
        <v>0.11370207679798475</v>
      </c>
      <c r="F46" s="74" cm="1">
        <f t="array" ref="F46">SQRT(SUM(POWER(F28:F44,2))/COUNT(F28:F44))</f>
        <v>0.10999407513706348</v>
      </c>
      <c r="G46" s="108" cm="1">
        <f t="array" ref="G46">SQRT(SUM(POWER(G28:G44,2))/COUNT(G28:G44))</f>
        <v>4.8549966775821136E-2</v>
      </c>
      <c r="H46" s="74" cm="1">
        <f t="array" ref="H46">SQRT(SUM(POWER(H28:H44,2))/COUNT(H28:H44))</f>
        <v>0.10578894643741243</v>
      </c>
      <c r="I46" s="74" cm="1">
        <f t="array" ref="I46">SQRT(SUM(POWER(I28:I44,2))/COUNT(I28:I44))</f>
        <v>0.56752604613780222</v>
      </c>
      <c r="J46" s="74" cm="1">
        <f t="array" ref="J46">SQRT(SUM(POWER(J28:J44,2))/COUNT(J28:J44))</f>
        <v>8.8967350570443457E-2</v>
      </c>
      <c r="K46" s="74" cm="1">
        <f t="array" ref="K46">SQRT(SUM(POWER(K28:K44,2))/COUNT(K28:K44))</f>
        <v>0.13164801639999038</v>
      </c>
      <c r="L46" s="74" cm="1">
        <f t="array" ref="L46">SQRT(SUM(POWER(L28:L44,2))/COUNT(L28:L44))</f>
        <v>0.12489565919091535</v>
      </c>
      <c r="M46" s="108" cm="1">
        <f t="array" ref="M46">SQRT(SUM(POWER(M28:M44,2))/COUNT(M28:M44))</f>
        <v>4.7858715481519036E-2</v>
      </c>
      <c r="N46" s="74" cm="1">
        <f t="array" ref="N46">SQRT(SUM(POWER(N28:N44,2))/COUNT(N28:N44))</f>
        <v>0.1272261438477415</v>
      </c>
      <c r="O46" s="74" cm="1">
        <f t="array" ref="O46">SQRT(SUM(POWER(O28:O44,2))/COUNT(O28:O44))</f>
        <v>0.12119985318475991</v>
      </c>
      <c r="P46" s="74" cm="1">
        <f t="array" ref="P46">SQRT(SUM(POWER(P28:P44,2))/COUNT(P28:P44))</f>
        <v>9.856517917782126E-2</v>
      </c>
      <c r="Q46" s="74" cm="1">
        <f t="array" ref="Q46">SQRT(SUM(POWER(Q28:Q44,2))/COUNT(Q28:Q44))</f>
        <v>9.8123940724563971E-2</v>
      </c>
      <c r="R46" s="108" cm="1">
        <f t="array" ref="R46">SQRT(SUM(POWER(R28:R44,2))/COUNT(R28:R44))</f>
        <v>0.10494607055918329</v>
      </c>
    </row>
    <row r="47" spans="1:18" x14ac:dyDescent="0.2">
      <c r="I47" s="3"/>
      <c r="J47" s="3"/>
    </row>
    <row r="48" spans="1:18" x14ac:dyDescent="0.2">
      <c r="B48" t="s">
        <v>158</v>
      </c>
      <c r="J48" s="3"/>
    </row>
  </sheetData>
  <mergeCells count="7">
    <mergeCell ref="A24:D24"/>
    <mergeCell ref="A4:B4"/>
    <mergeCell ref="A26:B26"/>
    <mergeCell ref="C45:D45"/>
    <mergeCell ref="C46:D46"/>
    <mergeCell ref="A45:B45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40"/>
  <sheetViews>
    <sheetView zoomScale="85" zoomScaleNormal="85" workbookViewId="0">
      <selection activeCell="M52" sqref="M52"/>
    </sheetView>
  </sheetViews>
  <sheetFormatPr defaultRowHeight="12.75" x14ac:dyDescent="0.2"/>
  <cols>
    <col min="1" max="1" width="9.140625" style="67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7" t="s">
        <v>104</v>
      </c>
      <c r="B1" t="s">
        <v>84</v>
      </c>
    </row>
    <row r="2" spans="1:17" x14ac:dyDescent="0.2">
      <c r="A2" s="67" t="s">
        <v>99</v>
      </c>
      <c r="B2" t="s">
        <v>82</v>
      </c>
    </row>
    <row r="3" spans="1:17" x14ac:dyDescent="0.2">
      <c r="A3" s="67" t="s">
        <v>100</v>
      </c>
      <c r="B3" t="s">
        <v>147</v>
      </c>
    </row>
    <row r="4" spans="1:17" x14ac:dyDescent="0.2">
      <c r="A4" s="67" t="s">
        <v>101</v>
      </c>
      <c r="B4" t="s">
        <v>166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7" t="s">
        <v>102</v>
      </c>
      <c r="B7" s="174" t="s">
        <v>83</v>
      </c>
      <c r="C7" s="174"/>
      <c r="D7" s="174" t="s">
        <v>112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6"/>
      <c r="P7" s="6"/>
      <c r="Q7" s="6"/>
    </row>
    <row r="8" spans="1:17" ht="15" x14ac:dyDescent="0.2">
      <c r="A8" s="67" t="s">
        <v>60</v>
      </c>
      <c r="C8" s="71" t="s">
        <v>85</v>
      </c>
      <c r="D8" s="71" t="s">
        <v>86</v>
      </c>
      <c r="E8" s="71" t="s">
        <v>87</v>
      </c>
      <c r="F8" s="71" t="s">
        <v>88</v>
      </c>
      <c r="G8" s="71" t="s">
        <v>89</v>
      </c>
      <c r="H8" s="71" t="s">
        <v>90</v>
      </c>
      <c r="I8" s="71" t="s">
        <v>91</v>
      </c>
      <c r="J8" s="71" t="s">
        <v>92</v>
      </c>
      <c r="K8" s="71" t="s">
        <v>93</v>
      </c>
      <c r="L8" s="71" t="s">
        <v>94</v>
      </c>
      <c r="M8" s="71" t="s">
        <v>95</v>
      </c>
      <c r="O8" s="6"/>
      <c r="P8" s="6"/>
      <c r="Q8" s="6"/>
    </row>
    <row r="9" spans="1:17" ht="15" x14ac:dyDescent="0.2">
      <c r="B9" s="71" t="s">
        <v>96</v>
      </c>
      <c r="C9" s="2">
        <v>5.7456793452703089E-2</v>
      </c>
      <c r="D9" s="2">
        <v>4.8219745236578827E-2</v>
      </c>
      <c r="E9" s="2">
        <v>5.9398455754614742E-2</v>
      </c>
      <c r="F9" s="2">
        <v>7.2357107434146542E-2</v>
      </c>
      <c r="G9" s="2">
        <v>7.6054748577040407E-2</v>
      </c>
      <c r="H9" s="2">
        <v>5.947532982563096E-2</v>
      </c>
      <c r="I9" s="2">
        <v>6.0687802093084137E-2</v>
      </c>
      <c r="J9" s="2">
        <v>7.5523087234260752E-2</v>
      </c>
      <c r="K9" s="2">
        <v>7.2386845534058303E-2</v>
      </c>
      <c r="L9" s="2">
        <v>7.9548185407642052E-2</v>
      </c>
      <c r="M9" s="2">
        <v>1.2572909182334551</v>
      </c>
      <c r="O9" s="6"/>
      <c r="P9" s="6"/>
      <c r="Q9" s="6"/>
    </row>
    <row r="10" spans="1:17" ht="15" x14ac:dyDescent="0.2">
      <c r="B10" s="71" t="s">
        <v>97</v>
      </c>
      <c r="C10" s="2">
        <v>0.1022362080831403</v>
      </c>
      <c r="D10" s="2">
        <v>5.7812752190710942E-2</v>
      </c>
      <c r="E10" s="2">
        <v>7.7897775007930062E-2</v>
      </c>
      <c r="F10" s="2">
        <v>0.1453743829182699</v>
      </c>
      <c r="G10" s="2">
        <v>0.14912550716447959</v>
      </c>
      <c r="H10" s="2">
        <v>7.810201514661301E-2</v>
      </c>
      <c r="I10" s="2">
        <v>8.1225925779850341E-2</v>
      </c>
      <c r="J10" s="2">
        <v>0.1474025216727462</v>
      </c>
      <c r="K10" s="2">
        <v>0.13652908544138781</v>
      </c>
      <c r="L10" s="2">
        <v>0.14463829253987781</v>
      </c>
      <c r="M10" s="2">
        <v>3.8518046890826669</v>
      </c>
      <c r="O10" s="6"/>
      <c r="P10" s="6"/>
      <c r="Q10" s="6"/>
    </row>
    <row r="11" spans="1:17" ht="15" x14ac:dyDescent="0.2">
      <c r="B11" s="71" t="s">
        <v>98</v>
      </c>
      <c r="C11" s="2">
        <v>-2.4094915621856168E-3</v>
      </c>
      <c r="D11" s="2">
        <v>-1.6242845406067349E-2</v>
      </c>
      <c r="E11" s="2">
        <v>2.6864656548504229E-3</v>
      </c>
      <c r="F11" s="2">
        <v>-1.030141758401221E-2</v>
      </c>
      <c r="G11" s="2">
        <v>-9.8384046554668703E-3</v>
      </c>
      <c r="H11" s="2">
        <v>2.6387454520565008E-3</v>
      </c>
      <c r="I11" s="2">
        <v>1.9638499243743719E-3</v>
      </c>
      <c r="J11" s="2">
        <v>-9.7176302507501755E-3</v>
      </c>
      <c r="K11" s="2">
        <v>-1.047748858433367E-2</v>
      </c>
      <c r="L11" s="2">
        <v>7.2476759120269074E-3</v>
      </c>
      <c r="M11" s="2">
        <v>2.0445133861013209E-2</v>
      </c>
      <c r="O11" s="6"/>
      <c r="P11" s="6"/>
      <c r="Q11" s="6"/>
    </row>
    <row r="12" spans="1:17" x14ac:dyDescent="0.2"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O14" s="6"/>
      <c r="P14" s="6"/>
      <c r="Q14" s="6"/>
    </row>
    <row r="15" spans="1:17" x14ac:dyDescent="0.2">
      <c r="A15" s="67" t="s">
        <v>103</v>
      </c>
      <c r="B15" t="s">
        <v>139</v>
      </c>
      <c r="O15" s="6"/>
      <c r="P15" s="6"/>
      <c r="Q15" s="6"/>
    </row>
    <row r="16" spans="1:17" x14ac:dyDescent="0.2">
      <c r="B16" t="s">
        <v>140</v>
      </c>
      <c r="H16" s="68" t="s">
        <v>106</v>
      </c>
      <c r="O16" s="6"/>
      <c r="P16" s="6"/>
      <c r="Q16" s="6"/>
    </row>
    <row r="17" spans="1:17" x14ac:dyDescent="0.2">
      <c r="H17" s="68"/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O19" s="6"/>
      <c r="P19" s="6"/>
      <c r="Q19" s="6"/>
    </row>
    <row r="20" spans="1:17" x14ac:dyDescent="0.2">
      <c r="A20" s="67" t="s">
        <v>105</v>
      </c>
      <c r="B20" s="175" t="s">
        <v>108</v>
      </c>
      <c r="C20" s="175"/>
      <c r="D20" s="175"/>
      <c r="E20" s="175"/>
      <c r="F20" s="66" t="e">
        <f>#REF!+#REF!*'2. Past Proj &amp; Candidate Model'!R22</f>
        <v>#REF!</v>
      </c>
      <c r="G20" s="69" t="s">
        <v>109</v>
      </c>
      <c r="H20" s="2" t="e">
        <f>'2. Past Proj &amp; Candidate Model'!S22/'3. Improved Alpha Model'!F20-1</f>
        <v>#REF!</v>
      </c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O23" s="6"/>
      <c r="P23" s="6"/>
      <c r="Q23" s="6"/>
    </row>
    <row r="24" spans="1:17" x14ac:dyDescent="0.2">
      <c r="B24" s="176" t="s">
        <v>159</v>
      </c>
      <c r="C24" s="176"/>
      <c r="D24" s="176"/>
      <c r="E24" s="3">
        <f>C9</f>
        <v>5.7456793452703089E-2</v>
      </c>
      <c r="F24" t="s">
        <v>110</v>
      </c>
      <c r="G24" s="176" t="s">
        <v>111</v>
      </c>
      <c r="H24" s="176"/>
      <c r="I24" s="3" t="e">
        <f>#REF!</f>
        <v>#REF!</v>
      </c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O26" s="6"/>
      <c r="P26" s="6"/>
      <c r="Q26" s="6"/>
    </row>
    <row r="27" spans="1:17" x14ac:dyDescent="0.2">
      <c r="A27" s="67" t="s">
        <v>107</v>
      </c>
      <c r="B27" t="s">
        <v>113</v>
      </c>
      <c r="O27" s="6"/>
      <c r="P27" s="6"/>
      <c r="Q27" s="6"/>
    </row>
    <row r="28" spans="1:17" x14ac:dyDescent="0.2">
      <c r="B28" t="s">
        <v>114</v>
      </c>
      <c r="O28" s="6"/>
      <c r="P28" s="6"/>
      <c r="Q28" s="6"/>
    </row>
    <row r="29" spans="1:17" x14ac:dyDescent="0.2">
      <c r="B29" t="s">
        <v>115</v>
      </c>
      <c r="O29" s="6"/>
      <c r="P29" s="6"/>
      <c r="Q29" s="6"/>
    </row>
    <row r="30" spans="1:17" x14ac:dyDescent="0.2">
      <c r="B30" t="s">
        <v>116</v>
      </c>
      <c r="O30" s="6"/>
      <c r="P30" s="6"/>
      <c r="Q30" s="6"/>
    </row>
    <row r="31" spans="1:17" x14ac:dyDescent="0.2">
      <c r="B31" t="s">
        <v>117</v>
      </c>
      <c r="O31" s="6"/>
      <c r="P31" s="6"/>
      <c r="Q31" s="6"/>
    </row>
    <row r="32" spans="1:17" x14ac:dyDescent="0.2">
      <c r="B32" t="s">
        <v>118</v>
      </c>
      <c r="O32" s="6"/>
      <c r="P32" s="6"/>
      <c r="Q32" s="6"/>
    </row>
    <row r="33" spans="2:17" x14ac:dyDescent="0.2">
      <c r="B33" t="s">
        <v>119</v>
      </c>
      <c r="O33" s="6"/>
      <c r="P33" s="6"/>
      <c r="Q33" s="6"/>
    </row>
    <row r="34" spans="2:17" x14ac:dyDescent="0.2">
      <c r="B34" t="s">
        <v>120</v>
      </c>
      <c r="O34" s="6"/>
      <c r="P34" s="6"/>
      <c r="Q34" s="6"/>
    </row>
    <row r="35" spans="2:17" x14ac:dyDescent="0.2">
      <c r="B35" t="s">
        <v>121</v>
      </c>
      <c r="O35" s="6"/>
      <c r="P35" s="6"/>
      <c r="Q35" s="6"/>
    </row>
    <row r="36" spans="2:17" x14ac:dyDescent="0.2">
      <c r="B36" t="s">
        <v>122</v>
      </c>
      <c r="O36" s="6"/>
      <c r="P36" s="6"/>
      <c r="Q36" s="6"/>
    </row>
    <row r="37" spans="2:17" x14ac:dyDescent="0.2">
      <c r="O37" s="6"/>
      <c r="P37" s="6"/>
      <c r="Q37" s="6"/>
    </row>
    <row r="38" spans="2:17" x14ac:dyDescent="0.2">
      <c r="O38" s="6"/>
      <c r="P38" s="6"/>
      <c r="Q38" s="6"/>
    </row>
    <row r="39" spans="2:17" x14ac:dyDescent="0.2">
      <c r="O39" s="6"/>
      <c r="P39" s="6"/>
    </row>
    <row r="40" spans="2:17" x14ac:dyDescent="0.2">
      <c r="O40" s="6"/>
      <c r="P40" s="6"/>
    </row>
  </sheetData>
  <mergeCells count="5">
    <mergeCell ref="D7:N7"/>
    <mergeCell ref="B7:C7"/>
    <mergeCell ref="B20:E20"/>
    <mergeCell ref="B24:D24"/>
    <mergeCell ref="G24:H24"/>
  </mergeCells>
  <conditionalFormatting sqref="C9:K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6">
      <colorScale>
        <cfvo type="min"/>
        <cfvo type="max"/>
        <color rgb="FF63BE7B"/>
        <color rgb="FFFFEF9C"/>
      </colorScale>
    </cfRule>
  </conditionalFormatting>
  <conditionalFormatting sqref="C10:K1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5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9"/>
  <sheetViews>
    <sheetView zoomScale="85" zoomScaleNormal="85" workbookViewId="0">
      <selection activeCell="C46" sqref="C46"/>
    </sheetView>
  </sheetViews>
  <sheetFormatPr defaultRowHeight="12.75" x14ac:dyDescent="0.2"/>
  <cols>
    <col min="1" max="1" width="9.140625" style="67"/>
    <col min="3" max="3" width="18.5703125" customWidth="1"/>
    <col min="4" max="13" width="14.7109375" customWidth="1"/>
    <col min="18" max="18" width="8.28515625" customWidth="1"/>
    <col min="19" max="19" width="14.85546875" customWidth="1"/>
    <col min="23" max="23" width="16.28515625" customWidth="1"/>
  </cols>
  <sheetData>
    <row r="1" spans="1:25" x14ac:dyDescent="0.2">
      <c r="A1" s="67" t="s">
        <v>124</v>
      </c>
      <c r="B1" t="s">
        <v>84</v>
      </c>
    </row>
    <row r="2" spans="1:25" x14ac:dyDescent="0.2">
      <c r="A2" s="67" t="s">
        <v>99</v>
      </c>
      <c r="B2" s="75" t="s">
        <v>160</v>
      </c>
      <c r="C2" s="76" t="str">
        <f>D5</f>
        <v>PROJ</v>
      </c>
      <c r="D2" t="s">
        <v>161</v>
      </c>
    </row>
    <row r="4" spans="1:25" x14ac:dyDescent="0.2">
      <c r="A4" s="67" t="s">
        <v>100</v>
      </c>
      <c r="B4" t="s">
        <v>123</v>
      </c>
    </row>
    <row r="5" spans="1:25" ht="15" x14ac:dyDescent="0.2">
      <c r="A5" s="67" t="s">
        <v>60</v>
      </c>
      <c r="C5" s="71" t="s">
        <v>85</v>
      </c>
      <c r="D5" s="71" t="s">
        <v>86</v>
      </c>
      <c r="E5" s="71" t="s">
        <v>87</v>
      </c>
      <c r="F5" s="71" t="s">
        <v>88</v>
      </c>
      <c r="G5" s="71" t="s">
        <v>89</v>
      </c>
      <c r="H5" s="71" t="s">
        <v>90</v>
      </c>
      <c r="I5" s="71" t="s">
        <v>91</v>
      </c>
      <c r="J5" s="71" t="s">
        <v>92</v>
      </c>
      <c r="K5" s="71" t="s">
        <v>93</v>
      </c>
      <c r="L5" s="71" t="s">
        <v>94</v>
      </c>
      <c r="M5" s="71" t="s">
        <v>95</v>
      </c>
    </row>
    <row r="6" spans="1:25" ht="15" x14ac:dyDescent="0.2">
      <c r="B6" s="71" t="s">
        <v>96</v>
      </c>
      <c r="C6" s="2">
        <v>5.2233448593366448E-2</v>
      </c>
      <c r="D6" s="2">
        <v>4.5103041679898252E-2</v>
      </c>
      <c r="E6" s="2">
        <v>5.4960535426982857E-2</v>
      </c>
      <c r="F6" s="2">
        <v>6.6515573199415853E-2</v>
      </c>
      <c r="G6" s="2">
        <v>6.9380608454091386E-2</v>
      </c>
      <c r="H6" s="2">
        <v>5.503042079449276E-2</v>
      </c>
      <c r="I6" s="2">
        <v>5.6132665496020653E-2</v>
      </c>
      <c r="J6" s="2">
        <v>6.8896724167970269E-2</v>
      </c>
      <c r="K6" s="2">
        <v>6.6053390525419045E-2</v>
      </c>
      <c r="L6" s="2">
        <v>7.259249431628198E-2</v>
      </c>
      <c r="M6" s="2">
        <v>1.143166365729603</v>
      </c>
    </row>
    <row r="7" spans="1:25" ht="15" x14ac:dyDescent="0.2">
      <c r="B7" s="71" t="s">
        <v>97</v>
      </c>
      <c r="C7" s="2">
        <v>9.7478399673602098E-2</v>
      </c>
      <c r="D7" s="2">
        <v>5.5282214323028371E-2</v>
      </c>
      <c r="E7" s="2">
        <v>7.4341104561671797E-2</v>
      </c>
      <c r="F7" s="2">
        <v>0.1386305508204303</v>
      </c>
      <c r="G7" s="2">
        <v>0.14218781890207011</v>
      </c>
      <c r="H7" s="2">
        <v>7.4535660930865527E-2</v>
      </c>
      <c r="I7" s="2">
        <v>7.7511567516540578E-2</v>
      </c>
      <c r="J7" s="2">
        <v>0.14054503229675361</v>
      </c>
      <c r="K7" s="2">
        <v>0.13017795645260891</v>
      </c>
      <c r="L7" s="2">
        <v>0.13791023808494471</v>
      </c>
      <c r="M7" s="2">
        <v>3.6725517177869809</v>
      </c>
    </row>
    <row r="8" spans="1:25" ht="15" x14ac:dyDescent="0.2">
      <c r="B8" s="71" t="s">
        <v>98</v>
      </c>
      <c r="C8" s="2">
        <v>0</v>
      </c>
      <c r="D8" s="2">
        <v>-1.3936006113092311E-2</v>
      </c>
      <c r="E8" s="2">
        <v>-1.0581332150664041E-2</v>
      </c>
      <c r="F8" s="2">
        <v>-7.7997870326238514E-3</v>
      </c>
      <c r="G8" s="2">
        <v>-7.2605957070065452E-3</v>
      </c>
      <c r="H8" s="2">
        <v>-1.058133048311072E-2</v>
      </c>
      <c r="I8" s="2">
        <v>-1.0581299525385781E-2</v>
      </c>
      <c r="J8" s="2">
        <v>-7.0183171753928084E-3</v>
      </c>
      <c r="K8" s="2">
        <v>-8.4991539791636761E-3</v>
      </c>
      <c r="L8" s="2">
        <v>3.035583402681175E-3</v>
      </c>
      <c r="M8" s="2">
        <v>2.3683785246362281E-3</v>
      </c>
    </row>
    <row r="10" spans="1:25" ht="15" x14ac:dyDescent="0.2">
      <c r="A10" s="67" t="s">
        <v>101</v>
      </c>
      <c r="B10" s="72" t="s">
        <v>162</v>
      </c>
    </row>
    <row r="12" spans="1:25" x14ac:dyDescent="0.2">
      <c r="A12" s="67" t="s">
        <v>102</v>
      </c>
      <c r="B12" t="s">
        <v>138</v>
      </c>
    </row>
    <row r="13" spans="1:25" ht="15" x14ac:dyDescent="0.2">
      <c r="B13" s="71" t="s">
        <v>125</v>
      </c>
      <c r="C13" s="71" t="s">
        <v>126</v>
      </c>
      <c r="D13" s="71" t="s">
        <v>85</v>
      </c>
      <c r="E13" s="71" t="s">
        <v>86</v>
      </c>
      <c r="F13" s="71" t="s">
        <v>87</v>
      </c>
      <c r="G13" s="71" t="s">
        <v>88</v>
      </c>
      <c r="H13" s="71" t="s">
        <v>89</v>
      </c>
      <c r="I13" s="71" t="s">
        <v>90</v>
      </c>
      <c r="J13" s="71" t="s">
        <v>91</v>
      </c>
      <c r="K13" s="71" t="s">
        <v>92</v>
      </c>
      <c r="L13" s="71" t="s">
        <v>93</v>
      </c>
      <c r="M13" s="71" t="s">
        <v>94</v>
      </c>
      <c r="N13" s="71" t="s">
        <v>95</v>
      </c>
      <c r="O13" s="71" t="s">
        <v>127</v>
      </c>
      <c r="P13" s="71" t="s">
        <v>128</v>
      </c>
      <c r="Q13" s="71" t="s">
        <v>129</v>
      </c>
      <c r="R13" s="71" t="s">
        <v>130</v>
      </c>
      <c r="S13" s="71" t="s">
        <v>131</v>
      </c>
      <c r="T13" s="71" t="s">
        <v>132</v>
      </c>
      <c r="U13" s="71" t="s">
        <v>133</v>
      </c>
      <c r="V13" s="71" t="s">
        <v>134</v>
      </c>
      <c r="W13" s="71" t="s">
        <v>135</v>
      </c>
      <c r="X13" s="71" t="s">
        <v>136</v>
      </c>
      <c r="Y13" s="71" t="s">
        <v>137</v>
      </c>
    </row>
    <row r="14" spans="1:25" x14ac:dyDescent="0.2">
      <c r="B14" t="s">
        <v>168</v>
      </c>
      <c r="C14">
        <v>405.4</v>
      </c>
      <c r="D14">
        <v>410.6</v>
      </c>
      <c r="E14">
        <v>402.54315789999998</v>
      </c>
      <c r="O14" s="2"/>
      <c r="P14" s="2">
        <f>E14/C14-1</f>
        <v>-7.0469711396151657E-3</v>
      </c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B15" t="s">
        <v>169</v>
      </c>
      <c r="C15">
        <v>381.5</v>
      </c>
      <c r="D15">
        <v>389</v>
      </c>
      <c r="E15">
        <v>371.08155199999999</v>
      </c>
      <c r="O15" s="2"/>
      <c r="P15" s="2">
        <f t="shared" ref="P15:P20" si="0">E15/C15-1</f>
        <v>-2.730916906946268E-2</v>
      </c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B16" t="s">
        <v>167</v>
      </c>
      <c r="C16">
        <v>441.6</v>
      </c>
      <c r="D16">
        <v>432.6</v>
      </c>
      <c r="E16">
        <v>439.57268299999998</v>
      </c>
      <c r="O16" s="2"/>
      <c r="P16" s="2">
        <f t="shared" si="0"/>
        <v>-4.5908446557971772E-3</v>
      </c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2">
      <c r="B17" t="s">
        <v>42</v>
      </c>
      <c r="C17">
        <v>417.2</v>
      </c>
      <c r="D17">
        <v>416.5</v>
      </c>
      <c r="E17">
        <v>398.57201900000001</v>
      </c>
      <c r="O17" s="2"/>
      <c r="P17" s="2">
        <f t="shared" si="0"/>
        <v>-4.4650002396931843E-2</v>
      </c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2">
      <c r="B18" t="s">
        <v>43</v>
      </c>
      <c r="C18">
        <v>408.1</v>
      </c>
      <c r="D18">
        <v>402.5</v>
      </c>
      <c r="E18">
        <v>412.35979400000002</v>
      </c>
      <c r="O18" s="2"/>
      <c r="P18" s="2">
        <f t="shared" si="0"/>
        <v>1.0438113207547062E-2</v>
      </c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2">
      <c r="B19" t="s">
        <v>44</v>
      </c>
      <c r="C19">
        <v>384.6</v>
      </c>
      <c r="D19">
        <v>384.4</v>
      </c>
      <c r="E19">
        <v>394.58240799999999</v>
      </c>
      <c r="O19" s="2"/>
      <c r="P19" s="2">
        <f t="shared" si="0"/>
        <v>2.5955299011960475E-2</v>
      </c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2">
      <c r="B20" t="s">
        <v>45</v>
      </c>
      <c r="C20">
        <v>432.8</v>
      </c>
      <c r="D20">
        <v>443.2</v>
      </c>
      <c r="E20">
        <v>452.81627099999997</v>
      </c>
      <c r="O20" s="2"/>
      <c r="P20" s="2">
        <f t="shared" si="0"/>
        <v>4.624831561922349E-2</v>
      </c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2">
      <c r="B21" t="s">
        <v>46</v>
      </c>
      <c r="C21">
        <v>403.8</v>
      </c>
      <c r="D21">
        <v>411.3</v>
      </c>
      <c r="E21">
        <v>416.87361800000002</v>
      </c>
      <c r="F21">
        <v>414.97707185502418</v>
      </c>
      <c r="G21">
        <v>410.21397137910509</v>
      </c>
      <c r="H21">
        <v>411.41592639361039</v>
      </c>
      <c r="I21">
        <v>414.96677305999509</v>
      </c>
      <c r="J21">
        <v>414.87701762368738</v>
      </c>
      <c r="K21">
        <v>411.46259448256222</v>
      </c>
      <c r="L21">
        <v>411.48447907279842</v>
      </c>
      <c r="M21">
        <v>416.71027175334223</v>
      </c>
      <c r="N21">
        <v>421.70718210839192</v>
      </c>
      <c r="O21" s="2">
        <v>1.857355126300142E-2</v>
      </c>
      <c r="P21" s="2">
        <v>3.2376468548786619E-2</v>
      </c>
      <c r="Q21" s="2">
        <v>2.7679722275939071E-2</v>
      </c>
      <c r="R21" s="2">
        <v>1.5884030161231081E-2</v>
      </c>
      <c r="S21" s="2">
        <v>1.886063990492937E-2</v>
      </c>
      <c r="T21" s="2">
        <v>2.7654217582949722E-2</v>
      </c>
      <c r="U21" s="2">
        <v>2.7431940623297239E-2</v>
      </c>
      <c r="V21" s="2">
        <v>1.8976212190594751E-2</v>
      </c>
      <c r="W21" s="2">
        <v>1.9030408798410999E-2</v>
      </c>
      <c r="X21" s="2">
        <v>3.1971945897330878E-2</v>
      </c>
      <c r="Y21" s="2">
        <v>4.4346661982149323E-2</v>
      </c>
    </row>
    <row r="22" spans="2:25" x14ac:dyDescent="0.2">
      <c r="B22" t="s">
        <v>47</v>
      </c>
      <c r="C22">
        <v>401.9</v>
      </c>
      <c r="D22">
        <v>397.8</v>
      </c>
      <c r="E22">
        <v>393.88335899999998</v>
      </c>
      <c r="F22">
        <v>397.21753652776113</v>
      </c>
      <c r="G22">
        <v>396.01239816116947</v>
      </c>
      <c r="H22">
        <v>395.76977586716902</v>
      </c>
      <c r="I22">
        <v>397.24337590161758</v>
      </c>
      <c r="J22">
        <v>397.51004813565191</v>
      </c>
      <c r="K22">
        <v>395.79569850311458</v>
      </c>
      <c r="L22">
        <v>396.134175234113</v>
      </c>
      <c r="M22">
        <v>397.29813731388367</v>
      </c>
      <c r="N22">
        <v>395.18854256465971</v>
      </c>
      <c r="O22" s="2">
        <v>-1.0201542672306441E-2</v>
      </c>
      <c r="P22" s="2">
        <v>-1.9946854939039579E-2</v>
      </c>
      <c r="Q22" s="2">
        <v>-1.1650817298429541E-2</v>
      </c>
      <c r="R22" s="2">
        <v>-1.464941985277546E-2</v>
      </c>
      <c r="S22" s="2">
        <v>-1.52531080687508E-2</v>
      </c>
      <c r="T22" s="2">
        <v>-1.158652425574125E-2</v>
      </c>
      <c r="U22" s="2">
        <v>-1.0922995432565591E-2</v>
      </c>
      <c r="V22" s="2">
        <v>-1.518860785490272E-2</v>
      </c>
      <c r="W22" s="2">
        <v>-1.4346416436643359E-2</v>
      </c>
      <c r="X22" s="2">
        <v>-1.145026794256343E-2</v>
      </c>
      <c r="Y22" s="2">
        <v>-1.6699321809754419E-2</v>
      </c>
    </row>
    <row r="23" spans="2:25" x14ac:dyDescent="0.2">
      <c r="B23" t="s">
        <v>48</v>
      </c>
      <c r="C23">
        <v>382</v>
      </c>
      <c r="D23">
        <v>383.5</v>
      </c>
      <c r="E23">
        <v>393.48899399999999</v>
      </c>
      <c r="F23">
        <v>397.6843760128852</v>
      </c>
      <c r="G23">
        <v>383.09826519643337</v>
      </c>
      <c r="H23">
        <v>384.99874909612868</v>
      </c>
      <c r="I23">
        <v>397.70623943158029</v>
      </c>
      <c r="J23">
        <v>397.96857473737413</v>
      </c>
      <c r="K23">
        <v>385.18341692147158</v>
      </c>
      <c r="L23">
        <v>385.9964801593224</v>
      </c>
      <c r="M23">
        <v>397.77889367682462</v>
      </c>
      <c r="N23">
        <v>396.71536167340309</v>
      </c>
      <c r="O23" s="2">
        <v>3.9267015706805353E-3</v>
      </c>
      <c r="P23" s="2">
        <v>3.0075900523560239E-2</v>
      </c>
      <c r="Q23" s="2">
        <v>4.1058575949961318E-2</v>
      </c>
      <c r="R23" s="2">
        <v>2.875039781239153E-3</v>
      </c>
      <c r="S23" s="2">
        <v>7.8501285238972152E-3</v>
      </c>
      <c r="T23" s="2">
        <v>4.1115810030314837E-2</v>
      </c>
      <c r="U23" s="2">
        <v>4.1802551668518761E-2</v>
      </c>
      <c r="V23" s="2">
        <v>8.3335521504490639E-3</v>
      </c>
      <c r="W23" s="2">
        <v>1.046198994587022E-2</v>
      </c>
      <c r="X23" s="2">
        <v>4.1306004389593198E-2</v>
      </c>
      <c r="Y23" s="2">
        <v>3.8521889197390191E-2</v>
      </c>
    </row>
    <row r="24" spans="2:25" x14ac:dyDescent="0.2">
      <c r="B24" t="s">
        <v>49</v>
      </c>
      <c r="C24">
        <v>434.5</v>
      </c>
      <c r="D24">
        <v>430.7</v>
      </c>
      <c r="E24">
        <v>456.467533</v>
      </c>
      <c r="F24">
        <v>441.89681877023258</v>
      </c>
      <c r="G24">
        <v>428.88496084604299</v>
      </c>
      <c r="H24">
        <v>431.34527116530558</v>
      </c>
      <c r="I24">
        <v>441.82741458695671</v>
      </c>
      <c r="J24">
        <v>440.9526270997311</v>
      </c>
      <c r="K24">
        <v>431.45054118729178</v>
      </c>
      <c r="L24">
        <v>430.80711759605339</v>
      </c>
      <c r="M24">
        <v>441.8452312608141</v>
      </c>
      <c r="N24">
        <v>435.52906046895441</v>
      </c>
      <c r="O24" s="2">
        <v>-8.7456846950517697E-3</v>
      </c>
      <c r="P24" s="2">
        <v>5.0558188722669817E-2</v>
      </c>
      <c r="Q24" s="2">
        <v>1.7023748608130381E-2</v>
      </c>
      <c r="R24" s="2">
        <v>-1.2922989997599549E-2</v>
      </c>
      <c r="S24" s="2">
        <v>-7.2605957070065452E-3</v>
      </c>
      <c r="T24" s="2">
        <v>1.6864015159854251E-2</v>
      </c>
      <c r="U24" s="2">
        <v>1.485069528131433E-2</v>
      </c>
      <c r="V24" s="2">
        <v>-7.0183171753928084E-3</v>
      </c>
      <c r="W24" s="2">
        <v>-8.4991539791636761E-3</v>
      </c>
      <c r="X24" s="2">
        <v>1.6905020162978349E-2</v>
      </c>
      <c r="Y24" s="2">
        <v>2.3683785246362281E-3</v>
      </c>
    </row>
    <row r="25" spans="2:25" x14ac:dyDescent="0.2">
      <c r="B25" t="s">
        <v>50</v>
      </c>
      <c r="C25">
        <v>360.1</v>
      </c>
      <c r="D25">
        <v>387</v>
      </c>
      <c r="E25">
        <v>398.86892699999999</v>
      </c>
      <c r="F25">
        <v>399.39257692443601</v>
      </c>
      <c r="G25">
        <v>386.08730024811848</v>
      </c>
      <c r="H25">
        <v>387.92215626908882</v>
      </c>
      <c r="I25">
        <v>399.40493355703518</v>
      </c>
      <c r="J25">
        <v>399.5893413818294</v>
      </c>
      <c r="K25">
        <v>388.03490970125858</v>
      </c>
      <c r="L25">
        <v>388.68482706346009</v>
      </c>
      <c r="M25">
        <v>399.84043183403747</v>
      </c>
      <c r="N25">
        <v>398.19826854681202</v>
      </c>
      <c r="O25" s="2">
        <v>7.4701471813385156E-2</v>
      </c>
      <c r="P25" s="2">
        <v>0.1076615579005831</v>
      </c>
      <c r="Q25" s="2">
        <v>0.10911573708535389</v>
      </c>
      <c r="R25" s="2">
        <v>7.2166898772892285E-2</v>
      </c>
      <c r="S25" s="2">
        <v>7.7262305662562536E-2</v>
      </c>
      <c r="T25" s="2">
        <v>0.1091500515330051</v>
      </c>
      <c r="U25" s="2">
        <v>0.1096621532402926</v>
      </c>
      <c r="V25" s="2">
        <v>7.7575422663867188E-2</v>
      </c>
      <c r="W25" s="2">
        <v>7.9380247329797538E-2</v>
      </c>
      <c r="X25" s="2">
        <v>0.1103594330298181</v>
      </c>
      <c r="Y25" s="2">
        <v>0.10579913509250739</v>
      </c>
    </row>
    <row r="26" spans="2:25" x14ac:dyDescent="0.2">
      <c r="B26" t="s">
        <v>51</v>
      </c>
      <c r="C26">
        <v>216.7</v>
      </c>
      <c r="D26">
        <v>155.30000000000001</v>
      </c>
      <c r="E26">
        <v>210.80734899999999</v>
      </c>
      <c r="F26">
        <v>253.39698538663501</v>
      </c>
      <c r="G26">
        <v>121.4712399620541</v>
      </c>
      <c r="H26">
        <v>118.9682768484052</v>
      </c>
      <c r="I26">
        <v>253.59781516565789</v>
      </c>
      <c r="J26">
        <v>256.59382629113952</v>
      </c>
      <c r="K26">
        <v>120.2110643855757</v>
      </c>
      <c r="L26">
        <v>128.13025319702339</v>
      </c>
      <c r="M26">
        <v>309.06704039397681</v>
      </c>
      <c r="N26">
        <v>2855.9569531847919</v>
      </c>
      <c r="O26" s="2">
        <v>-0.28334102445777559</v>
      </c>
      <c r="P26" s="2">
        <v>-2.7192667281956569E-2</v>
      </c>
      <c r="Q26" s="2">
        <v>0.16934464876158281</v>
      </c>
      <c r="R26" s="2">
        <v>-0.43944974636800133</v>
      </c>
      <c r="S26" s="2">
        <v>-0.45100010683707781</v>
      </c>
      <c r="T26" s="2">
        <v>0.1702714128549048</v>
      </c>
      <c r="U26" s="2">
        <v>0.1840970294930295</v>
      </c>
      <c r="V26" s="2">
        <v>-0.44526504667477768</v>
      </c>
      <c r="W26" s="2">
        <v>-0.40872056669578471</v>
      </c>
      <c r="X26" s="2">
        <v>0.42624384122739628</v>
      </c>
      <c r="Y26" s="2">
        <v>12.1793121974379</v>
      </c>
    </row>
    <row r="27" spans="2:25" x14ac:dyDescent="0.2">
      <c r="B27" t="s">
        <v>52</v>
      </c>
      <c r="C27">
        <v>395.2</v>
      </c>
      <c r="D27">
        <v>343</v>
      </c>
      <c r="E27">
        <v>380.84588000000002</v>
      </c>
      <c r="F27">
        <v>376.69067434052369</v>
      </c>
      <c r="G27">
        <v>355.25962141038463</v>
      </c>
      <c r="H27">
        <v>359.89218796386228</v>
      </c>
      <c r="I27">
        <v>376.69067732776819</v>
      </c>
      <c r="J27">
        <v>376.69071727195848</v>
      </c>
      <c r="K27">
        <v>359.92400154521499</v>
      </c>
      <c r="L27">
        <v>359.77487804842309</v>
      </c>
      <c r="M27">
        <v>380.94906084388009</v>
      </c>
      <c r="N27">
        <v>382.04317889500197</v>
      </c>
      <c r="O27" s="2">
        <v>-0.13208502024291491</v>
      </c>
      <c r="P27" s="2">
        <v>-3.6321153846153753E-2</v>
      </c>
      <c r="Q27" s="2">
        <v>-4.683533820717678E-2</v>
      </c>
      <c r="R27" s="2">
        <v>-0.10106371100611181</v>
      </c>
      <c r="S27" s="2">
        <v>-8.9341629646097265E-2</v>
      </c>
      <c r="T27" s="2">
        <v>-4.6835330648359652E-2</v>
      </c>
      <c r="U27" s="2">
        <v>-4.6835229575003627E-2</v>
      </c>
      <c r="V27" s="2">
        <v>-8.9261129693281926E-2</v>
      </c>
      <c r="W27" s="2">
        <v>-8.9638466476662182E-2</v>
      </c>
      <c r="X27" s="2">
        <v>-3.6060068714878317E-2</v>
      </c>
      <c r="Y27" s="2">
        <v>-3.3291551379043598E-2</v>
      </c>
    </row>
    <row r="28" spans="2:25" x14ac:dyDescent="0.2">
      <c r="B28" t="s">
        <v>53</v>
      </c>
      <c r="C28">
        <v>432.7</v>
      </c>
      <c r="D28">
        <v>437</v>
      </c>
      <c r="E28">
        <v>387.16457200000002</v>
      </c>
      <c r="F28">
        <v>383.78701889715688</v>
      </c>
      <c r="G28">
        <v>429.32503215098359</v>
      </c>
      <c r="H28">
        <v>406.0868828378081</v>
      </c>
      <c r="I28">
        <v>383.78702036845601</v>
      </c>
      <c r="J28">
        <v>383.78704183338971</v>
      </c>
      <c r="K28">
        <v>406.11625134517078</v>
      </c>
      <c r="L28">
        <v>406.44586153998529</v>
      </c>
      <c r="M28">
        <v>388.05749717080317</v>
      </c>
      <c r="N28">
        <v>389.00990776941768</v>
      </c>
      <c r="O28" s="2">
        <v>9.9376011093137429E-3</v>
      </c>
      <c r="P28" s="2">
        <v>-0.1052355627455511</v>
      </c>
      <c r="Q28" s="2">
        <v>-0.11304132448080211</v>
      </c>
      <c r="R28" s="2">
        <v>-7.7997870326238514E-3</v>
      </c>
      <c r="S28" s="2">
        <v>-6.1504777356579332E-2</v>
      </c>
      <c r="T28" s="2">
        <v>-0.113041321080527</v>
      </c>
      <c r="U28" s="2">
        <v>-0.11304127147356199</v>
      </c>
      <c r="V28" s="2">
        <v>-6.143690467952212E-2</v>
      </c>
      <c r="W28" s="2">
        <v>-6.0675152438212747E-2</v>
      </c>
      <c r="X28" s="2">
        <v>-0.1031719501483632</v>
      </c>
      <c r="Y28" s="2">
        <v>-0.10097086256201129</v>
      </c>
    </row>
    <row r="29" spans="2:25" x14ac:dyDescent="0.2">
      <c r="B29" t="s">
        <v>54</v>
      </c>
      <c r="C29">
        <v>358.8</v>
      </c>
      <c r="D29">
        <v>363.4</v>
      </c>
      <c r="E29">
        <v>337.16785399999998</v>
      </c>
      <c r="F29">
        <v>342.39333348835572</v>
      </c>
      <c r="G29">
        <v>374.57155748021228</v>
      </c>
      <c r="H29">
        <v>365.90351538889593</v>
      </c>
      <c r="I29">
        <v>342.39334495757299</v>
      </c>
      <c r="J29">
        <v>342.39352409264183</v>
      </c>
      <c r="K29">
        <v>365.88943445301578</v>
      </c>
      <c r="L29">
        <v>366.21289054213162</v>
      </c>
      <c r="M29">
        <v>353.2014088642228</v>
      </c>
      <c r="N29">
        <v>375.16461848628819</v>
      </c>
      <c r="O29" s="2">
        <v>1.282051282051277E-2</v>
      </c>
      <c r="P29" s="2">
        <v>-6.0290261984392468E-2</v>
      </c>
      <c r="Q29" s="2">
        <v>-4.5726495294437841E-2</v>
      </c>
      <c r="R29" s="2">
        <v>4.3956403233590402E-2</v>
      </c>
      <c r="S29" s="2">
        <v>1.979798045957604E-2</v>
      </c>
      <c r="T29" s="2">
        <v>-4.5726463328949141E-2</v>
      </c>
      <c r="U29" s="2">
        <v>-4.5725964067330649E-2</v>
      </c>
      <c r="V29" s="2">
        <v>1.9758735933711691E-2</v>
      </c>
      <c r="W29" s="2">
        <v>2.066023005053386E-2</v>
      </c>
      <c r="X29" s="2">
        <v>-1.560365422457421E-2</v>
      </c>
      <c r="Y29" s="2">
        <v>4.5609304588317023E-2</v>
      </c>
    </row>
    <row r="30" spans="2:25" x14ac:dyDescent="0.2">
      <c r="B30" t="s">
        <v>55</v>
      </c>
      <c r="C30">
        <v>400.3</v>
      </c>
      <c r="D30">
        <v>392.2</v>
      </c>
      <c r="E30">
        <v>395.28070400000001</v>
      </c>
      <c r="F30">
        <v>395.29298772139123</v>
      </c>
      <c r="G30">
        <v>395.17493983139917</v>
      </c>
      <c r="H30">
        <v>395.32978969434788</v>
      </c>
      <c r="I30">
        <v>395.29298684178389</v>
      </c>
      <c r="J30">
        <v>395.29297151260641</v>
      </c>
      <c r="K30">
        <v>395.32949758655923</v>
      </c>
      <c r="L30">
        <v>395.31393397724167</v>
      </c>
      <c r="M30">
        <v>399.33540976392851</v>
      </c>
      <c r="N30">
        <v>397.90225113173437</v>
      </c>
      <c r="O30" s="2">
        <v>-2.023482388208853E-2</v>
      </c>
      <c r="P30" s="2">
        <v>-1.253883587309512E-2</v>
      </c>
      <c r="Q30" s="2">
        <v>-1.2508149584333659E-2</v>
      </c>
      <c r="R30" s="2">
        <v>-1.280304813540056E-2</v>
      </c>
      <c r="S30" s="2">
        <v>-1.2416213603927201E-2</v>
      </c>
      <c r="T30" s="2">
        <v>-1.250815178170395E-2</v>
      </c>
      <c r="U30" s="2">
        <v>-1.2508190075927071E-2</v>
      </c>
      <c r="V30" s="2">
        <v>-1.241694332610754E-2</v>
      </c>
      <c r="W30" s="2">
        <v>-1.2455823189503669E-2</v>
      </c>
      <c r="X30" s="2">
        <v>-2.409668338924531E-3</v>
      </c>
      <c r="Y30" s="2">
        <v>-5.9898797608434204E-3</v>
      </c>
    </row>
    <row r="31" spans="2:25" x14ac:dyDescent="0.2">
      <c r="B31" t="s">
        <v>71</v>
      </c>
      <c r="C31">
        <v>392.6</v>
      </c>
      <c r="D31">
        <v>392.6</v>
      </c>
      <c r="E31">
        <v>387.12872399999998</v>
      </c>
      <c r="F31">
        <v>388.44576899764928</v>
      </c>
      <c r="G31">
        <v>395.78015063253798</v>
      </c>
      <c r="H31">
        <v>393.63615275637841</v>
      </c>
      <c r="I31">
        <v>388.44576965233068</v>
      </c>
      <c r="J31">
        <v>388.44578180633363</v>
      </c>
      <c r="K31">
        <v>393.63375251008858</v>
      </c>
      <c r="L31">
        <v>393.66741675636189</v>
      </c>
      <c r="M31">
        <v>393.79177004389271</v>
      </c>
      <c r="N31">
        <v>393.35412205532049</v>
      </c>
      <c r="O31" s="2">
        <v>0</v>
      </c>
      <c r="P31" s="2">
        <v>-1.3936006113092311E-2</v>
      </c>
      <c r="Q31" s="2">
        <v>-1.0581332150664041E-2</v>
      </c>
      <c r="R31" s="2">
        <v>8.1002308521089805E-3</v>
      </c>
      <c r="S31" s="2">
        <v>2.6392072246010918E-3</v>
      </c>
      <c r="T31" s="2">
        <v>-1.058133048311072E-2</v>
      </c>
      <c r="U31" s="2">
        <v>-1.0581299525385781E-2</v>
      </c>
      <c r="V31" s="2">
        <v>2.6330935050653541E-3</v>
      </c>
      <c r="W31" s="2">
        <v>2.718840439026593E-3</v>
      </c>
      <c r="X31" s="2">
        <v>3.035583402681175E-3</v>
      </c>
      <c r="Y31" s="2">
        <v>1.9208406910864451E-3</v>
      </c>
    </row>
    <row r="32" spans="2:25" x14ac:dyDescent="0.2">
      <c r="B32" s="101" t="s">
        <v>148</v>
      </c>
      <c r="C32" s="101"/>
      <c r="E32">
        <f t="shared" ref="E32:E37" si="1">E$31/(1+P32)</f>
        <v>388.08314556376268</v>
      </c>
      <c r="M32" s="100" t="s">
        <v>141</v>
      </c>
      <c r="N32" s="100"/>
      <c r="P32" s="3">
        <f>AVERAGE(P14:P30)</f>
        <v>-2.4593223763332154E-3</v>
      </c>
    </row>
    <row r="33" spans="1:18" x14ac:dyDescent="0.2">
      <c r="B33" s="90" t="s">
        <v>149</v>
      </c>
      <c r="C33" s="90"/>
      <c r="E33">
        <f t="shared" si="1"/>
        <v>389.87617011885123</v>
      </c>
      <c r="I33" s="3"/>
      <c r="M33" s="90" t="s">
        <v>143</v>
      </c>
      <c r="N33" s="90"/>
      <c r="P33" s="1">
        <f>MEDIAN(P14:P30)</f>
        <v>-7.0469711396151657E-3</v>
      </c>
      <c r="R33" s="3"/>
    </row>
    <row r="34" spans="1:18" x14ac:dyDescent="0.2">
      <c r="B34" s="91" t="s">
        <v>150</v>
      </c>
      <c r="C34" s="91"/>
      <c r="E34">
        <f t="shared" si="1"/>
        <v>400.19164619836164</v>
      </c>
      <c r="M34" s="91" t="s">
        <v>142</v>
      </c>
      <c r="N34" s="91"/>
      <c r="P34" s="1">
        <f>AVERAGE(P26:P31,P22,P14:P17)</f>
        <v>-3.2641666367735252E-2</v>
      </c>
    </row>
    <row r="35" spans="1:18" x14ac:dyDescent="0.2">
      <c r="B35" s="92" t="s">
        <v>151</v>
      </c>
      <c r="C35" s="92"/>
      <c r="E35">
        <f t="shared" si="1"/>
        <v>397.95004722914092</v>
      </c>
      <c r="M35" s="92" t="s">
        <v>144</v>
      </c>
      <c r="N35" s="92"/>
      <c r="P35" s="1">
        <f>MEDIAN(P26:P31,P22,P14:P17)</f>
        <v>-2.7192667281956569E-2</v>
      </c>
    </row>
    <row r="36" spans="1:18" x14ac:dyDescent="0.2">
      <c r="B36" s="93" t="s">
        <v>152</v>
      </c>
      <c r="C36" s="93"/>
      <c r="E36">
        <f t="shared" si="1"/>
        <v>371.05088540034359</v>
      </c>
      <c r="F36">
        <f>AVERAGE(E36,E32)</f>
        <v>379.56701548205314</v>
      </c>
      <c r="I36" s="97"/>
      <c r="M36" s="93" t="s">
        <v>145</v>
      </c>
      <c r="N36" s="93"/>
      <c r="P36" s="1">
        <f>AVERAGE(P23:P25,P18:P21)</f>
        <v>4.3330549076332971E-2</v>
      </c>
    </row>
    <row r="37" spans="1:18" x14ac:dyDescent="0.2">
      <c r="B37" s="94" t="s">
        <v>153</v>
      </c>
      <c r="C37" s="94"/>
      <c r="E37">
        <f t="shared" si="1"/>
        <v>374.98793879347858</v>
      </c>
      <c r="F37">
        <f>AVERAGE(E37,E32)</f>
        <v>381.53554217862063</v>
      </c>
      <c r="M37" s="94" t="s">
        <v>146</v>
      </c>
      <c r="N37" s="94"/>
      <c r="P37" s="1">
        <f>MEDIAN(P23:P25,P18:P21)</f>
        <v>3.2376468548786619E-2</v>
      </c>
    </row>
    <row r="39" spans="1:18" x14ac:dyDescent="0.2">
      <c r="A39" s="67" t="s">
        <v>103</v>
      </c>
      <c r="B39" t="s">
        <v>154</v>
      </c>
    </row>
    <row r="40" spans="1:18" x14ac:dyDescent="0.2">
      <c r="B40" t="s">
        <v>155</v>
      </c>
    </row>
    <row r="46" spans="1:18" x14ac:dyDescent="0.2">
      <c r="A46" s="67" t="s">
        <v>105</v>
      </c>
      <c r="B46" s="77" t="s">
        <v>156</v>
      </c>
      <c r="C46" s="78">
        <f>E32</f>
        <v>388.08314556376268</v>
      </c>
      <c r="D46" t="s">
        <v>170</v>
      </c>
    </row>
    <row r="48" spans="1:18" x14ac:dyDescent="0.2">
      <c r="B48" s="177" t="s">
        <v>164</v>
      </c>
      <c r="C48" s="177"/>
      <c r="D48" s="2">
        <f>C46/D31-1</f>
        <v>-1.1504978187053871E-2</v>
      </c>
    </row>
    <row r="49" spans="2:4" x14ac:dyDescent="0.2">
      <c r="B49" s="165" t="s">
        <v>163</v>
      </c>
      <c r="C49" s="165"/>
      <c r="D49" s="2">
        <f>'1. Data &amp; Confidence Interval'!K25</f>
        <v>-1.2664393570384957E-2</v>
      </c>
    </row>
  </sheetData>
  <mergeCells count="2">
    <mergeCell ref="B49:C49"/>
    <mergeCell ref="B48:C48"/>
  </mergeCells>
  <conditionalFormatting sqref="P22:W30 Q21:W2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P33:P37 S31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2:P37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2021-10-28T20:49:26Z</dcterms:modified>
</cp:coreProperties>
</file>