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da.research\personal\rxia\Improved Alpha Models\ZBH\"/>
    </mc:Choice>
  </mc:AlternateContent>
  <xr:revisionPtr revIDLastSave="0" documentId="13_ncr:1_{51DA5C88-8B3C-4189-90C9-9C0CC69888D5}" xr6:coauthVersionLast="46" xr6:coauthVersionMax="46" xr10:uidLastSave="{00000000-0000-0000-0000-000000000000}"/>
  <bookViews>
    <workbookView xWindow="-28920" yWindow="-120" windowWidth="29040" windowHeight="15840" activeTab="3" xr2:uid="{07F493FA-2681-4851-A3A3-ECE0336C6524}"/>
  </bookViews>
  <sheets>
    <sheet name="1. Data &amp; Confidence Interval" sheetId="1" r:id="rId1"/>
    <sheet name="2. Past Proj &amp; Candidate Model" sheetId="2" r:id="rId2"/>
    <sheet name="3. Improved Alpha Model" sheetId="3" r:id="rId3"/>
    <sheet name="4. Resul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2" i="4" l="1"/>
  <c r="C45" i="4" s="1"/>
  <c r="Q33" i="4"/>
  <c r="H33" i="4" s="1"/>
  <c r="H34" i="4"/>
  <c r="Q34" i="4"/>
  <c r="G34" i="4"/>
  <c r="F33" i="4"/>
  <c r="E36" i="4"/>
  <c r="E35" i="4"/>
  <c r="E34" i="4"/>
  <c r="E33" i="4"/>
  <c r="E32" i="4"/>
  <c r="E31" i="4"/>
  <c r="P15" i="4"/>
  <c r="P16" i="4"/>
  <c r="P17" i="4"/>
  <c r="P18" i="4"/>
  <c r="P19" i="4"/>
  <c r="P20" i="4"/>
  <c r="P21" i="4"/>
  <c r="P14" i="4"/>
  <c r="D48" i="4"/>
  <c r="P36" i="4" l="1"/>
  <c r="P35" i="4"/>
  <c r="F35" i="4" s="1"/>
  <c r="P34" i="4"/>
  <c r="P33" i="4"/>
  <c r="P32" i="4"/>
  <c r="P31" i="4"/>
  <c r="H40" i="2"/>
  <c r="R40" i="2"/>
  <c r="R41" i="2"/>
  <c r="G40" i="2"/>
  <c r="G41" i="2"/>
  <c r="H41" i="2"/>
  <c r="AK26" i="1"/>
  <c r="AK25" i="1"/>
  <c r="P25" i="1"/>
  <c r="M25" i="1"/>
  <c r="P24" i="1"/>
  <c r="M24" i="1"/>
  <c r="AK24" i="1"/>
  <c r="AK23" i="1"/>
  <c r="AK22" i="1"/>
  <c r="AK21" i="1"/>
  <c r="AK20" i="1"/>
  <c r="P23" i="1"/>
  <c r="P21" i="1"/>
  <c r="J10" i="1"/>
  <c r="AJ10" i="1"/>
  <c r="R23" i="2"/>
  <c r="J23" i="2"/>
  <c r="G45" i="2" l="1" a="1"/>
  <c r="G45" i="2" s="1"/>
  <c r="C2" i="4"/>
  <c r="D47" i="4"/>
  <c r="AH20" i="1" l="1"/>
  <c r="AI20" i="1"/>
  <c r="AH22" i="1"/>
  <c r="AI22" i="1"/>
  <c r="N22" i="1"/>
  <c r="M23" i="2"/>
  <c r="L23" i="2"/>
  <c r="K23" i="2"/>
  <c r="Q23" i="2" s="1"/>
  <c r="N23" i="2"/>
  <c r="O23" i="2"/>
  <c r="P23" i="2" l="1"/>
  <c r="R28" i="2"/>
  <c r="K29" i="2"/>
  <c r="L29" i="2"/>
  <c r="M29" i="2"/>
  <c r="N29" i="2"/>
  <c r="O29" i="2"/>
  <c r="P29" i="2"/>
  <c r="Q29" i="2"/>
  <c r="R29" i="2"/>
  <c r="K30" i="2"/>
  <c r="L30" i="2"/>
  <c r="M30" i="2"/>
  <c r="N30" i="2"/>
  <c r="O30" i="2"/>
  <c r="P30" i="2"/>
  <c r="Q30" i="2"/>
  <c r="R30" i="2"/>
  <c r="A28" i="2"/>
  <c r="B28" i="2"/>
  <c r="C28" i="2"/>
  <c r="D28" i="2"/>
  <c r="E28" i="2"/>
  <c r="F28" i="2"/>
  <c r="G28" i="2"/>
  <c r="H28" i="2"/>
  <c r="I28" i="2"/>
  <c r="J28" i="2"/>
  <c r="A29" i="2"/>
  <c r="B29" i="2"/>
  <c r="C29" i="2"/>
  <c r="D29" i="2"/>
  <c r="E29" i="2"/>
  <c r="F29" i="2"/>
  <c r="G29" i="2"/>
  <c r="H29" i="2"/>
  <c r="I29" i="2"/>
  <c r="J29" i="2"/>
  <c r="F17" i="1"/>
  <c r="F18" i="1"/>
  <c r="J39" i="2" l="1"/>
  <c r="J42" i="2"/>
  <c r="H18" i="1"/>
  <c r="G18" i="1"/>
  <c r="M22" i="1"/>
  <c r="O22" i="1"/>
  <c r="P22" i="1"/>
  <c r="M20" i="1"/>
  <c r="N20" i="1"/>
  <c r="O20" i="1"/>
  <c r="P20" i="1"/>
  <c r="J41" i="2"/>
  <c r="J40" i="2"/>
  <c r="R24" i="2"/>
  <c r="Q22" i="1"/>
  <c r="R22" i="1"/>
  <c r="Q20" i="1"/>
  <c r="R20" i="1"/>
  <c r="H39" i="2"/>
  <c r="G44" i="2"/>
  <c r="G43" i="2"/>
  <c r="G42" i="2"/>
  <c r="G39" i="2"/>
  <c r="G37" i="2"/>
  <c r="G36" i="2"/>
  <c r="E41" i="2"/>
  <c r="E40" i="2"/>
  <c r="E39" i="2"/>
  <c r="E38" i="2"/>
  <c r="E37" i="2"/>
  <c r="E36" i="2"/>
  <c r="E35" i="2"/>
  <c r="E34" i="2"/>
  <c r="E33" i="2"/>
  <c r="E32" i="2"/>
  <c r="E31" i="2"/>
  <c r="AJ18" i="1"/>
  <c r="AK18" i="1"/>
  <c r="J17" i="1"/>
  <c r="I17" i="1"/>
  <c r="H17" i="1"/>
  <c r="G17" i="1"/>
  <c r="R17" i="1"/>
  <c r="Q17" i="1"/>
  <c r="P17" i="1"/>
  <c r="O17" i="1"/>
  <c r="M18" i="1"/>
  <c r="L18" i="1"/>
  <c r="J18" i="1"/>
  <c r="I18" i="1"/>
  <c r="S20" i="1"/>
  <c r="S22" i="1"/>
  <c r="R21" i="1" l="1"/>
  <c r="S21" i="1"/>
  <c r="S23" i="1"/>
  <c r="Q23" i="1"/>
  <c r="Q21" i="1"/>
  <c r="R23" i="1"/>
  <c r="J24" i="2"/>
  <c r="A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J13" i="1"/>
  <c r="Q31" i="2"/>
  <c r="P31" i="2"/>
  <c r="O31" i="2"/>
  <c r="N31" i="2"/>
  <c r="M31" i="2"/>
  <c r="L31" i="2"/>
  <c r="K31" i="2"/>
  <c r="R31" i="2"/>
  <c r="A30" i="2"/>
  <c r="B30" i="2"/>
  <c r="C30" i="2"/>
  <c r="D30" i="2"/>
  <c r="E30" i="2"/>
  <c r="F30" i="2"/>
  <c r="G30" i="2"/>
  <c r="H30" i="2"/>
  <c r="I30" i="2"/>
  <c r="J30" i="2"/>
  <c r="Q24" i="2"/>
  <c r="P24" i="2"/>
  <c r="O24" i="2"/>
  <c r="N24" i="2"/>
  <c r="M24" i="2"/>
  <c r="L24" i="2"/>
  <c r="K24" i="2"/>
  <c r="I24" i="2"/>
  <c r="H24" i="2"/>
  <c r="G24" i="2"/>
  <c r="F24" i="2"/>
  <c r="E24" i="2"/>
  <c r="AJ17" i="1"/>
  <c r="AI17" i="1"/>
  <c r="AH17" i="1"/>
  <c r="AG17" i="1"/>
  <c r="AF17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AI18" i="1"/>
  <c r="AH18" i="1"/>
  <c r="S18" i="1"/>
  <c r="R18" i="1"/>
  <c r="Q18" i="1"/>
  <c r="P18" i="1"/>
  <c r="O18" i="1"/>
  <c r="N18" i="1"/>
  <c r="K18" i="1"/>
  <c r="L17" i="1"/>
  <c r="K17" i="1"/>
  <c r="J31" i="2"/>
  <c r="I31" i="2"/>
  <c r="H31" i="2"/>
  <c r="G31" i="2"/>
  <c r="F31" i="2"/>
  <c r="A32" i="2"/>
  <c r="B32" i="2"/>
  <c r="C32" i="2"/>
  <c r="D32" i="2"/>
  <c r="A33" i="2"/>
  <c r="B33" i="2"/>
  <c r="C33" i="2"/>
  <c r="D33" i="2"/>
  <c r="A34" i="2"/>
  <c r="B34" i="2"/>
  <c r="C34" i="2"/>
  <c r="D34" i="2"/>
  <c r="A35" i="2"/>
  <c r="B35" i="2"/>
  <c r="C35" i="2"/>
  <c r="D35" i="2"/>
  <c r="A36" i="2"/>
  <c r="B36" i="2"/>
  <c r="C36" i="2"/>
  <c r="D36" i="2"/>
  <c r="A37" i="2"/>
  <c r="B37" i="2"/>
  <c r="C37" i="2"/>
  <c r="D37" i="2"/>
  <c r="A38" i="2"/>
  <c r="B38" i="2"/>
  <c r="C38" i="2"/>
  <c r="D38" i="2"/>
  <c r="A39" i="2"/>
  <c r="B39" i="2"/>
  <c r="C39" i="2"/>
  <c r="D39" i="2"/>
  <c r="A40" i="2"/>
  <c r="B40" i="2"/>
  <c r="C40" i="2"/>
  <c r="D40" i="2"/>
  <c r="A41" i="2"/>
  <c r="B41" i="2"/>
  <c r="C41" i="2"/>
  <c r="D41" i="2"/>
  <c r="A42" i="2"/>
  <c r="B42" i="2"/>
  <c r="C42" i="2"/>
  <c r="D42" i="2"/>
  <c r="A43" i="2"/>
  <c r="B43" i="2"/>
  <c r="C43" i="2"/>
  <c r="D43" i="2"/>
  <c r="A44" i="2"/>
  <c r="B44" i="2"/>
  <c r="C44" i="2"/>
  <c r="D44" i="2"/>
  <c r="B31" i="2"/>
  <c r="C31" i="2"/>
  <c r="D31" i="2"/>
  <c r="A31" i="2"/>
  <c r="I24" i="3"/>
  <c r="E24" i="3"/>
  <c r="AE17" i="1"/>
  <c r="AD17" i="1"/>
  <c r="AC17" i="1"/>
  <c r="AB17" i="1"/>
  <c r="C7" i="1" l="1"/>
  <c r="AD21" i="1"/>
  <c r="AB21" i="1"/>
  <c r="AH21" i="1"/>
  <c r="U21" i="1"/>
  <c r="AI21" i="1"/>
  <c r="AC21" i="1"/>
  <c r="AF21" i="1"/>
  <c r="AE21" i="1"/>
  <c r="AG21" i="1"/>
  <c r="W21" i="1"/>
  <c r="X21" i="1"/>
  <c r="Y21" i="1"/>
  <c r="T21" i="1"/>
  <c r="Z21" i="1"/>
  <c r="V21" i="1"/>
  <c r="AA21" i="1"/>
  <c r="AG22" i="1"/>
  <c r="AF22" i="1"/>
  <c r="AE22" i="1"/>
  <c r="AD22" i="1"/>
  <c r="AC22" i="1"/>
  <c r="AB22" i="1"/>
  <c r="AA22" i="1"/>
  <c r="Z22" i="1"/>
  <c r="Y22" i="1"/>
  <c r="X22" i="1"/>
  <c r="W22" i="1"/>
  <c r="V22" i="1"/>
  <c r="U22" i="1"/>
  <c r="T22" i="1"/>
  <c r="AC18" i="1"/>
  <c r="AB18" i="1"/>
  <c r="AA18" i="1"/>
  <c r="Z18" i="1"/>
  <c r="Y18" i="1"/>
  <c r="X18" i="1"/>
  <c r="W18" i="1"/>
  <c r="V18" i="1"/>
  <c r="U18" i="1"/>
  <c r="T18" i="1"/>
  <c r="M17" i="1"/>
  <c r="N17" i="1"/>
  <c r="S17" i="1"/>
  <c r="T17" i="1"/>
  <c r="U17" i="1"/>
  <c r="V17" i="1"/>
  <c r="W17" i="1"/>
  <c r="X17" i="1"/>
  <c r="Y17" i="1"/>
  <c r="Z17" i="1"/>
  <c r="AA17" i="1"/>
  <c r="F20" i="3"/>
  <c r="AH23" i="1" l="1"/>
  <c r="AI23" i="1"/>
  <c r="U23" i="1"/>
  <c r="T23" i="1"/>
  <c r="B7" i="1"/>
  <c r="R44" i="2"/>
  <c r="R43" i="2"/>
  <c r="R42" i="2"/>
  <c r="R39" i="2"/>
  <c r="R38" i="2"/>
  <c r="R37" i="2"/>
  <c r="R36" i="2"/>
  <c r="R35" i="2"/>
  <c r="R34" i="2"/>
  <c r="R33" i="2"/>
  <c r="R32" i="2"/>
  <c r="N2" i="1" l="1"/>
  <c r="M2" i="1"/>
  <c r="N3" i="1"/>
  <c r="M3" i="1"/>
  <c r="H20" i="3"/>
  <c r="O2" i="1" l="1"/>
  <c r="P2" i="1" s="1"/>
  <c r="O3" i="1"/>
  <c r="P3" i="1" s="1"/>
  <c r="K32" i="2"/>
  <c r="L32" i="2"/>
  <c r="M32" i="2"/>
  <c r="N32" i="2"/>
  <c r="O32" i="2"/>
  <c r="P32" i="2"/>
  <c r="Q32" i="2"/>
  <c r="K33" i="2"/>
  <c r="L33" i="2"/>
  <c r="M33" i="2"/>
  <c r="N33" i="2"/>
  <c r="O33" i="2"/>
  <c r="P33" i="2"/>
  <c r="Q33" i="2"/>
  <c r="K34" i="2"/>
  <c r="L34" i="2"/>
  <c r="M34" i="2"/>
  <c r="N34" i="2"/>
  <c r="O34" i="2"/>
  <c r="P34" i="2"/>
  <c r="Q34" i="2"/>
  <c r="K35" i="2"/>
  <c r="L35" i="2"/>
  <c r="M35" i="2"/>
  <c r="N35" i="2"/>
  <c r="O35" i="2"/>
  <c r="P35" i="2"/>
  <c r="Q35" i="2"/>
  <c r="K36" i="2"/>
  <c r="L36" i="2"/>
  <c r="M36" i="2"/>
  <c r="N36" i="2"/>
  <c r="O36" i="2"/>
  <c r="P36" i="2"/>
  <c r="Q36" i="2"/>
  <c r="K37" i="2"/>
  <c r="L37" i="2"/>
  <c r="M37" i="2"/>
  <c r="N37" i="2"/>
  <c r="O37" i="2"/>
  <c r="P37" i="2"/>
  <c r="Q37" i="2"/>
  <c r="K38" i="2"/>
  <c r="L38" i="2"/>
  <c r="M38" i="2"/>
  <c r="N38" i="2"/>
  <c r="O38" i="2"/>
  <c r="P38" i="2"/>
  <c r="Q38" i="2"/>
  <c r="K39" i="2"/>
  <c r="L39" i="2"/>
  <c r="M39" i="2"/>
  <c r="N39" i="2"/>
  <c r="O39" i="2"/>
  <c r="P39" i="2"/>
  <c r="Q39" i="2"/>
  <c r="K40" i="2"/>
  <c r="L40" i="2"/>
  <c r="M40" i="2"/>
  <c r="N40" i="2"/>
  <c r="O40" i="2"/>
  <c r="P40" i="2"/>
  <c r="Q40" i="2"/>
  <c r="K41" i="2"/>
  <c r="L41" i="2"/>
  <c r="M41" i="2"/>
  <c r="N41" i="2"/>
  <c r="O41" i="2"/>
  <c r="P41" i="2"/>
  <c r="Q41" i="2"/>
  <c r="K42" i="2"/>
  <c r="L42" i="2"/>
  <c r="M42" i="2"/>
  <c r="N42" i="2"/>
  <c r="O42" i="2"/>
  <c r="P42" i="2"/>
  <c r="Q42" i="2"/>
  <c r="K43" i="2"/>
  <c r="L43" i="2"/>
  <c r="M43" i="2"/>
  <c r="N43" i="2"/>
  <c r="O43" i="2"/>
  <c r="P43" i="2"/>
  <c r="Q43" i="2"/>
  <c r="K44" i="2"/>
  <c r="L44" i="2"/>
  <c r="M44" i="2"/>
  <c r="N44" i="2"/>
  <c r="O44" i="2"/>
  <c r="P44" i="2"/>
  <c r="Q44" i="2"/>
  <c r="E44" i="2"/>
  <c r="F32" i="2"/>
  <c r="G32" i="2"/>
  <c r="H32" i="2"/>
  <c r="I32" i="2"/>
  <c r="J32" i="2"/>
  <c r="F33" i="2"/>
  <c r="G33" i="2"/>
  <c r="H33" i="2"/>
  <c r="I33" i="2"/>
  <c r="J33" i="2"/>
  <c r="F34" i="2"/>
  <c r="G34" i="2"/>
  <c r="H34" i="2"/>
  <c r="I34" i="2"/>
  <c r="J34" i="2"/>
  <c r="F35" i="2"/>
  <c r="G35" i="2"/>
  <c r="H35" i="2"/>
  <c r="I35" i="2"/>
  <c r="J35" i="2"/>
  <c r="F36" i="2"/>
  <c r="H36" i="2"/>
  <c r="I36" i="2"/>
  <c r="J36" i="2"/>
  <c r="F37" i="2"/>
  <c r="H37" i="2"/>
  <c r="I37" i="2"/>
  <c r="J37" i="2"/>
  <c r="F38" i="2"/>
  <c r="G38" i="2"/>
  <c r="H38" i="2"/>
  <c r="I38" i="2"/>
  <c r="J38" i="2"/>
  <c r="F39" i="2"/>
  <c r="I39" i="2"/>
  <c r="F40" i="2"/>
  <c r="I40" i="2"/>
  <c r="F41" i="2"/>
  <c r="I41" i="2"/>
  <c r="E42" i="2"/>
  <c r="F42" i="2"/>
  <c r="H42" i="2"/>
  <c r="I42" i="2"/>
  <c r="E43" i="2"/>
  <c r="F43" i="2"/>
  <c r="H43" i="2"/>
  <c r="I43" i="2"/>
  <c r="J43" i="2"/>
  <c r="F44" i="2"/>
  <c r="H44" i="2"/>
  <c r="I44" i="2"/>
  <c r="J44" i="2"/>
  <c r="H46" i="2" l="1" a="1"/>
  <c r="H46" i="2" s="1"/>
  <c r="H45" i="2" a="1"/>
  <c r="H45" i="2" s="1"/>
  <c r="Q46" i="2" a="1"/>
  <c r="Q46" i="2" s="1"/>
  <c r="Q45" i="2" a="1"/>
  <c r="Q45" i="2" s="1"/>
  <c r="P45" i="2" a="1"/>
  <c r="P45" i="2" s="1"/>
  <c r="P46" i="2" a="1"/>
  <c r="P46" i="2" s="1"/>
  <c r="F45" i="2" a="1"/>
  <c r="F45" i="2" s="1"/>
  <c r="F46" i="2" a="1"/>
  <c r="F46" i="2" s="1"/>
  <c r="N46" i="2" a="1"/>
  <c r="N46" i="2" s="1"/>
  <c r="N45" i="2" a="1"/>
  <c r="N45" i="2" s="1"/>
  <c r="M46" i="2" a="1"/>
  <c r="M46" i="2" s="1"/>
  <c r="M45" i="2" a="1"/>
  <c r="M45" i="2" s="1"/>
  <c r="O46" i="2" a="1"/>
  <c r="O46" i="2" s="1"/>
  <c r="O45" i="2" a="1"/>
  <c r="O45" i="2" s="1"/>
  <c r="L45" i="2" a="1"/>
  <c r="L45" i="2" s="1"/>
  <c r="L46" i="2" a="1"/>
  <c r="L46" i="2" s="1"/>
  <c r="E46" i="2" a="1"/>
  <c r="E46" i="2" s="1"/>
  <c r="E45" i="2" a="1"/>
  <c r="E45" i="2" s="1"/>
  <c r="J45" i="2" a="1"/>
  <c r="J45" i="2" s="1"/>
  <c r="J46" i="2" a="1"/>
  <c r="J46" i="2" s="1"/>
  <c r="K46" i="2" a="1"/>
  <c r="K46" i="2" s="1"/>
  <c r="K45" i="2" a="1"/>
  <c r="K45" i="2" s="1"/>
  <c r="G46" i="2" a="1"/>
  <c r="G46" i="2" s="1"/>
  <c r="I45" i="2" a="1"/>
  <c r="I45" i="2" s="1"/>
  <c r="I46" i="2" a="1"/>
  <c r="I46" i="2" s="1"/>
  <c r="R46" i="2" a="1"/>
  <c r="R46" i="2" s="1"/>
  <c r="R45" i="2" a="1"/>
  <c r="R45" i="2" s="1"/>
  <c r="Y23" i="1"/>
  <c r="X23" i="1"/>
  <c r="AD23" i="1"/>
  <c r="W23" i="1"/>
  <c r="V23" i="1"/>
  <c r="AE23" i="1"/>
  <c r="AA23" i="1"/>
  <c r="AC23" i="1"/>
  <c r="Z23" i="1"/>
  <c r="AB23" i="1"/>
  <c r="AG23" i="1"/>
  <c r="AF23" i="1"/>
  <c r="O4" i="1" l="1"/>
  <c r="P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<sst xmlns="http://schemas.openxmlformats.org/spreadsheetml/2006/main" count="313" uniqueCount="175">
  <si>
    <t>Consensus</t>
  </si>
  <si>
    <t>VA Actual</t>
  </si>
  <si>
    <t>YoY Growth</t>
  </si>
  <si>
    <t>Q2</t>
  </si>
  <si>
    <t>Q3</t>
  </si>
  <si>
    <t>Q4</t>
  </si>
  <si>
    <t>DATA</t>
  </si>
  <si>
    <t>Beat (1 Yes, 0 No)</t>
  </si>
  <si>
    <t>Avg Beat</t>
  </si>
  <si>
    <t>Beat Moving Avg (4)</t>
  </si>
  <si>
    <t>Avg Beat MA</t>
  </si>
  <si>
    <t>Beat Pct</t>
  </si>
  <si>
    <t>Beat Pct MA (4)</t>
  </si>
  <si>
    <t>Median Beat Pct</t>
  </si>
  <si>
    <t>Median Beat Pct MA</t>
  </si>
  <si>
    <t>Avg YoY Growth</t>
  </si>
  <si>
    <t>Avg Last 4 Qtr YoY GR</t>
  </si>
  <si>
    <t>US Pre-Q Revenue</t>
  </si>
  <si>
    <t>US to Total Proportion Revenue</t>
  </si>
  <si>
    <t>QTR</t>
  </si>
  <si>
    <t>Q1</t>
  </si>
  <si>
    <t>Q3E</t>
  </si>
  <si>
    <t>Q4E</t>
  </si>
  <si>
    <t>Avg Last 4 Qtr US to Total Proportion Revenue</t>
  </si>
  <si>
    <t>QTR Distributions</t>
  </si>
  <si>
    <t>Avg Positive Beat</t>
  </si>
  <si>
    <t>Avg Negative Beat</t>
  </si>
  <si>
    <t>Q3 Quarter Distribution Avg</t>
  </si>
  <si>
    <t>Q3 Quarter Distribution Standard Deviation</t>
  </si>
  <si>
    <t>Median Positive Beat</t>
  </si>
  <si>
    <t>Median Negative Beat</t>
  </si>
  <si>
    <t>Lower</t>
  </si>
  <si>
    <t>Upper</t>
  </si>
  <si>
    <t>GUIDANCE</t>
  </si>
  <si>
    <t>PARAMETERS</t>
  </si>
  <si>
    <t>Confidance Interval</t>
  </si>
  <si>
    <t>USA Guidance</t>
  </si>
  <si>
    <t>Lower Confidence Interval</t>
  </si>
  <si>
    <t>Upper Confidence Interval</t>
  </si>
  <si>
    <t>Avg</t>
  </si>
  <si>
    <t>Total</t>
  </si>
  <si>
    <t>Expected YoY Growth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</si>
  <si>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</si>
  <si>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</si>
  <si>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</si>
  <si>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</si>
  <si>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</si>
  <si>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</si>
  <si>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</si>
  <si>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</si>
  <si>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</si>
  <si>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</si>
  <si>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</si>
  <si>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</si>
  <si>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</si>
  <si>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</si>
  <si>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TICKER</t>
  </si>
  <si>
    <t>REVENUE_TYPE</t>
  </si>
  <si>
    <t>CutDate</t>
  </si>
  <si>
    <t>SS_12_12 Estimate</t>
  </si>
  <si>
    <t>SS_NO_LR</t>
  </si>
  <si>
    <t>NSS_12_12_Estimate</t>
  </si>
  <si>
    <t>Average</t>
  </si>
  <si>
    <t>SS_12_12 Estimate_GR</t>
  </si>
  <si>
    <t>SS_NO_LR_GR</t>
  </si>
  <si>
    <t>NSS_12_12_Estimate_GR</t>
  </si>
  <si>
    <t>Average_GR</t>
  </si>
  <si>
    <t>AVG_AVG_GR</t>
  </si>
  <si>
    <t>Calendar Year</t>
  </si>
  <si>
    <t>SS 12_03 LR</t>
  </si>
  <si>
    <t>NSS 12_03 LR</t>
  </si>
  <si>
    <t>2021Q3</t>
  </si>
  <si>
    <t>Reported Revenue</t>
  </si>
  <si>
    <t>SS 12_03_LR_GR</t>
  </si>
  <si>
    <t>NSS 12_03_LR_GR</t>
  </si>
  <si>
    <t>CORRELATION W/O 2021Q3</t>
  </si>
  <si>
    <t>Historical Projections</t>
  </si>
  <si>
    <t>Projection Accuracy</t>
  </si>
  <si>
    <t>Absolute Average</t>
  </si>
  <si>
    <t>Standard Deviation from 0</t>
  </si>
  <si>
    <t>NOTE:</t>
  </si>
  <si>
    <t>The Best Linear Regression Models (Linear Models) comes either from best correlations or Best (lowest) Accuracy or Best (Standard Deviation) Accuracy</t>
  </si>
  <si>
    <t>From Step 2. We input the historical values for the projection methodology and add a layered forward chaining linear models regression</t>
  </si>
  <si>
    <t>2021Q2 Results</t>
  </si>
  <si>
    <t>Notes</t>
  </si>
  <si>
    <t>CONSENSUS</t>
  </si>
  <si>
    <t>PROJ</t>
  </si>
  <si>
    <t>LR</t>
  </si>
  <si>
    <t>LR_CON</t>
  </si>
  <si>
    <t>LR_CON_PROJ</t>
  </si>
  <si>
    <t>RIDGE</t>
  </si>
  <si>
    <t>LASSO</t>
  </si>
  <si>
    <t>RIDGE_CON</t>
  </si>
  <si>
    <t>LASSO_CON</t>
  </si>
  <si>
    <t>QUAD</t>
  </si>
  <si>
    <t>CUBIC</t>
  </si>
  <si>
    <t>AVG</t>
  </si>
  <si>
    <t>STD</t>
  </si>
  <si>
    <t>MEDIAN</t>
  </si>
  <si>
    <t>1.</t>
  </si>
  <si>
    <t>2.</t>
  </si>
  <si>
    <t>3.</t>
  </si>
  <si>
    <t>4.</t>
  </si>
  <si>
    <t>5.</t>
  </si>
  <si>
    <t>STEP</t>
  </si>
  <si>
    <t>6.</t>
  </si>
  <si>
    <t>2. Past Proj &amp; Candidate Model'!A45:B45</t>
  </si>
  <si>
    <t>7.</t>
  </si>
  <si>
    <t>The predicted 2021Q2 Revenue is then:</t>
  </si>
  <si>
    <t>Acuuracy:</t>
  </si>
  <si>
    <t>off</t>
  </si>
  <si>
    <t xml:space="preserve">This methodology scored: </t>
  </si>
  <si>
    <t>Finding the best methodology in the previous quarter. (Do not put 2021Q3 data point into the pandas data frame in LR_adj.py)</t>
  </si>
  <si>
    <t xml:space="preserve">To explain each methodology result. </t>
  </si>
  <si>
    <t>1. Consensus is the benchmark. It is how well consensus performs in the same out of sample</t>
  </si>
  <si>
    <t>2. Projection is the inputted data series from past projection</t>
  </si>
  <si>
    <t>3. LR is the linear regression with the projection as X values and Reported Revenue as Y</t>
  </si>
  <si>
    <t>4. LR_CON is the linear regression that doesn't uses the projection and takes consensus values and run the regression with it. Example on the right</t>
  </si>
  <si>
    <t>5. LR_CON_PROJ is the multi-linear regression that takes both consensus and projection as X and outputs predicted reported revenue</t>
  </si>
  <si>
    <t>6. Ridge is a modified linear regression method. This takes projection as X and outputs predicted reported revenue as Y</t>
  </si>
  <si>
    <t>6. Lasso is an another modified linear regression method. This takes projection as X and outputs predicted reported revenue as Y</t>
  </si>
  <si>
    <t>7. Ridge_CON is the multi-linear regression with the projection and consensus as X and outputs predicted reported revenue as Y</t>
  </si>
  <si>
    <t>8. LASSO_CON is the multi-linear regression with the projection and consensus as X and outputs predicted reported revenue as Y</t>
  </si>
  <si>
    <t>Overall Result</t>
  </si>
  <si>
    <t>Step</t>
  </si>
  <si>
    <t>DATE</t>
  </si>
  <si>
    <t>REVENUE</t>
  </si>
  <si>
    <t>acc_CON</t>
  </si>
  <si>
    <t>acc_PROJ</t>
  </si>
  <si>
    <t>acc_LR</t>
  </si>
  <si>
    <t>acc_LR_CON</t>
  </si>
  <si>
    <t>acc_LR_CON_PROJ</t>
  </si>
  <si>
    <t>acc_RIDGE</t>
  </si>
  <si>
    <t>acc_LASSO</t>
  </si>
  <si>
    <t>acc_RIDGE_CON</t>
  </si>
  <si>
    <t>acc_LASSO_CON</t>
  </si>
  <si>
    <t>acc_QUAD</t>
  </si>
  <si>
    <t>acc_CUBIC</t>
  </si>
  <si>
    <t>Improved Alpha Model</t>
  </si>
  <si>
    <t>This is the same average and standard deviation calculation found in Cell</t>
  </si>
  <si>
    <t>Median value is there to show how often the back-test overshoots or undershoots the results. Negative means it overshoots.</t>
  </si>
  <si>
    <t>Average Undershoot or Overshoot:</t>
  </si>
  <si>
    <t>Average Undershoot</t>
  </si>
  <si>
    <t>Median Undershoot or Overshoot:</t>
  </si>
  <si>
    <t>Median Undershoot</t>
  </si>
  <si>
    <t>Average Overshoot</t>
  </si>
  <si>
    <t>Median Overshoot</t>
  </si>
  <si>
    <r>
      <t xml:space="preserve">You can find the script in this directory </t>
    </r>
    <r>
      <rPr>
        <b/>
        <sz val="10"/>
        <color theme="1"/>
        <rFont val="Arial"/>
        <family val="2"/>
      </rPr>
      <t>C:\dev\da.research\personal\rxia\LR_Adj.py</t>
    </r>
  </si>
  <si>
    <t>Scaling Average Undershoot or Overshoot:</t>
  </si>
  <si>
    <t>Scaling Median Undershoot or Overshoot:</t>
  </si>
  <si>
    <t>Scaling Average Undershoot</t>
  </si>
  <si>
    <t>Scaling Median Undershoot</t>
  </si>
  <si>
    <t>Scaling Average Overshoot</t>
  </si>
  <si>
    <t>Scaling Median Overshoot</t>
  </si>
  <si>
    <t>Depending on the belief, if you think the results currently is larger than what it is currently is then we can use the miss value at average overshoot</t>
  </si>
  <si>
    <t xml:space="preserve">However the average or median undershoot or overshoot is unbiased. </t>
  </si>
  <si>
    <t>Use:</t>
  </si>
  <si>
    <t>Total Revenue</t>
  </si>
  <si>
    <t>Input those as projection into python script in step 3.</t>
  </si>
  <si>
    <t>Consensus average scored:</t>
  </si>
  <si>
    <t>Since:</t>
  </si>
  <si>
    <t>Methodology performed the best at in 2021Q2, we use it to predict Q3</t>
  </si>
  <si>
    <t>These average are biased because it compares it to the relative the inputted reported revenue. Since we do not have 2021Q3, I input consensus in there. See Step 4 for the regression summary.</t>
  </si>
  <si>
    <t>Historical Average Beat\Miss:</t>
  </si>
  <si>
    <t>Improved Alpha Implied Beat/Miss:</t>
  </si>
  <si>
    <t>For Sheet 3 Regression Removed 2020Q2</t>
  </si>
  <si>
    <r>
      <t xml:space="preserve">I store the output for each ticker in </t>
    </r>
    <r>
      <rPr>
        <b/>
        <sz val="10"/>
        <color theme="1"/>
        <rFont val="Arial"/>
        <family val="2"/>
      </rPr>
      <t>C:\dev\da.research\personal\rxia\Improved Alpha Models</t>
    </r>
  </si>
  <si>
    <t>2017Q4</t>
  </si>
  <si>
    <t>2017Q2</t>
  </si>
  <si>
    <t>2017Q3</t>
  </si>
  <si>
    <t>If this value is unsatisfactory, use confidence interval.</t>
  </si>
  <si>
    <t>ZBH_SET</t>
  </si>
  <si>
    <t>v</t>
  </si>
  <si>
    <t>Americas Revenue - SET</t>
  </si>
  <si>
    <t>NSS_12_12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</si>
</sst>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%"/>
    <numFmt numFmtId="165" formatCode="0.0000"/>
    <numFmt numFmtId="166" formatCode="0.0"/>
    <numFmt numFmtId="167" formatCode="0.00000"/>
  </numFmts>
  <fonts count="10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name val="Calibri"/>
      <family val="2"/>
    </font>
    <font>
      <sz val="11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7">
    <xf numFmtId="0" fontId="0" fillId="0" borderId="0" xfId="0"/>
    <xf numFmtId="10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0" fontId="0" fillId="0" borderId="1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8" borderId="1" xfId="0" applyFill="1" applyBorder="1"/>
    <xf numFmtId="164" fontId="0" fillId="0" borderId="0" xfId="1" applyNumberFormat="1" applyFont="1" applyBorder="1"/>
    <xf numFmtId="0" fontId="0" fillId="8" borderId="11" xfId="0" applyFill="1" applyBorder="1"/>
    <xf numFmtId="0" fontId="0" fillId="3" borderId="6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164" fontId="0" fillId="0" borderId="11" xfId="0" applyNumberFormat="1" applyBorder="1"/>
    <xf numFmtId="164" fontId="0" fillId="0" borderId="12" xfId="0" applyNumberFormat="1" applyBorder="1"/>
    <xf numFmtId="0" fontId="0" fillId="11" borderId="1" xfId="0" applyFill="1" applyBorder="1"/>
    <xf numFmtId="9" fontId="0" fillId="0" borderId="1" xfId="0" applyNumberFormat="1" applyBorder="1"/>
    <xf numFmtId="0" fontId="0" fillId="8" borderId="14" xfId="0" applyFill="1" applyBorder="1"/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4" fontId="0" fillId="0" borderId="9" xfId="1" applyNumberFormat="1" applyFont="1" applyBorder="1"/>
    <xf numFmtId="0" fontId="0" fillId="8" borderId="2" xfId="0" applyFill="1" applyBorder="1"/>
    <xf numFmtId="164" fontId="4" fillId="0" borderId="4" xfId="1" applyNumberFormat="1" applyFont="1" applyFill="1" applyBorder="1"/>
    <xf numFmtId="164" fontId="0" fillId="0" borderId="4" xfId="0" applyNumberFormat="1" applyBorder="1"/>
    <xf numFmtId="10" fontId="0" fillId="0" borderId="4" xfId="0" applyNumberFormat="1" applyFill="1" applyBorder="1"/>
    <xf numFmtId="0" fontId="0" fillId="8" borderId="10" xfId="0" applyFill="1" applyBorder="1"/>
    <xf numFmtId="164" fontId="0" fillId="0" borderId="7" xfId="0" applyNumberFormat="1" applyBorder="1"/>
    <xf numFmtId="10" fontId="0" fillId="0" borderId="12" xfId="1" applyNumberFormat="1" applyFont="1" applyBorder="1"/>
    <xf numFmtId="0" fontId="0" fillId="2" borderId="6" xfId="0" applyFill="1" applyBorder="1"/>
    <xf numFmtId="0" fontId="0" fillId="2" borderId="7" xfId="0" applyFill="1" applyBorder="1"/>
    <xf numFmtId="0" fontId="0" fillId="0" borderId="0" xfId="0" applyFill="1" applyAlignment="1">
      <alignment horizontal="center" vertical="center"/>
    </xf>
    <xf numFmtId="0" fontId="0" fillId="14" borderId="4" xfId="0" applyFill="1" applyBorder="1"/>
    <xf numFmtId="0" fontId="5" fillId="3" borderId="8" xfId="0" applyFont="1" applyFill="1" applyBorder="1"/>
    <xf numFmtId="0" fontId="6" fillId="5" borderId="10" xfId="0" applyFont="1" applyFill="1" applyBorder="1" applyAlignment="1">
      <alignment horizontal="left" vertical="center"/>
    </xf>
    <xf numFmtId="166" fontId="6" fillId="0" borderId="11" xfId="0" applyNumberFormat="1" applyFont="1" applyFill="1" applyBorder="1" applyAlignment="1">
      <alignment horizontal="center" vertical="center"/>
    </xf>
    <xf numFmtId="166" fontId="6" fillId="0" borderId="12" xfId="0" applyNumberFormat="1" applyFont="1" applyFill="1" applyBorder="1" applyAlignment="1">
      <alignment horizontal="center" vertical="center"/>
    </xf>
    <xf numFmtId="0" fontId="7" fillId="13" borderId="0" xfId="0" applyFont="1" applyFill="1" applyBorder="1"/>
    <xf numFmtId="0" fontId="7" fillId="13" borderId="9" xfId="0" applyFont="1" applyFill="1" applyBorder="1"/>
    <xf numFmtId="0" fontId="3" fillId="12" borderId="5" xfId="0" applyFont="1" applyFill="1" applyBorder="1"/>
    <xf numFmtId="0" fontId="0" fillId="10" borderId="8" xfId="0" applyFill="1" applyBorder="1"/>
    <xf numFmtId="0" fontId="0" fillId="10" borderId="0" xfId="0" applyFill="1" applyBorder="1"/>
    <xf numFmtId="0" fontId="0" fillId="0" borderId="3" xfId="0" applyBorder="1"/>
    <xf numFmtId="166" fontId="0" fillId="0" borderId="0" xfId="0" applyNumberFormat="1" applyBorder="1"/>
    <xf numFmtId="166" fontId="0" fillId="0" borderId="11" xfId="0" applyNumberFormat="1" applyBorder="1"/>
    <xf numFmtId="166" fontId="0" fillId="0" borderId="14" xfId="0" applyNumberFormat="1" applyBorder="1"/>
    <xf numFmtId="166" fontId="0" fillId="0" borderId="15" xfId="0" applyNumberFormat="1" applyBorder="1"/>
    <xf numFmtId="2" fontId="0" fillId="0" borderId="0" xfId="0" applyNumberFormat="1"/>
    <xf numFmtId="49" fontId="0" fillId="0" borderId="0" xfId="0" applyNumberFormat="1"/>
    <xf numFmtId="0" fontId="0" fillId="0" borderId="0" xfId="0" quotePrefix="1"/>
    <xf numFmtId="0" fontId="0" fillId="9" borderId="0" xfId="0" applyFill="1"/>
    <xf numFmtId="0" fontId="0" fillId="0" borderId="14" xfId="0" applyFill="1" applyBorder="1"/>
    <xf numFmtId="0" fontId="8" fillId="0" borderId="1" xfId="0" applyFont="1" applyBorder="1" applyAlignment="1">
      <alignment horizontal="center" vertical="top"/>
    </xf>
    <xf numFmtId="0" fontId="9" fillId="0" borderId="0" xfId="0" applyFont="1" applyFill="1" applyBorder="1" applyAlignment="1">
      <alignment horizontal="left" vertical="top"/>
    </xf>
    <xf numFmtId="10" fontId="4" fillId="0" borderId="5" xfId="1" applyNumberFormat="1" applyFont="1" applyBorder="1"/>
    <xf numFmtId="10" fontId="4" fillId="0" borderId="10" xfId="1" applyNumberFormat="1" applyFont="1" applyBorder="1"/>
    <xf numFmtId="0" fontId="0" fillId="0" borderId="0" xfId="0" applyAlignment="1">
      <alignment horizontal="right"/>
    </xf>
    <xf numFmtId="0" fontId="0" fillId="17" borderId="0" xfId="0" applyFill="1"/>
    <xf numFmtId="0" fontId="0" fillId="3" borderId="0" xfId="0" applyFill="1"/>
    <xf numFmtId="166" fontId="0" fillId="2" borderId="0" xfId="0" applyNumberFormat="1" applyFill="1"/>
    <xf numFmtId="164" fontId="0" fillId="0" borderId="1" xfId="0" applyNumberFormat="1" applyBorder="1"/>
    <xf numFmtId="166" fontId="0" fillId="0" borderId="10" xfId="0" applyNumberFormat="1" applyBorder="1"/>
    <xf numFmtId="166" fontId="0" fillId="0" borderId="5" xfId="0" applyNumberFormat="1" applyBorder="1"/>
    <xf numFmtId="164" fontId="0" fillId="0" borderId="13" xfId="1" applyNumberFormat="1" applyFont="1" applyFill="1" applyBorder="1" applyAlignment="1">
      <alignment horizontal="center"/>
    </xf>
    <xf numFmtId="0" fontId="0" fillId="3" borderId="14" xfId="0" applyFill="1" applyBorder="1"/>
    <xf numFmtId="164" fontId="0" fillId="3" borderId="0" xfId="1" applyNumberFormat="1" applyFont="1" applyFill="1" applyBorder="1"/>
    <xf numFmtId="0" fontId="0" fillId="3" borderId="9" xfId="0" applyFill="1" applyBorder="1"/>
    <xf numFmtId="164" fontId="0" fillId="3" borderId="9" xfId="1" applyNumberFormat="1" applyFont="1" applyFill="1" applyBorder="1"/>
    <xf numFmtId="0" fontId="0" fillId="8" borderId="0" xfId="0" applyFill="1" applyBorder="1"/>
    <xf numFmtId="0" fontId="0" fillId="8" borderId="8" xfId="0" applyFill="1" applyBorder="1"/>
    <xf numFmtId="165" fontId="0" fillId="0" borderId="0" xfId="0" applyNumberFormat="1" applyBorder="1"/>
    <xf numFmtId="0" fontId="0" fillId="9" borderId="0" xfId="0" applyFill="1" applyAlignment="1"/>
    <xf numFmtId="0" fontId="0" fillId="8" borderId="0" xfId="0" applyFill="1" applyAlignment="1"/>
    <xf numFmtId="0" fontId="0" fillId="16" borderId="0" xfId="0" applyFill="1" applyAlignment="1"/>
    <xf numFmtId="0" fontId="0" fillId="2" borderId="0" xfId="0" applyFill="1" applyAlignment="1"/>
    <xf numFmtId="0" fontId="0" fillId="12" borderId="0" xfId="0" applyFill="1" applyAlignment="1"/>
    <xf numFmtId="164" fontId="0" fillId="0" borderId="15" xfId="0" applyNumberFormat="1" applyBorder="1"/>
    <xf numFmtId="164" fontId="0" fillId="0" borderId="13" xfId="0" applyNumberFormat="1" applyBorder="1"/>
    <xf numFmtId="166" fontId="0" fillId="0" borderId="0" xfId="0" applyNumberFormat="1"/>
    <xf numFmtId="167" fontId="4" fillId="0" borderId="3" xfId="0" applyNumberFormat="1" applyFont="1" applyBorder="1"/>
    <xf numFmtId="167" fontId="2" fillId="0" borderId="3" xfId="0" applyNumberFormat="1" applyFont="1" applyBorder="1"/>
    <xf numFmtId="0" fontId="0" fillId="10" borderId="0" xfId="0" applyFill="1" applyAlignment="1"/>
    <xf numFmtId="0" fontId="0" fillId="10" borderId="0" xfId="0" applyFill="1"/>
    <xf numFmtId="0" fontId="0" fillId="5" borderId="2" xfId="0" applyFill="1" applyBorder="1" applyAlignment="1">
      <alignment horizontal="center"/>
    </xf>
    <xf numFmtId="4" fontId="0" fillId="0" borderId="0" xfId="0" applyNumberFormat="1"/>
    <xf numFmtId="4" fontId="0" fillId="0" borderId="0" xfId="0" applyNumberFormat="1" applyBorder="1"/>
    <xf numFmtId="0" fontId="0" fillId="5" borderId="1" xfId="0" applyFill="1" applyBorder="1" applyAlignment="1">
      <alignment horizontal="center"/>
    </xf>
    <xf numFmtId="10" fontId="0" fillId="3" borderId="8" xfId="1" applyNumberFormat="1" applyFont="1" applyFill="1" applyBorder="1"/>
    <xf numFmtId="10" fontId="2" fillId="0" borderId="5" xfId="1" applyNumberFormat="1" applyFont="1" applyBorder="1"/>
    <xf numFmtId="10" fontId="2" fillId="0" borderId="10" xfId="1" applyNumberFormat="1" applyFont="1" applyBorder="1"/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12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12" borderId="10" xfId="0" applyFill="1" applyBorder="1" applyAlignment="1">
      <alignment horizontal="center"/>
    </xf>
    <xf numFmtId="0" fontId="0" fillId="12" borderId="11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10" borderId="9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164" fontId="0" fillId="0" borderId="10" xfId="1" applyNumberFormat="1" applyFont="1" applyBorder="1" applyAlignment="1">
      <alignment horizontal="center"/>
    </xf>
    <xf numFmtId="164" fontId="0" fillId="0" borderId="12" xfId="1" applyNumberFormat="1" applyFont="1" applyBorder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0" fillId="12" borderId="2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164" fontId="0" fillId="0" borderId="5" xfId="1" applyNumberFormat="1" applyFont="1" applyBorder="1" applyAlignment="1">
      <alignment horizontal="center"/>
    </xf>
    <xf numFmtId="164" fontId="0" fillId="0" borderId="7" xfId="1" applyNumberFormat="1" applyFont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15" borderId="6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1" xfId="0" applyFill="1" applyBorder="1" applyAlignment="1">
      <alignment horizontal="center"/>
    </xf>
    <xf numFmtId="0" fontId="0" fillId="15" borderId="12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9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86475-E142-46B6-ADBD-612F8B77D2A2}">
  <dimension ref="A1:AL29"/>
  <sheetViews>
    <sheetView topLeftCell="D1" zoomScale="70" zoomScaleNormal="70" workbookViewId="0">
      <selection activeCell="AL24" sqref="AL24"/>
    </sheetView>
  </sheetViews>
  <sheetFormatPr defaultRowHeight="12.75" x14ac:dyDescent="0.2"/>
  <cols>
    <col min="1" max="1" width="17.85546875" bestFit="1" customWidth="1"/>
    <col min="2" max="3" width="17.85546875" customWidth="1"/>
    <col min="4" max="4" width="5.140625" customWidth="1"/>
    <col min="5" max="5" width="7" customWidth="1"/>
    <col min="6" max="35" width="10.7109375" customWidth="1"/>
    <col min="36" max="36" width="17.85546875" customWidth="1"/>
    <col min="37" max="38" width="10.7109375" customWidth="1"/>
  </cols>
  <sheetData>
    <row r="1" spans="1:37" x14ac:dyDescent="0.2">
      <c r="A1" s="147" t="s">
        <v>171</v>
      </c>
      <c r="B1" s="148"/>
      <c r="C1" s="149"/>
      <c r="K1" s="156" t="s">
        <v>35</v>
      </c>
      <c r="L1" s="157"/>
      <c r="M1" s="61" t="s">
        <v>31</v>
      </c>
      <c r="N1" s="61" t="s">
        <v>32</v>
      </c>
      <c r="O1" s="4" t="s">
        <v>39</v>
      </c>
      <c r="P1" s="158" t="s">
        <v>41</v>
      </c>
      <c r="Q1" s="159"/>
    </row>
    <row r="2" spans="1:37" x14ac:dyDescent="0.2">
      <c r="A2" s="150"/>
      <c r="B2" s="151"/>
      <c r="C2" s="152"/>
      <c r="K2" s="59" t="s">
        <v>37</v>
      </c>
      <c r="L2" s="60"/>
      <c r="M2" s="62">
        <f>$B$7*($AK$25-2*$AK$26)</f>
        <v>263.11111035181636</v>
      </c>
      <c r="N2" s="62">
        <f>$B$7*($AK$25+2*$AK$26)</f>
        <v>281.23358299668621</v>
      </c>
      <c r="O2" s="64">
        <f>AVERAGE(M2:N2)</f>
        <v>272.17234667425129</v>
      </c>
      <c r="P2" s="160">
        <f>$O$2/AF14-1</f>
        <v>8.4192170220500628E-3</v>
      </c>
      <c r="Q2" s="161"/>
    </row>
    <row r="3" spans="1:37" x14ac:dyDescent="0.2">
      <c r="A3" s="153"/>
      <c r="B3" s="154"/>
      <c r="C3" s="155"/>
      <c r="K3" s="45" t="s">
        <v>38</v>
      </c>
      <c r="L3" s="19"/>
      <c r="M3" s="63">
        <f>$C$7*($AK$25-2*$AK$26)</f>
        <v>267.70693760686993</v>
      </c>
      <c r="N3" s="63">
        <f>$C$7*($AK$25+2*$AK$26)</f>
        <v>286.14595999226151</v>
      </c>
      <c r="O3" s="65">
        <f>AVERAGE(M3:N3)</f>
        <v>276.92644879956572</v>
      </c>
      <c r="P3" s="145">
        <f>$O$3/AF15-1</f>
        <v>2.6033526489684045E-2</v>
      </c>
      <c r="Q3" s="146"/>
    </row>
    <row r="4" spans="1:37" x14ac:dyDescent="0.2">
      <c r="A4" s="50"/>
      <c r="B4" s="50"/>
      <c r="C4" s="50"/>
      <c r="N4" s="4" t="s">
        <v>40</v>
      </c>
      <c r="O4" s="65">
        <f>AVERAGE(O2:O3)</f>
        <v>274.54939773690853</v>
      </c>
      <c r="P4" s="145">
        <f>$O$4/AF15-1</f>
        <v>1.7226371755867165E-2</v>
      </c>
      <c r="Q4" s="146"/>
    </row>
    <row r="5" spans="1:37" x14ac:dyDescent="0.2">
      <c r="A5" s="58" t="s">
        <v>34</v>
      </c>
      <c r="B5" s="48" t="s">
        <v>31</v>
      </c>
      <c r="C5" s="49" t="s">
        <v>32</v>
      </c>
    </row>
    <row r="6" spans="1:37" ht="15.75" x14ac:dyDescent="0.25">
      <c r="A6" s="52" t="s">
        <v>33</v>
      </c>
      <c r="B6" s="56">
        <v>8043.0524999999998</v>
      </c>
      <c r="C6" s="57">
        <v>8183.5425000000005</v>
      </c>
    </row>
    <row r="7" spans="1:37" ht="14.25" x14ac:dyDescent="0.2">
      <c r="A7" s="53" t="s">
        <v>36</v>
      </c>
      <c r="B7" s="54">
        <f>B6*$AK$24</f>
        <v>1117.826083014292</v>
      </c>
      <c r="C7" s="55">
        <f>C6*$AK$24</f>
        <v>1137.3514294424892</v>
      </c>
    </row>
    <row r="8" spans="1:37" x14ac:dyDescent="0.2">
      <c r="F8" s="50"/>
      <c r="G8" s="50"/>
      <c r="H8" s="50"/>
    </row>
    <row r="9" spans="1:37" x14ac:dyDescent="0.2">
      <c r="F9" s="50"/>
      <c r="G9" s="50"/>
      <c r="H9" s="50"/>
    </row>
    <row r="10" spans="1:37" x14ac:dyDescent="0.2">
      <c r="H10" s="144" t="s">
        <v>15</v>
      </c>
      <c r="I10" s="144"/>
      <c r="J10" s="35">
        <f>AVERAGE(F13:AJ13)</f>
        <v>1.0175526681018503</v>
      </c>
      <c r="AG10" s="144" t="s">
        <v>16</v>
      </c>
      <c r="AH10" s="144"/>
      <c r="AI10" s="144"/>
      <c r="AJ10" s="79">
        <f>AVERAGE(AJ13,AF13:AH13)</f>
        <v>1.0175407325946608</v>
      </c>
    </row>
    <row r="11" spans="1:37" x14ac:dyDescent="0.2">
      <c r="A11" s="51" t="s">
        <v>6</v>
      </c>
      <c r="B11" s="109">
        <v>2012</v>
      </c>
      <c r="C11" s="110"/>
      <c r="D11" s="110"/>
      <c r="E11" s="111"/>
      <c r="F11" s="127">
        <v>2014</v>
      </c>
      <c r="G11" s="127"/>
      <c r="H11" s="127"/>
      <c r="I11" s="128"/>
      <c r="J11" s="129">
        <v>2015</v>
      </c>
      <c r="K11" s="130"/>
      <c r="L11" s="130"/>
      <c r="M11" s="131"/>
      <c r="N11" s="129">
        <v>2016</v>
      </c>
      <c r="O11" s="130"/>
      <c r="P11" s="130"/>
      <c r="Q11" s="131"/>
      <c r="R11" s="132">
        <v>2017</v>
      </c>
      <c r="S11" s="133"/>
      <c r="T11" s="133"/>
      <c r="U11" s="134"/>
      <c r="V11" s="140">
        <v>2018</v>
      </c>
      <c r="W11" s="141"/>
      <c r="X11" s="141"/>
      <c r="Y11" s="142"/>
      <c r="Z11" s="135">
        <v>2019</v>
      </c>
      <c r="AA11" s="136"/>
      <c r="AB11" s="136"/>
      <c r="AC11" s="137"/>
      <c r="AD11" s="138">
        <v>2020</v>
      </c>
      <c r="AE11" s="127"/>
      <c r="AF11" s="127"/>
      <c r="AG11" s="128"/>
      <c r="AH11" s="129">
        <v>2021</v>
      </c>
      <c r="AI11" s="130"/>
      <c r="AJ11" s="130"/>
      <c r="AK11" s="131"/>
    </row>
    <row r="12" spans="1:37" x14ac:dyDescent="0.2">
      <c r="A12" s="14" t="s">
        <v>19</v>
      </c>
      <c r="B12" s="102" t="s">
        <v>20</v>
      </c>
      <c r="C12" s="102" t="s">
        <v>3</v>
      </c>
      <c r="D12" s="102" t="s">
        <v>4</v>
      </c>
      <c r="E12" s="105" t="s">
        <v>5</v>
      </c>
      <c r="F12" s="20" t="s">
        <v>20</v>
      </c>
      <c r="G12" s="20" t="s">
        <v>3</v>
      </c>
      <c r="H12" s="20" t="s">
        <v>4</v>
      </c>
      <c r="I12" s="20" t="s">
        <v>5</v>
      </c>
      <c r="J12" s="21" t="s">
        <v>20</v>
      </c>
      <c r="K12" s="22" t="s">
        <v>3</v>
      </c>
      <c r="L12" s="22" t="s">
        <v>4</v>
      </c>
      <c r="M12" s="22" t="s">
        <v>5</v>
      </c>
      <c r="N12" s="21" t="s">
        <v>20</v>
      </c>
      <c r="O12" s="22" t="s">
        <v>3</v>
      </c>
      <c r="P12" s="22" t="s">
        <v>4</v>
      </c>
      <c r="Q12" s="22" t="s">
        <v>5</v>
      </c>
      <c r="R12" s="23" t="s">
        <v>20</v>
      </c>
      <c r="S12" s="24" t="s">
        <v>3</v>
      </c>
      <c r="T12" s="24" t="s">
        <v>4</v>
      </c>
      <c r="U12" s="24" t="s">
        <v>5</v>
      </c>
      <c r="V12" s="25" t="s">
        <v>20</v>
      </c>
      <c r="W12" s="26" t="s">
        <v>3</v>
      </c>
      <c r="X12" s="26" t="s">
        <v>4</v>
      </c>
      <c r="Y12" s="26" t="s">
        <v>5</v>
      </c>
      <c r="Z12" s="27" t="s">
        <v>20</v>
      </c>
      <c r="AA12" s="28" t="s">
        <v>3</v>
      </c>
      <c r="AB12" s="28" t="s">
        <v>4</v>
      </c>
      <c r="AC12" s="28" t="s">
        <v>5</v>
      </c>
      <c r="AD12" s="29" t="s">
        <v>20</v>
      </c>
      <c r="AE12" s="20" t="s">
        <v>3</v>
      </c>
      <c r="AF12" s="20" t="s">
        <v>4</v>
      </c>
      <c r="AG12" s="20" t="s">
        <v>5</v>
      </c>
      <c r="AH12" s="37" t="s">
        <v>20</v>
      </c>
      <c r="AI12" s="38" t="s">
        <v>3</v>
      </c>
      <c r="AJ12" s="39" t="s">
        <v>21</v>
      </c>
      <c r="AK12" s="30" t="s">
        <v>22</v>
      </c>
    </row>
    <row r="13" spans="1:37" x14ac:dyDescent="0.2">
      <c r="A13" s="34" t="s">
        <v>2</v>
      </c>
      <c r="F13" s="82"/>
      <c r="G13" s="82"/>
      <c r="H13" s="82"/>
      <c r="I13" s="82"/>
      <c r="J13" s="82">
        <f>J15/F15</f>
        <v>0.9810003877471889</v>
      </c>
      <c r="K13" s="82">
        <f t="shared" ref="K13:AI13" si="0">K15/G15</f>
        <v>1.0016474464579901</v>
      </c>
      <c r="L13" s="82">
        <f t="shared" si="0"/>
        <v>0.99920477137176944</v>
      </c>
      <c r="M13" s="82">
        <f t="shared" si="0"/>
        <v>0.97558226897069877</v>
      </c>
      <c r="N13" s="82">
        <f t="shared" si="0"/>
        <v>1.017786561264822</v>
      </c>
      <c r="O13" s="82">
        <f t="shared" si="0"/>
        <v>1.078125</v>
      </c>
      <c r="P13" s="82">
        <f t="shared" si="0"/>
        <v>1.0382013529645839</v>
      </c>
      <c r="Q13" s="82">
        <f t="shared" si="0"/>
        <v>1.0662302656911822</v>
      </c>
      <c r="R13" s="82">
        <f t="shared" si="0"/>
        <v>1.058252427184466</v>
      </c>
      <c r="S13" s="82">
        <f t="shared" si="0"/>
        <v>1.0305110602593439</v>
      </c>
      <c r="T13" s="82">
        <f t="shared" si="0"/>
        <v>1.0057493292449213</v>
      </c>
      <c r="U13" s="82">
        <f t="shared" si="0"/>
        <v>1.0375586854460095</v>
      </c>
      <c r="V13" s="82">
        <f t="shared" si="0"/>
        <v>0.88366972477064221</v>
      </c>
      <c r="W13" s="82">
        <f t="shared" si="0"/>
        <v>0.88934122871946719</v>
      </c>
      <c r="X13" s="82">
        <f t="shared" si="0"/>
        <v>0.87271341463414642</v>
      </c>
      <c r="Y13" s="82">
        <f t="shared" si="0"/>
        <v>0.86982248520710059</v>
      </c>
      <c r="Z13" s="82">
        <f t="shared" si="0"/>
        <v>1.0843023255813955</v>
      </c>
      <c r="AA13" s="82">
        <f t="shared" si="0"/>
        <v>1.0998751560549314</v>
      </c>
      <c r="AB13" s="82">
        <f t="shared" si="0"/>
        <v>1.1340611353711789</v>
      </c>
      <c r="AC13" s="82">
        <f t="shared" si="0"/>
        <v>1.1204481792717087</v>
      </c>
      <c r="AD13" s="82">
        <f t="shared" si="0"/>
        <v>0.91689008042895437</v>
      </c>
      <c r="AE13" s="82">
        <f t="shared" si="0"/>
        <v>0.69807037457434729</v>
      </c>
      <c r="AF13" s="82">
        <f t="shared" si="0"/>
        <v>1.039276087793608</v>
      </c>
      <c r="AG13" s="82">
        <f t="shared" si="0"/>
        <v>0.97642857142857131</v>
      </c>
      <c r="AH13" s="82">
        <f t="shared" si="0"/>
        <v>1.0622389306599833</v>
      </c>
      <c r="AI13" s="82">
        <f t="shared" si="0"/>
        <v>1.5447154471544715</v>
      </c>
      <c r="AJ13" s="82">
        <f>AJ14/AF14</f>
        <v>0.99221934049648031</v>
      </c>
      <c r="AK13" s="31"/>
    </row>
    <row r="14" spans="1:37" x14ac:dyDescent="0.2">
      <c r="A14" s="15" t="s">
        <v>0</v>
      </c>
      <c r="B14" s="6"/>
      <c r="C14" s="6"/>
      <c r="D14" s="6"/>
      <c r="E14" s="6"/>
      <c r="F14" s="7" t="s">
        <v>172</v>
      </c>
      <c r="G14" s="7">
        <v>242.8</v>
      </c>
      <c r="H14" s="7">
        <v>251.5</v>
      </c>
      <c r="I14" s="7">
        <v>266.2</v>
      </c>
      <c r="J14" s="9">
        <v>253</v>
      </c>
      <c r="K14" s="6">
        <v>243.2</v>
      </c>
      <c r="L14" s="6">
        <v>244</v>
      </c>
      <c r="M14" s="6">
        <v>259.7</v>
      </c>
      <c r="N14" s="9">
        <v>257.5</v>
      </c>
      <c r="O14" s="6">
        <v>262.2</v>
      </c>
      <c r="P14" s="6">
        <v>260.89999999999998</v>
      </c>
      <c r="Q14" s="6">
        <v>276.89999999999998</v>
      </c>
      <c r="R14" s="9">
        <v>272.5</v>
      </c>
      <c r="S14" s="6">
        <v>270.2</v>
      </c>
      <c r="T14" s="6">
        <v>262.39999999999998</v>
      </c>
      <c r="U14" s="6">
        <v>287.3</v>
      </c>
      <c r="V14" s="9">
        <v>240.8</v>
      </c>
      <c r="W14" s="6">
        <v>240.3</v>
      </c>
      <c r="X14" s="6">
        <v>229</v>
      </c>
      <c r="Y14" s="6">
        <v>249.9</v>
      </c>
      <c r="Z14" s="9">
        <v>261.10000000000002</v>
      </c>
      <c r="AA14" s="6">
        <v>264.3</v>
      </c>
      <c r="AB14" s="6">
        <v>259.7</v>
      </c>
      <c r="AC14" s="6">
        <v>280</v>
      </c>
      <c r="AD14" s="9">
        <v>239.4</v>
      </c>
      <c r="AE14" s="6">
        <v>184.5</v>
      </c>
      <c r="AF14" s="6">
        <v>269.89999999999998</v>
      </c>
      <c r="AG14" s="6">
        <v>273.39999999999998</v>
      </c>
      <c r="AH14" s="6">
        <v>254.3</v>
      </c>
      <c r="AI14" s="6">
        <v>285</v>
      </c>
      <c r="AJ14" s="104">
        <v>267.8</v>
      </c>
      <c r="AK14" s="104">
        <v>295.2</v>
      </c>
    </row>
    <row r="15" spans="1:37" x14ac:dyDescent="0.2">
      <c r="A15" s="15" t="s">
        <v>1</v>
      </c>
      <c r="B15" s="6"/>
      <c r="C15" s="6"/>
      <c r="D15" s="6"/>
      <c r="E15" s="6"/>
      <c r="F15" s="6">
        <v>257.89999999999998</v>
      </c>
      <c r="G15" s="6">
        <v>242.8</v>
      </c>
      <c r="H15" s="6">
        <v>251.5</v>
      </c>
      <c r="I15" s="6">
        <v>266.2</v>
      </c>
      <c r="J15" s="9">
        <v>253</v>
      </c>
      <c r="K15" s="6">
        <v>243.2</v>
      </c>
      <c r="L15" s="6">
        <v>251.3</v>
      </c>
      <c r="M15" s="6">
        <v>259.7</v>
      </c>
      <c r="N15" s="9">
        <v>257.5</v>
      </c>
      <c r="O15" s="6">
        <v>262.2</v>
      </c>
      <c r="P15" s="6">
        <v>260.89999999999998</v>
      </c>
      <c r="Q15" s="6">
        <v>276.89999999999998</v>
      </c>
      <c r="R15" s="9">
        <v>272.5</v>
      </c>
      <c r="S15" s="6">
        <v>270.2</v>
      </c>
      <c r="T15" s="6">
        <v>262.39999999999998</v>
      </c>
      <c r="U15" s="6">
        <v>287.3</v>
      </c>
      <c r="V15" s="9">
        <v>240.8</v>
      </c>
      <c r="W15" s="6">
        <v>240.3</v>
      </c>
      <c r="X15" s="6">
        <v>229</v>
      </c>
      <c r="Y15" s="6">
        <v>249.9</v>
      </c>
      <c r="Z15" s="9">
        <v>261.10000000000002</v>
      </c>
      <c r="AA15" s="6">
        <v>264.3</v>
      </c>
      <c r="AB15" s="6">
        <v>259.7</v>
      </c>
      <c r="AC15" s="6">
        <v>280</v>
      </c>
      <c r="AD15" s="9">
        <v>239.4</v>
      </c>
      <c r="AE15" s="6">
        <v>184.5</v>
      </c>
      <c r="AF15" s="6">
        <v>269.89999999999998</v>
      </c>
      <c r="AG15" s="6">
        <v>273.39999999999998</v>
      </c>
      <c r="AH15" s="9">
        <v>254.3</v>
      </c>
      <c r="AI15" s="6">
        <v>285</v>
      </c>
      <c r="AJ15" s="9"/>
      <c r="AK15" s="10"/>
    </row>
    <row r="16" spans="1:37" x14ac:dyDescent="0.2">
      <c r="A16" s="15" t="s">
        <v>157</v>
      </c>
      <c r="B16" s="9"/>
      <c r="C16" s="9"/>
      <c r="D16" s="9"/>
      <c r="E16" s="9"/>
      <c r="F16" s="9">
        <v>1161.5</v>
      </c>
      <c r="G16" s="6">
        <v>1182.9000000000001</v>
      </c>
      <c r="H16" s="6">
        <v>1106</v>
      </c>
      <c r="I16" s="10">
        <v>1222.9000000000001</v>
      </c>
      <c r="J16" s="9">
        <v>1134.4000000000001</v>
      </c>
      <c r="K16" s="6">
        <v>1167.5999999999999</v>
      </c>
      <c r="L16" s="6">
        <v>1762.2</v>
      </c>
      <c r="M16" s="10">
        <v>1933.6</v>
      </c>
      <c r="N16" s="9">
        <v>1900.8</v>
      </c>
      <c r="O16" s="6">
        <v>1930.1</v>
      </c>
      <c r="P16" s="6">
        <v>1829.2</v>
      </c>
      <c r="Q16" s="10">
        <v>2008.3</v>
      </c>
      <c r="R16" s="9">
        <v>1972.4</v>
      </c>
      <c r="S16" s="6">
        <v>1949.5</v>
      </c>
      <c r="T16" s="6">
        <v>1813.1</v>
      </c>
      <c r="U16" s="10">
        <v>2068.3000000000002</v>
      </c>
      <c r="V16" s="9">
        <v>2017.6</v>
      </c>
      <c r="W16" s="6">
        <v>2007.6</v>
      </c>
      <c r="X16" s="6">
        <v>1836.7</v>
      </c>
      <c r="Y16" s="10">
        <v>2071</v>
      </c>
      <c r="Z16" s="9">
        <v>1975.5</v>
      </c>
      <c r="AA16" s="6">
        <v>1988.6</v>
      </c>
      <c r="AB16" s="6">
        <v>1892.4</v>
      </c>
      <c r="AC16" s="10">
        <v>2125.6999999999998</v>
      </c>
      <c r="AD16" s="9">
        <v>1783.8</v>
      </c>
      <c r="AE16" s="6">
        <v>1226.0999999999999</v>
      </c>
      <c r="AF16" s="6">
        <v>1929.3</v>
      </c>
      <c r="AG16" s="10">
        <v>2085.3000000000002</v>
      </c>
      <c r="AH16" s="9">
        <v>1847.4</v>
      </c>
      <c r="AI16">
        <v>2026.9</v>
      </c>
      <c r="AJ16" s="103">
        <v>1943.9</v>
      </c>
      <c r="AK16" s="10"/>
    </row>
    <row r="17" spans="1:38" x14ac:dyDescent="0.2">
      <c r="A17" s="83" t="s">
        <v>18</v>
      </c>
      <c r="B17" s="84"/>
      <c r="C17" s="84"/>
      <c r="D17" s="84"/>
      <c r="E17" s="84"/>
      <c r="F17" s="84">
        <f>F15/F16</f>
        <v>0.22204046491605681</v>
      </c>
      <c r="G17" s="84">
        <f t="shared" ref="G17:L17" si="1">G15/G16</f>
        <v>0.20525826358948346</v>
      </c>
      <c r="H17" s="84">
        <f t="shared" si="1"/>
        <v>0.22739602169981918</v>
      </c>
      <c r="I17" s="84">
        <f t="shared" si="1"/>
        <v>0.21767928694087821</v>
      </c>
      <c r="J17" s="84">
        <f t="shared" si="1"/>
        <v>0.22302538787023976</v>
      </c>
      <c r="K17" s="84">
        <f t="shared" si="1"/>
        <v>0.20829051044878383</v>
      </c>
      <c r="L17" s="84">
        <f t="shared" si="1"/>
        <v>0.14260583361706958</v>
      </c>
      <c r="M17" s="84">
        <f t="shared" ref="M17:AA17" si="2">M15/M16</f>
        <v>0.13430906081919736</v>
      </c>
      <c r="N17" s="84">
        <f t="shared" si="2"/>
        <v>0.13546927609427609</v>
      </c>
      <c r="O17" s="84">
        <f>O15/O16</f>
        <v>0.13584788352935082</v>
      </c>
      <c r="P17" s="84">
        <f>P15/P16</f>
        <v>0.14263065821123988</v>
      </c>
      <c r="Q17" s="84">
        <f>Q15/Q16</f>
        <v>0.13787780710053277</v>
      </c>
      <c r="R17" s="84">
        <f>R15/R16</f>
        <v>0.13815656053538836</v>
      </c>
      <c r="S17" s="84">
        <f t="shared" si="2"/>
        <v>0.13859964093357272</v>
      </c>
      <c r="T17" s="84">
        <f t="shared" si="2"/>
        <v>0.14472450499145109</v>
      </c>
      <c r="U17" s="84">
        <f t="shared" si="2"/>
        <v>0.13890634820867379</v>
      </c>
      <c r="V17" s="84">
        <f t="shared" si="2"/>
        <v>0.11934972244250595</v>
      </c>
      <c r="W17" s="84">
        <f t="shared" si="2"/>
        <v>0.11969515839808728</v>
      </c>
      <c r="X17" s="84">
        <f t="shared" si="2"/>
        <v>0.12468013284695377</v>
      </c>
      <c r="Y17" s="84">
        <f t="shared" si="2"/>
        <v>0.12066634476098503</v>
      </c>
      <c r="Z17" s="84">
        <f t="shared" si="2"/>
        <v>0.13216907112123513</v>
      </c>
      <c r="AA17" s="84">
        <f t="shared" si="2"/>
        <v>0.13290757316705221</v>
      </c>
      <c r="AB17" s="84">
        <f t="shared" ref="AB17:AE17" si="3">AB15/AB16</f>
        <v>0.13723314309871062</v>
      </c>
      <c r="AC17" s="84">
        <f t="shared" si="3"/>
        <v>0.13172131533142026</v>
      </c>
      <c r="AD17" s="84">
        <f t="shared" si="3"/>
        <v>0.13420787083753785</v>
      </c>
      <c r="AE17" s="84">
        <f t="shared" si="3"/>
        <v>0.1504771225838023</v>
      </c>
      <c r="AF17" s="84">
        <f>AF15/AF16</f>
        <v>0.139895298813041</v>
      </c>
      <c r="AG17" s="84">
        <f>AG15/AG16</f>
        <v>0.13110823382726705</v>
      </c>
      <c r="AH17" s="84">
        <f>AH15/AH16</f>
        <v>0.13765291761394391</v>
      </c>
      <c r="AI17" s="84">
        <f>AI15/AI16</f>
        <v>0.14060881148551976</v>
      </c>
      <c r="AJ17" s="106">
        <f>AJ14/AJ16</f>
        <v>0.1377642882864345</v>
      </c>
      <c r="AK17" s="85"/>
    </row>
    <row r="18" spans="1:38" x14ac:dyDescent="0.2">
      <c r="A18" s="83" t="s">
        <v>24</v>
      </c>
      <c r="B18" s="84"/>
      <c r="C18" s="84"/>
      <c r="D18" s="84"/>
      <c r="E18" s="86"/>
      <c r="F18" s="84">
        <f>F15/SUM(F15:I15)</f>
        <v>0.2532403770620581</v>
      </c>
      <c r="G18" s="84">
        <f>G15/SUM(F15:I15)</f>
        <v>0.23841319717203455</v>
      </c>
      <c r="H18" s="84">
        <f>H15/SUM(F15:I15)</f>
        <v>0.24695600942655144</v>
      </c>
      <c r="I18" s="86">
        <f>I15/SUM(F15:I15)</f>
        <v>0.26139041633935584</v>
      </c>
      <c r="J18" s="84">
        <f>J15/SUM(J15:M15)</f>
        <v>0.25119142176330422</v>
      </c>
      <c r="K18" s="84">
        <f>K15/SUM(J15:M15)</f>
        <v>0.24146147736298648</v>
      </c>
      <c r="L18" s="84">
        <f>L15/SUM(J15:M15)</f>
        <v>0.24950357426528991</v>
      </c>
      <c r="M18" s="86">
        <f>M15/SUM(J15:M15)</f>
        <v>0.25784352660841936</v>
      </c>
      <c r="N18" s="84">
        <f>N15/SUM(N15:Q15)</f>
        <v>0.24349881796690306</v>
      </c>
      <c r="O18" s="84">
        <f>O15/SUM(N15:Q15)</f>
        <v>0.24794326241134751</v>
      </c>
      <c r="P18" s="84">
        <f>P15/SUM(N15:Q15)</f>
        <v>0.24671394799054372</v>
      </c>
      <c r="Q18" s="86">
        <f>Q15/SUM(N15:Q15)</f>
        <v>0.26184397163120565</v>
      </c>
      <c r="R18" s="84">
        <f>R15/SUM(R15:U15)</f>
        <v>0.24945075064079089</v>
      </c>
      <c r="S18" s="84">
        <f>S15/SUM(R15:U15)</f>
        <v>0.24734529476382275</v>
      </c>
      <c r="T18" s="84">
        <f>T15/SUM(R15:U15)</f>
        <v>0.24020505309410467</v>
      </c>
      <c r="U18" s="86">
        <f>U15/SUM(R15:U15)</f>
        <v>0.26299890150128158</v>
      </c>
      <c r="V18" s="84">
        <f>V15/SUM(V15:Y15)</f>
        <v>0.25083333333333335</v>
      </c>
      <c r="W18" s="84">
        <f>W15/SUM(V15:Y15)</f>
        <v>0.25031249999999999</v>
      </c>
      <c r="X18" s="84">
        <f>X15/SUM(V15:Y15)</f>
        <v>0.23854166666666668</v>
      </c>
      <c r="Y18" s="86">
        <f>Y15/SUM(V15:Y15)</f>
        <v>0.2603125</v>
      </c>
      <c r="Z18" s="84">
        <f>Z15/SUM(Z15:AC15)</f>
        <v>0.24514130128626418</v>
      </c>
      <c r="AA18" s="84">
        <f>AA15/SUM(Z15:AC15)</f>
        <v>0.24814571401746313</v>
      </c>
      <c r="AB18" s="84">
        <f>AB15/SUM(Z15:AC15)</f>
        <v>0.24382687071636461</v>
      </c>
      <c r="AC18" s="86">
        <f>AC15/SUM(Z15:AC15)</f>
        <v>0.26288611397990796</v>
      </c>
      <c r="AD18" s="84"/>
      <c r="AE18" s="84"/>
      <c r="AF18" s="84"/>
      <c r="AG18" s="86"/>
      <c r="AH18" s="84">
        <f>AH15/SUM(AH15:AI15,AJ14:AK14)</f>
        <v>0.23069944661163025</v>
      </c>
      <c r="AI18" s="84">
        <f>AI15/SUM(AH15:AI15,AJ14:AK14)</f>
        <v>0.25855030391000638</v>
      </c>
      <c r="AJ18" s="84">
        <f>AJ14/SUM(AH15:AI15,AJ14:AK14)</f>
        <v>0.2429465662705253</v>
      </c>
      <c r="AK18" s="86">
        <f>AK14/SUM(AH15:AI15,AJ14:AK14)</f>
        <v>0.26780368320783815</v>
      </c>
      <c r="AL18" s="3"/>
    </row>
    <row r="19" spans="1:38" x14ac:dyDescent="0.2">
      <c r="A19" s="16" t="s">
        <v>17</v>
      </c>
      <c r="B19" s="12"/>
      <c r="C19" s="12"/>
      <c r="D19" s="12"/>
      <c r="E19" s="12"/>
      <c r="F19" s="12"/>
      <c r="G19" s="12"/>
      <c r="H19" s="12"/>
      <c r="I19" s="12"/>
      <c r="J19" s="11"/>
      <c r="K19" s="12"/>
      <c r="L19" s="12"/>
      <c r="M19" s="6">
        <v>272.89999999999998</v>
      </c>
      <c r="N19" s="9">
        <v>264.3</v>
      </c>
      <c r="O19" s="12">
        <v>261.3</v>
      </c>
      <c r="P19" s="12">
        <v>259.89999999999998</v>
      </c>
      <c r="Q19" s="6">
        <v>280.7</v>
      </c>
      <c r="R19" s="80">
        <v>280.3</v>
      </c>
      <c r="S19" s="80">
        <v>282.3</v>
      </c>
      <c r="T19" s="80">
        <v>277.39999999999998</v>
      </c>
      <c r="U19" s="80">
        <v>291.39999999999998</v>
      </c>
      <c r="V19" s="80">
        <v>286.10000000000002</v>
      </c>
      <c r="W19" s="63">
        <v>285.89999999999998</v>
      </c>
      <c r="X19" s="63">
        <v>277.3</v>
      </c>
      <c r="Y19" s="63">
        <v>303.60000000000002</v>
      </c>
      <c r="Z19" s="80">
        <v>286.39999999999998</v>
      </c>
      <c r="AA19" s="63">
        <v>288.5</v>
      </c>
      <c r="AB19" s="63">
        <v>284.2</v>
      </c>
      <c r="AC19" s="63">
        <v>312.60000000000002</v>
      </c>
      <c r="AD19" s="80">
        <v>280</v>
      </c>
      <c r="AE19" s="63">
        <v>103.7</v>
      </c>
      <c r="AF19" s="63">
        <v>206.8</v>
      </c>
      <c r="AG19" s="63">
        <v>257</v>
      </c>
      <c r="AH19" s="80">
        <v>214.9</v>
      </c>
      <c r="AI19" s="63">
        <v>264.3</v>
      </c>
      <c r="AJ19" s="81"/>
      <c r="AK19" s="13"/>
    </row>
    <row r="20" spans="1:38" x14ac:dyDescent="0.2">
      <c r="H20" s="7"/>
      <c r="I20" s="7"/>
      <c r="J20" s="7"/>
      <c r="K20" s="121" t="s">
        <v>7</v>
      </c>
      <c r="L20" s="139"/>
      <c r="M20" s="7">
        <f t="shared" ref="M20:P20" si="4">IF(M15&gt;M19,1,0)</f>
        <v>0</v>
      </c>
      <c r="N20" s="7">
        <f t="shared" si="4"/>
        <v>0</v>
      </c>
      <c r="O20" s="7">
        <f t="shared" si="4"/>
        <v>1</v>
      </c>
      <c r="P20" s="7">
        <f t="shared" si="4"/>
        <v>1</v>
      </c>
      <c r="Q20" s="7">
        <f t="shared" ref="Q20:AI20" si="5">IF(Q15&gt;Q19,1,0)</f>
        <v>0</v>
      </c>
      <c r="R20" s="7">
        <f t="shared" si="5"/>
        <v>0</v>
      </c>
      <c r="S20" s="7">
        <f t="shared" si="5"/>
        <v>0</v>
      </c>
      <c r="T20" s="7">
        <f t="shared" si="5"/>
        <v>0</v>
      </c>
      <c r="U20" s="7">
        <f t="shared" si="5"/>
        <v>0</v>
      </c>
      <c r="V20" s="7">
        <f t="shared" si="5"/>
        <v>0</v>
      </c>
      <c r="W20" s="7">
        <f t="shared" si="5"/>
        <v>0</v>
      </c>
      <c r="X20" s="7">
        <f t="shared" si="5"/>
        <v>0</v>
      </c>
      <c r="Y20" s="7">
        <f t="shared" si="5"/>
        <v>0</v>
      </c>
      <c r="Z20" s="7">
        <f t="shared" si="5"/>
        <v>0</v>
      </c>
      <c r="AA20" s="7">
        <f t="shared" si="5"/>
        <v>0</v>
      </c>
      <c r="AB20" s="7">
        <f t="shared" si="5"/>
        <v>0</v>
      </c>
      <c r="AC20" s="7">
        <f t="shared" si="5"/>
        <v>0</v>
      </c>
      <c r="AD20" s="7">
        <f t="shared" si="5"/>
        <v>0</v>
      </c>
      <c r="AE20" s="7">
        <f t="shared" si="5"/>
        <v>1</v>
      </c>
      <c r="AF20" s="7">
        <f t="shared" si="5"/>
        <v>1</v>
      </c>
      <c r="AG20" s="7">
        <f t="shared" si="5"/>
        <v>1</v>
      </c>
      <c r="AH20" s="7">
        <f>IF(AH15&gt;AH19,1,0)</f>
        <v>1</v>
      </c>
      <c r="AI20" s="8">
        <f t="shared" si="5"/>
        <v>1</v>
      </c>
      <c r="AJ20" s="45" t="s">
        <v>8</v>
      </c>
      <c r="AK20" s="42">
        <f>AVERAGE(M20:AI20)</f>
        <v>0.30434782608695654</v>
      </c>
    </row>
    <row r="21" spans="1:38" x14ac:dyDescent="0.2">
      <c r="I21" s="6"/>
      <c r="J21" s="6"/>
      <c r="K21" s="112" t="s">
        <v>9</v>
      </c>
      <c r="L21" s="113"/>
      <c r="M21" s="6"/>
      <c r="N21" s="6"/>
      <c r="O21" s="6"/>
      <c r="P21" s="6">
        <f>AVERAGE(M20:P20)</f>
        <v>0.5</v>
      </c>
      <c r="Q21" s="6">
        <f t="shared" ref="Q21" si="6">AVERAGE(N20:Q20)</f>
        <v>0.5</v>
      </c>
      <c r="R21" s="6">
        <f t="shared" ref="R21" si="7">AVERAGE(O20:R20)</f>
        <v>0.5</v>
      </c>
      <c r="S21" s="6">
        <f t="shared" ref="S21" si="8">AVERAGE(P20:S20)</f>
        <v>0.25</v>
      </c>
      <c r="T21" s="6">
        <f t="shared" ref="T21:AI21" si="9">AVERAGE(Q20:T20)</f>
        <v>0</v>
      </c>
      <c r="U21" s="6">
        <f t="shared" si="9"/>
        <v>0</v>
      </c>
      <c r="V21" s="6">
        <f t="shared" si="9"/>
        <v>0</v>
      </c>
      <c r="W21" s="6">
        <f t="shared" si="9"/>
        <v>0</v>
      </c>
      <c r="X21" s="6">
        <f t="shared" si="9"/>
        <v>0</v>
      </c>
      <c r="Y21" s="6">
        <f t="shared" si="9"/>
        <v>0</v>
      </c>
      <c r="Z21" s="6">
        <f t="shared" si="9"/>
        <v>0</v>
      </c>
      <c r="AA21" s="6">
        <f t="shared" si="9"/>
        <v>0</v>
      </c>
      <c r="AB21" s="6">
        <f t="shared" si="9"/>
        <v>0</v>
      </c>
      <c r="AC21" s="6">
        <f t="shared" si="9"/>
        <v>0</v>
      </c>
      <c r="AD21" s="6">
        <f t="shared" si="9"/>
        <v>0</v>
      </c>
      <c r="AE21" s="6">
        <f t="shared" si="9"/>
        <v>0.25</v>
      </c>
      <c r="AF21" s="6">
        <f t="shared" si="9"/>
        <v>0.5</v>
      </c>
      <c r="AG21" s="6">
        <f t="shared" si="9"/>
        <v>0.75</v>
      </c>
      <c r="AH21" s="6">
        <f t="shared" si="9"/>
        <v>1</v>
      </c>
      <c r="AI21" s="10">
        <f t="shared" si="9"/>
        <v>1</v>
      </c>
      <c r="AJ21" s="41" t="s">
        <v>10</v>
      </c>
      <c r="AK21" s="42">
        <f>AVERAGE(P21:AI21)</f>
        <v>0.26250000000000001</v>
      </c>
    </row>
    <row r="22" spans="1:38" x14ac:dyDescent="0.2">
      <c r="H22" s="18"/>
      <c r="I22" s="18"/>
      <c r="J22" s="18"/>
      <c r="K22" s="125" t="s">
        <v>11</v>
      </c>
      <c r="L22" s="126"/>
      <c r="M22" s="18">
        <f t="shared" ref="M22:P22" si="10">M15/M19-1</f>
        <v>-4.8369366068156783E-2</v>
      </c>
      <c r="N22" s="18">
        <f>N15/N19-1</f>
        <v>-2.5728339008702306E-2</v>
      </c>
      <c r="O22" s="18">
        <f t="shared" si="10"/>
        <v>3.4443168771525201E-3</v>
      </c>
      <c r="P22" s="18">
        <f t="shared" si="10"/>
        <v>3.8476337052713028E-3</v>
      </c>
      <c r="Q22" s="18">
        <f t="shared" ref="Q22:AI22" si="11">Q15/Q19-1</f>
        <v>-1.3537584609903841E-2</v>
      </c>
      <c r="R22" s="18">
        <f t="shared" si="11"/>
        <v>-2.7827327863004014E-2</v>
      </c>
      <c r="S22" s="18">
        <f t="shared" si="11"/>
        <v>-4.2862203329791071E-2</v>
      </c>
      <c r="T22" s="18">
        <f t="shared" si="11"/>
        <v>-5.4073540014419663E-2</v>
      </c>
      <c r="U22" s="18">
        <f t="shared" si="11"/>
        <v>-1.4070006863417861E-2</v>
      </c>
      <c r="V22" s="18">
        <f t="shared" si="11"/>
        <v>-0.15833624606780849</v>
      </c>
      <c r="W22" s="18">
        <f t="shared" si="11"/>
        <v>-0.15949632738719821</v>
      </c>
      <c r="X22" s="18">
        <f t="shared" si="11"/>
        <v>-0.17417958889289586</v>
      </c>
      <c r="Y22" s="18">
        <f t="shared" si="11"/>
        <v>-0.17687747035573131</v>
      </c>
      <c r="Z22" s="18">
        <f t="shared" si="11"/>
        <v>-8.8337988826815539E-2</v>
      </c>
      <c r="AA22" s="18">
        <f t="shared" si="11"/>
        <v>-8.3882149046793697E-2</v>
      </c>
      <c r="AB22" s="18">
        <f t="shared" si="11"/>
        <v>-8.6206896551724088E-2</v>
      </c>
      <c r="AC22" s="18">
        <f t="shared" si="11"/>
        <v>-0.10428662827895085</v>
      </c>
      <c r="AD22" s="18">
        <f t="shared" si="11"/>
        <v>-0.14500000000000002</v>
      </c>
      <c r="AE22" s="18">
        <f t="shared" si="11"/>
        <v>0.77917068466730943</v>
      </c>
      <c r="AF22" s="18">
        <f t="shared" si="11"/>
        <v>0.30512572533849114</v>
      </c>
      <c r="AG22" s="18">
        <f t="shared" si="11"/>
        <v>6.3813229571984431E-2</v>
      </c>
      <c r="AH22" s="18">
        <f t="shared" si="11"/>
        <v>0.18334108887854828</v>
      </c>
      <c r="AI22" s="40">
        <f t="shared" si="11"/>
        <v>7.8320090805902298E-2</v>
      </c>
      <c r="AJ22" s="41" t="s">
        <v>13</v>
      </c>
      <c r="AK22" s="43">
        <f>AVERAGE(M22:AI22)</f>
        <v>6.0830898605851685E-4</v>
      </c>
    </row>
    <row r="23" spans="1:38" x14ac:dyDescent="0.2">
      <c r="I23" s="32"/>
      <c r="J23" s="32"/>
      <c r="K23" s="112" t="s">
        <v>12</v>
      </c>
      <c r="L23" s="113"/>
      <c r="M23" s="32"/>
      <c r="N23" s="32"/>
      <c r="O23" s="32"/>
      <c r="P23" s="32">
        <f>AVERAGE(M22:P22)</f>
        <v>-1.6701438623608816E-2</v>
      </c>
      <c r="Q23" s="32">
        <f t="shared" ref="Q23" si="12">AVERAGE(N22:Q22)</f>
        <v>-7.9934932590455809E-3</v>
      </c>
      <c r="R23" s="32">
        <f t="shared" ref="R23" si="13">AVERAGE(O22:R22)</f>
        <v>-8.5182404726210081E-3</v>
      </c>
      <c r="S23" s="32">
        <f t="shared" ref="S23" si="14">AVERAGE(P22:S22)</f>
        <v>-2.0094870524356906E-2</v>
      </c>
      <c r="T23" s="32">
        <f t="shared" ref="T23" si="15">AVERAGE(Q22:T22)</f>
        <v>-3.4575163954279647E-2</v>
      </c>
      <c r="U23" s="32">
        <f t="shared" ref="U23" si="16">AVERAGE(R22:U22)</f>
        <v>-3.4708269517658152E-2</v>
      </c>
      <c r="V23" s="32">
        <f t="shared" ref="V23:AI23" si="17">AVERAGE(S22:V22)</f>
        <v>-6.7335499068859272E-2</v>
      </c>
      <c r="W23" s="32">
        <f t="shared" si="17"/>
        <v>-9.6494030083211058E-2</v>
      </c>
      <c r="X23" s="32">
        <f t="shared" si="17"/>
        <v>-0.12652054230283011</v>
      </c>
      <c r="Y23" s="32">
        <f t="shared" si="17"/>
        <v>-0.16722240817590847</v>
      </c>
      <c r="Z23" s="32">
        <f t="shared" si="17"/>
        <v>-0.14972284386566023</v>
      </c>
      <c r="AA23" s="32">
        <f t="shared" si="17"/>
        <v>-0.1308192992805591</v>
      </c>
      <c r="AB23" s="32">
        <f t="shared" si="17"/>
        <v>-0.10882612619526616</v>
      </c>
      <c r="AC23" s="32">
        <f t="shared" si="17"/>
        <v>-9.0678415676071045E-2</v>
      </c>
      <c r="AD23" s="32">
        <f t="shared" si="17"/>
        <v>-0.10484391846936716</v>
      </c>
      <c r="AE23" s="32">
        <f t="shared" si="17"/>
        <v>0.11091928995915862</v>
      </c>
      <c r="AF23" s="32">
        <f t="shared" si="17"/>
        <v>0.20875244543171242</v>
      </c>
      <c r="AG23" s="32">
        <f t="shared" si="17"/>
        <v>0.25077740989444625</v>
      </c>
      <c r="AH23" s="32">
        <f t="shared" si="17"/>
        <v>0.33286268211408332</v>
      </c>
      <c r="AI23" s="33">
        <f t="shared" si="17"/>
        <v>0.15765003364873154</v>
      </c>
      <c r="AJ23" s="19" t="s">
        <v>14</v>
      </c>
      <c r="AK23" s="33">
        <f>AVERAGE(P23:AI23)</f>
        <v>-5.204634921058526E-3</v>
      </c>
    </row>
    <row r="24" spans="1:38" x14ac:dyDescent="0.2">
      <c r="K24" s="121" t="s">
        <v>25</v>
      </c>
      <c r="L24" s="139"/>
      <c r="M24" s="96">
        <f>AVERAGE(O22:P22,AE22:AI22)</f>
        <v>0.20243753854923704</v>
      </c>
      <c r="N24" s="121" t="s">
        <v>29</v>
      </c>
      <c r="O24" s="122"/>
      <c r="P24" s="46">
        <f>MEDIAN(O22:P22,AE22:AI22)</f>
        <v>7.8320090805902298E-2</v>
      </c>
      <c r="AF24" s="3"/>
      <c r="AG24" s="114" t="s">
        <v>23</v>
      </c>
      <c r="AH24" s="115"/>
      <c r="AI24" s="115"/>
      <c r="AJ24" s="116"/>
      <c r="AK24" s="44">
        <f>AVERAGE(AI17:AJ17,AH17,AF17)</f>
        <v>0.13898032904973479</v>
      </c>
    </row>
    <row r="25" spans="1:38" x14ac:dyDescent="0.2">
      <c r="K25" s="123" t="s">
        <v>26</v>
      </c>
      <c r="L25" s="143"/>
      <c r="M25" s="95">
        <f>AVERAGE(M22:N22,Q22:AD22)</f>
        <v>-8.7691978947832094E-2</v>
      </c>
      <c r="N25" s="123" t="s">
        <v>30</v>
      </c>
      <c r="O25" s="124"/>
      <c r="P25" s="33">
        <f>MEDIAN(M22:N22,Q22:AD22)</f>
        <v>-8.5044522799258893E-2</v>
      </c>
      <c r="AG25" s="117" t="s">
        <v>27</v>
      </c>
      <c r="AH25" s="118"/>
      <c r="AI25" s="118"/>
      <c r="AJ25" s="118"/>
      <c r="AK25" s="46">
        <f>AVERAGE(AJ18,AB18,H18,T18)</f>
        <v>0.24348362487688652</v>
      </c>
    </row>
    <row r="26" spans="1:38" x14ac:dyDescent="0.2">
      <c r="AG26" s="119" t="s">
        <v>28</v>
      </c>
      <c r="AH26" s="120"/>
      <c r="AI26" s="120"/>
      <c r="AJ26" s="120"/>
      <c r="AK26" s="47">
        <f>_xlfn.STDEV.S(AJ18,AB18,X18,P18,L18,T18)</f>
        <v>4.0530617687863802E-3</v>
      </c>
    </row>
    <row r="29" spans="1:38" ht="18" customHeight="1" x14ac:dyDescent="0.2"/>
  </sheetData>
  <mergeCells count="28">
    <mergeCell ref="P4:Q4"/>
    <mergeCell ref="H10:I10"/>
    <mergeCell ref="A1:C3"/>
    <mergeCell ref="K1:L1"/>
    <mergeCell ref="P1:Q1"/>
    <mergeCell ref="P2:Q2"/>
    <mergeCell ref="P3:Q3"/>
    <mergeCell ref="K21:L21"/>
    <mergeCell ref="V11:Y11"/>
    <mergeCell ref="K24:L24"/>
    <mergeCell ref="K25:L25"/>
    <mergeCell ref="AG10:AI10"/>
    <mergeCell ref="B11:E11"/>
    <mergeCell ref="K23:L23"/>
    <mergeCell ref="AG24:AJ24"/>
    <mergeCell ref="AG25:AJ25"/>
    <mergeCell ref="AG26:AJ26"/>
    <mergeCell ref="N24:O24"/>
    <mergeCell ref="N25:O25"/>
    <mergeCell ref="K22:L22"/>
    <mergeCell ref="F11:I11"/>
    <mergeCell ref="J11:M11"/>
    <mergeCell ref="N11:Q11"/>
    <mergeCell ref="R11:U11"/>
    <mergeCell ref="Z11:AC11"/>
    <mergeCell ref="AD11:AG11"/>
    <mergeCell ref="AH11:AK11"/>
    <mergeCell ref="K20:L20"/>
  </mergeCells>
  <conditionalFormatting sqref="H20:J20 M20:AI20 AK20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1:J21 M21:AI21 AK2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2:J22 M22:AI22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{56CFC7B0-C261-494B-BB2F-961FC5395604}</x14:id>
        </ext>
      </extLst>
    </cfRule>
  </conditionalFormatting>
  <conditionalFormatting sqref="I23:J23 M23:AI23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{41DE4205-EE7F-4DBF-8BBA-9EEAD7B09998}</x14:id>
        </ext>
      </extLst>
    </cfRule>
  </conditionalFormatting>
  <conditionalFormatting sqref="AK22:AK23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{8C038067-089E-49FF-8126-BD91D38602DD}</x14:id>
        </ext>
      </extLst>
    </cfRule>
  </conditionalFormatting>
  <conditionalFormatting sqref="AK20:AK21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{B86A584F-5630-40E1-B995-7746D53887D9}</x14:id>
        </ext>
      </extLst>
    </cfRule>
  </conditionalFormatting>
  <conditionalFormatting sqref="AK20:AK21 AK24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{62207A90-4DCB-469A-A9CB-D988FA8A2AE2}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6CFC7B0-C261-494B-BB2F-961FC539560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H22:J22 M22:AI22</xm:sqref>
        </x14:conditionalFormatting>
        <x14:conditionalFormatting xmlns:xm="http://schemas.microsoft.com/office/excel/2006/main">
          <x14:cfRule type="dataBar" id="{41DE4205-EE7F-4DBF-8BBA-9EEAD7B0999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I23:J23 M23:AI23</xm:sqref>
        </x14:conditionalFormatting>
        <x14:conditionalFormatting xmlns:xm="http://schemas.microsoft.com/office/excel/2006/main">
          <x14:cfRule type="dataBar" id="{8C038067-089E-49FF-8126-BD91D38602D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AK22:AK23</xm:sqref>
        </x14:conditionalFormatting>
        <x14:conditionalFormatting xmlns:xm="http://schemas.microsoft.com/office/excel/2006/main">
          <x14:cfRule type="dataBar" id="{B86A584F-5630-40E1-B995-7746D53887D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AK20:AK21</xm:sqref>
        </x14:conditionalFormatting>
        <x14:conditionalFormatting xmlns:xm="http://schemas.microsoft.com/office/excel/2006/main">
          <x14:cfRule type="dataBar" id="{62207A90-4DCB-469A-A9CB-D988FA8A2AE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AK20:AK21 AK24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249C6-FF3D-4DBB-B370-A9A55622C4B9}">
  <dimension ref="A1:V48"/>
  <sheetViews>
    <sheetView zoomScale="85" zoomScaleNormal="85" workbookViewId="0">
      <selection activeCell="H53" sqref="H53"/>
    </sheetView>
  </sheetViews>
  <sheetFormatPr defaultRowHeight="12.75" x14ac:dyDescent="0.2"/>
  <cols>
    <col min="1" max="1" width="7.5703125" bestFit="1" customWidth="1"/>
    <col min="2" max="2" width="16" bestFit="1" customWidth="1"/>
    <col min="3" max="3" width="12.7109375" bestFit="1" customWidth="1"/>
    <col min="4" max="4" width="11.5703125" customWidth="1"/>
    <col min="5" max="5" width="18" bestFit="1" customWidth="1"/>
    <col min="6" max="6" width="12.140625" bestFit="1" customWidth="1"/>
    <col min="7" max="7" width="10.7109375" bestFit="1" customWidth="1"/>
    <col min="8" max="8" width="19.7109375" bestFit="1" customWidth="1"/>
    <col min="9" max="9" width="13.5703125" bestFit="1" customWidth="1"/>
    <col min="10" max="10" width="8.7109375" bestFit="1" customWidth="1"/>
    <col min="11" max="11" width="21.85546875" bestFit="1" customWidth="1"/>
    <col min="12" max="12" width="16.42578125" bestFit="1" customWidth="1"/>
    <col min="13" max="13" width="14.5703125" bestFit="1" customWidth="1"/>
    <col min="14" max="14" width="23.5703125" bestFit="1" customWidth="1"/>
    <col min="15" max="15" width="17.85546875" bestFit="1" customWidth="1"/>
    <col min="16" max="16" width="11.42578125" bestFit="1" customWidth="1"/>
    <col min="17" max="17" width="14" bestFit="1" customWidth="1"/>
    <col min="18" max="18" width="10.28515625" bestFit="1" customWidth="1"/>
    <col min="19" max="19" width="16.140625" bestFit="1" customWidth="1"/>
  </cols>
  <sheetData>
    <row r="1" spans="1:21" x14ac:dyDescent="0.2">
      <c r="A1" t="s">
        <v>80</v>
      </c>
      <c r="B1" t="s">
        <v>81</v>
      </c>
    </row>
    <row r="4" spans="1:21" x14ac:dyDescent="0.2">
      <c r="A4" s="164" t="s">
        <v>76</v>
      </c>
      <c r="B4" s="164"/>
      <c r="T4" s="70" t="s">
        <v>165</v>
      </c>
    </row>
    <row r="5" spans="1:21" x14ac:dyDescent="0.2">
      <c r="A5" s="17" t="s">
        <v>56</v>
      </c>
      <c r="B5" s="17" t="s">
        <v>57</v>
      </c>
      <c r="C5" s="17" t="s">
        <v>68</v>
      </c>
      <c r="D5" s="17" t="s">
        <v>58</v>
      </c>
      <c r="E5" s="17" t="s">
        <v>59</v>
      </c>
      <c r="F5" s="17" t="s">
        <v>69</v>
      </c>
      <c r="G5" s="17" t="s">
        <v>60</v>
      </c>
      <c r="H5" s="17" t="s">
        <v>61</v>
      </c>
      <c r="I5" s="17" t="s">
        <v>70</v>
      </c>
      <c r="J5" s="17" t="s">
        <v>62</v>
      </c>
      <c r="K5" s="17" t="s">
        <v>63</v>
      </c>
      <c r="L5" s="17" t="s">
        <v>73</v>
      </c>
      <c r="M5" s="17" t="s">
        <v>64</v>
      </c>
      <c r="N5" s="17" t="s">
        <v>65</v>
      </c>
      <c r="O5" s="17" t="s">
        <v>74</v>
      </c>
      <c r="P5" s="17" t="s">
        <v>66</v>
      </c>
      <c r="Q5" s="17" t="s">
        <v>67</v>
      </c>
      <c r="R5" s="17" t="s">
        <v>0</v>
      </c>
      <c r="S5" s="17" t="s">
        <v>72</v>
      </c>
      <c r="T5" s="36" t="s">
        <v>0</v>
      </c>
      <c r="U5" s="36" t="s">
        <v>72</v>
      </c>
    </row>
    <row r="6" spans="1:21" x14ac:dyDescent="0.2">
      <c r="A6" t="s">
        <v>171</v>
      </c>
      <c r="B6" t="s">
        <v>173</v>
      </c>
      <c r="C6" t="s">
        <v>168</v>
      </c>
      <c r="D6">
        <v>20170720</v>
      </c>
      <c r="E6">
        <v>328.858875146</v>
      </c>
      <c r="F6">
        <v>328.74392970698409</v>
      </c>
      <c r="G6">
        <v>293.32150582886231</v>
      </c>
      <c r="H6">
        <v>295.07038907499998</v>
      </c>
      <c r="I6">
        <v>131.5692743441918</v>
      </c>
      <c r="J6">
        <v>311.49867493921158</v>
      </c>
      <c r="R6">
        <v>282.3</v>
      </c>
      <c r="S6">
        <v>292.10000000000002</v>
      </c>
      <c r="T6" s="88"/>
      <c r="U6" s="87"/>
    </row>
    <row r="7" spans="1:21" x14ac:dyDescent="0.2">
      <c r="A7" t="s">
        <v>171</v>
      </c>
      <c r="B7" t="s">
        <v>173</v>
      </c>
      <c r="C7" t="s">
        <v>169</v>
      </c>
      <c r="D7">
        <v>20171026</v>
      </c>
      <c r="E7">
        <v>336.59099200000003</v>
      </c>
      <c r="F7">
        <v>330.71201200000002</v>
      </c>
      <c r="G7">
        <v>297.79815400000001</v>
      </c>
      <c r="H7">
        <v>277.78412500000002</v>
      </c>
      <c r="I7">
        <v>121.848647</v>
      </c>
      <c r="J7">
        <v>310.72132075000002</v>
      </c>
      <c r="K7">
        <v>298.9678436367293</v>
      </c>
      <c r="L7">
        <v>293.84870708122997</v>
      </c>
      <c r="M7">
        <v>296.55800565183335</v>
      </c>
      <c r="N7">
        <v>274.98775179327106</v>
      </c>
      <c r="O7">
        <v>270.5190095948206</v>
      </c>
      <c r="P7">
        <v>291.37105577989058</v>
      </c>
      <c r="Q7">
        <v>287.70872892296245</v>
      </c>
      <c r="R7">
        <v>277.39999999999998</v>
      </c>
      <c r="S7">
        <v>282.3</v>
      </c>
      <c r="T7" s="88"/>
      <c r="U7" s="87"/>
    </row>
    <row r="8" spans="1:21" x14ac:dyDescent="0.2">
      <c r="A8" t="s">
        <v>171</v>
      </c>
      <c r="B8" t="s">
        <v>173</v>
      </c>
      <c r="C8" t="s">
        <v>167</v>
      </c>
      <c r="D8">
        <v>20180125</v>
      </c>
      <c r="E8">
        <v>325.24559599999998</v>
      </c>
      <c r="F8">
        <v>326.53489400000001</v>
      </c>
      <c r="G8">
        <v>308.73490600000002</v>
      </c>
      <c r="H8">
        <v>298.283163</v>
      </c>
      <c r="I8">
        <v>128.12806800000001</v>
      </c>
      <c r="J8">
        <v>314.69963975000002</v>
      </c>
      <c r="K8">
        <v>272.78457811728958</v>
      </c>
      <c r="L8">
        <v>278.73435869090838</v>
      </c>
      <c r="M8">
        <v>292.66757632016754</v>
      </c>
      <c r="N8">
        <v>303.13228632089755</v>
      </c>
      <c r="O8">
        <v>296.84821692275341</v>
      </c>
      <c r="P8">
        <v>285.91442675059818</v>
      </c>
      <c r="Q8">
        <v>288.34690718710243</v>
      </c>
      <c r="R8">
        <v>291.39999999999998</v>
      </c>
      <c r="S8">
        <v>311.10000000000002</v>
      </c>
      <c r="T8" s="88"/>
      <c r="U8" s="87"/>
    </row>
    <row r="9" spans="1:21" x14ac:dyDescent="0.2">
      <c r="A9" t="s">
        <v>171</v>
      </c>
      <c r="B9" t="s">
        <v>173</v>
      </c>
      <c r="C9" t="s">
        <v>42</v>
      </c>
      <c r="D9">
        <v>20180419</v>
      </c>
      <c r="E9">
        <v>313.03016700000001</v>
      </c>
      <c r="F9">
        <v>312.33328699999998</v>
      </c>
      <c r="G9">
        <v>296.07100200000002</v>
      </c>
      <c r="H9">
        <v>283.11360300000001</v>
      </c>
      <c r="I9">
        <v>122.373448</v>
      </c>
      <c r="J9">
        <v>301.13701475000005</v>
      </c>
      <c r="K9">
        <v>299.41584498410862</v>
      </c>
      <c r="L9">
        <v>297.56968511212159</v>
      </c>
      <c r="M9">
        <v>298.33908292248628</v>
      </c>
      <c r="N9">
        <v>295.27862386687917</v>
      </c>
      <c r="O9">
        <v>297.12755578894706</v>
      </c>
      <c r="P9">
        <v>297.69250884159942</v>
      </c>
      <c r="Q9">
        <v>297.57055025269034</v>
      </c>
      <c r="R9">
        <v>286.10000000000002</v>
      </c>
      <c r="S9">
        <v>290</v>
      </c>
      <c r="T9" s="9"/>
      <c r="U9" s="62"/>
    </row>
    <row r="10" spans="1:21" x14ac:dyDescent="0.2">
      <c r="A10" t="s">
        <v>171</v>
      </c>
      <c r="B10" t="s">
        <v>173</v>
      </c>
      <c r="C10" t="s">
        <v>43</v>
      </c>
      <c r="D10">
        <v>20180719</v>
      </c>
      <c r="E10">
        <v>321.50227999999998</v>
      </c>
      <c r="F10">
        <v>320.40428200000002</v>
      </c>
      <c r="G10">
        <v>291.08106800000002</v>
      </c>
      <c r="H10">
        <v>302.23959400000001</v>
      </c>
      <c r="I10">
        <v>131.24191200000001</v>
      </c>
      <c r="J10">
        <v>308.80680600000005</v>
      </c>
      <c r="K10">
        <v>297.8488050961555</v>
      </c>
      <c r="L10">
        <v>297.49388120773693</v>
      </c>
      <c r="M10">
        <v>285.11238571077621</v>
      </c>
      <c r="N10">
        <v>309.59120766796923</v>
      </c>
      <c r="O10">
        <v>311.01644271721432</v>
      </c>
      <c r="P10">
        <v>297.38613771656912</v>
      </c>
      <c r="Q10">
        <v>299.7414766860702</v>
      </c>
      <c r="R10">
        <v>285.89999999999998</v>
      </c>
      <c r="S10">
        <v>294.10000000000002</v>
      </c>
      <c r="T10" s="9"/>
      <c r="U10" s="62"/>
    </row>
    <row r="11" spans="1:21" x14ac:dyDescent="0.2">
      <c r="A11" t="s">
        <v>171</v>
      </c>
      <c r="B11" t="s">
        <v>173</v>
      </c>
      <c r="C11" t="s">
        <v>44</v>
      </c>
      <c r="D11">
        <v>20181018</v>
      </c>
      <c r="E11">
        <v>289.25201700000002</v>
      </c>
      <c r="F11">
        <v>287.70188400000001</v>
      </c>
      <c r="G11">
        <v>263.33876600000002</v>
      </c>
      <c r="H11">
        <v>280.88093700000002</v>
      </c>
      <c r="I11">
        <v>123.76790099999999</v>
      </c>
      <c r="J11">
        <v>280.29340100000002</v>
      </c>
      <c r="K11">
        <v>264.59849118239538</v>
      </c>
      <c r="L11">
        <v>264.08237604140385</v>
      </c>
      <c r="M11">
        <v>266.06997017270805</v>
      </c>
      <c r="N11">
        <v>273.31655154254872</v>
      </c>
      <c r="O11">
        <v>277.35148878431454</v>
      </c>
      <c r="P11">
        <v>266.94453500516437</v>
      </c>
      <c r="Q11">
        <v>268.72723545475583</v>
      </c>
      <c r="R11">
        <v>277.3</v>
      </c>
      <c r="S11">
        <v>283</v>
      </c>
      <c r="T11" s="9"/>
      <c r="U11" s="62"/>
    </row>
    <row r="12" spans="1:21" x14ac:dyDescent="0.2">
      <c r="A12" t="s">
        <v>171</v>
      </c>
      <c r="B12" t="s">
        <v>173</v>
      </c>
      <c r="C12" t="s">
        <v>45</v>
      </c>
      <c r="D12">
        <v>20190124</v>
      </c>
      <c r="E12">
        <v>316.11745500000001</v>
      </c>
      <c r="F12">
        <v>316.77497499999998</v>
      </c>
      <c r="G12">
        <v>297.48394400000001</v>
      </c>
      <c r="H12">
        <v>307.71394299999997</v>
      </c>
      <c r="I12">
        <v>134.81518500000001</v>
      </c>
      <c r="J12">
        <v>309.52257924999998</v>
      </c>
      <c r="K12">
        <v>309.28475691493622</v>
      </c>
      <c r="L12">
        <v>311.59795229217201</v>
      </c>
      <c r="M12">
        <v>319.69450389237414</v>
      </c>
      <c r="N12">
        <v>310.03544348401255</v>
      </c>
      <c r="O12">
        <v>308.26003387582699</v>
      </c>
      <c r="P12">
        <v>312.51142415496963</v>
      </c>
      <c r="Q12">
        <v>311.89735243571528</v>
      </c>
      <c r="R12">
        <v>303.60000000000002</v>
      </c>
      <c r="S12">
        <v>302.3</v>
      </c>
      <c r="T12" s="9"/>
      <c r="U12" s="62"/>
    </row>
    <row r="13" spans="1:21" x14ac:dyDescent="0.2">
      <c r="A13" t="s">
        <v>171</v>
      </c>
      <c r="B13" t="s">
        <v>173</v>
      </c>
      <c r="C13" t="s">
        <v>46</v>
      </c>
      <c r="D13">
        <v>20190418</v>
      </c>
      <c r="E13">
        <v>295.11690700000003</v>
      </c>
      <c r="F13">
        <v>296.95192400000002</v>
      </c>
      <c r="G13">
        <v>282.74032</v>
      </c>
      <c r="H13">
        <v>295.70102600000001</v>
      </c>
      <c r="I13">
        <v>136.29940400000001</v>
      </c>
      <c r="J13">
        <v>292.62754425000003</v>
      </c>
      <c r="K13">
        <v>282.2173833649901</v>
      </c>
      <c r="L13">
        <v>283.38275971831428</v>
      </c>
      <c r="M13">
        <v>287.3176870883492</v>
      </c>
      <c r="N13">
        <v>290.49843919422273</v>
      </c>
      <c r="O13">
        <v>305.6281073174361</v>
      </c>
      <c r="P13">
        <v>285.79920353831511</v>
      </c>
      <c r="Q13">
        <v>289.14059670360461</v>
      </c>
      <c r="R13">
        <v>286.39999999999998</v>
      </c>
      <c r="S13">
        <v>287.7</v>
      </c>
      <c r="T13" s="9"/>
      <c r="U13" s="62"/>
    </row>
    <row r="14" spans="1:21" x14ac:dyDescent="0.2">
      <c r="A14" t="s">
        <v>171</v>
      </c>
      <c r="B14" t="s">
        <v>173</v>
      </c>
      <c r="C14" t="s">
        <v>47</v>
      </c>
      <c r="D14">
        <v>20190718</v>
      </c>
      <c r="E14">
        <v>319.457109</v>
      </c>
      <c r="F14">
        <v>315.40022499999998</v>
      </c>
      <c r="G14">
        <v>299.91751199999999</v>
      </c>
      <c r="H14">
        <v>292.264769</v>
      </c>
      <c r="I14">
        <v>136.168453</v>
      </c>
      <c r="J14">
        <v>306.75990375000003</v>
      </c>
      <c r="K14">
        <v>311.42848166032047</v>
      </c>
      <c r="L14">
        <v>305.57352015169965</v>
      </c>
      <c r="M14">
        <v>305.17850514705503</v>
      </c>
      <c r="N14">
        <v>284.35672063342787</v>
      </c>
      <c r="O14">
        <v>287.42358938047886</v>
      </c>
      <c r="P14">
        <v>301.59438522805772</v>
      </c>
      <c r="Q14">
        <v>299.25920036683993</v>
      </c>
      <c r="R14">
        <v>288.5</v>
      </c>
      <c r="S14">
        <v>289.8</v>
      </c>
      <c r="T14" s="9"/>
      <c r="U14" s="62"/>
    </row>
    <row r="15" spans="1:21" x14ac:dyDescent="0.2">
      <c r="A15" t="s">
        <v>171</v>
      </c>
      <c r="B15" t="s">
        <v>173</v>
      </c>
      <c r="C15" t="s">
        <v>48</v>
      </c>
      <c r="D15">
        <v>20191031</v>
      </c>
      <c r="E15">
        <v>282.85835900000001</v>
      </c>
      <c r="F15">
        <v>288.48977500000001</v>
      </c>
      <c r="G15">
        <v>275.35391800000002</v>
      </c>
      <c r="H15">
        <v>270.62893000000003</v>
      </c>
      <c r="I15">
        <v>130.55732399999999</v>
      </c>
      <c r="J15">
        <v>279.33274550000004</v>
      </c>
      <c r="K15">
        <v>256.59893027517506</v>
      </c>
      <c r="L15">
        <v>265.07380200822627</v>
      </c>
      <c r="M15">
        <v>266.06504203195715</v>
      </c>
      <c r="N15">
        <v>268.3466234481379</v>
      </c>
      <c r="O15">
        <v>277.85813572546061</v>
      </c>
      <c r="P15">
        <v>263.88921321305509</v>
      </c>
      <c r="Q15">
        <v>266.30529111700201</v>
      </c>
      <c r="R15">
        <v>284.2</v>
      </c>
      <c r="S15">
        <v>284.8</v>
      </c>
      <c r="T15" s="9"/>
      <c r="U15" s="62"/>
    </row>
    <row r="16" spans="1:21" x14ac:dyDescent="0.2">
      <c r="A16" t="s">
        <v>171</v>
      </c>
      <c r="B16" t="s">
        <v>173</v>
      </c>
      <c r="C16" t="s">
        <v>49</v>
      </c>
      <c r="D16">
        <v>20200130</v>
      </c>
      <c r="E16">
        <v>292.20262600000001</v>
      </c>
      <c r="F16">
        <v>289.53056099999998</v>
      </c>
      <c r="G16">
        <v>290.57931600000001</v>
      </c>
      <c r="H16">
        <v>286.81162</v>
      </c>
      <c r="I16">
        <v>134.37221299999999</v>
      </c>
      <c r="J16">
        <v>289.78103075000001</v>
      </c>
      <c r="K16">
        <v>294.20840939263172</v>
      </c>
      <c r="L16">
        <v>285.82747438033113</v>
      </c>
      <c r="M16">
        <v>300.54770891910823</v>
      </c>
      <c r="N16">
        <v>301.83007181087407</v>
      </c>
      <c r="O16">
        <v>293.12186470978833</v>
      </c>
      <c r="P16">
        <v>295.45278484938672</v>
      </c>
      <c r="Q16">
        <v>295.16471901035339</v>
      </c>
      <c r="R16">
        <v>312.60000000000002</v>
      </c>
      <c r="S16">
        <v>310</v>
      </c>
      <c r="T16" s="9"/>
      <c r="U16" s="62"/>
    </row>
    <row r="17" spans="1:22" x14ac:dyDescent="0.2">
      <c r="A17" t="s">
        <v>171</v>
      </c>
      <c r="B17" t="s">
        <v>173</v>
      </c>
      <c r="C17" t="s">
        <v>50</v>
      </c>
      <c r="D17">
        <v>20200430</v>
      </c>
      <c r="E17">
        <v>275.73296699999997</v>
      </c>
      <c r="F17">
        <v>275.59421500000002</v>
      </c>
      <c r="G17">
        <v>262.47274700000003</v>
      </c>
      <c r="H17">
        <v>247.24590799999999</v>
      </c>
      <c r="I17">
        <v>119.273409</v>
      </c>
      <c r="J17">
        <v>265.26145925000003</v>
      </c>
      <c r="K17">
        <v>292.52721284578735</v>
      </c>
      <c r="L17">
        <v>295.07837222751766</v>
      </c>
      <c r="M17">
        <v>280.01494631503641</v>
      </c>
      <c r="N17">
        <v>267.23544701571012</v>
      </c>
      <c r="O17">
        <v>275.16668784788118</v>
      </c>
      <c r="P17">
        <v>283.76961788931732</v>
      </c>
      <c r="Q17">
        <v>282.29871402354166</v>
      </c>
      <c r="R17">
        <v>280</v>
      </c>
      <c r="S17">
        <v>250</v>
      </c>
      <c r="T17" s="9"/>
      <c r="U17" s="62"/>
    </row>
    <row r="18" spans="1:22" x14ac:dyDescent="0.2">
      <c r="A18" t="s">
        <v>171</v>
      </c>
      <c r="B18" t="s">
        <v>173</v>
      </c>
      <c r="C18" t="s">
        <v>51</v>
      </c>
      <c r="D18">
        <v>20200730</v>
      </c>
      <c r="E18">
        <v>214.47511600000001</v>
      </c>
      <c r="F18">
        <v>214.219021</v>
      </c>
      <c r="G18">
        <v>192.124799</v>
      </c>
      <c r="H18">
        <v>217.101788</v>
      </c>
      <c r="I18">
        <v>102.60548300000001</v>
      </c>
      <c r="J18">
        <v>209.48018100000002</v>
      </c>
      <c r="K18">
        <v>194.45907967907229</v>
      </c>
      <c r="L18">
        <v>194.32467132882306</v>
      </c>
      <c r="M18">
        <v>182.99499776256769</v>
      </c>
      <c r="N18">
        <v>219.52010222955846</v>
      </c>
      <c r="O18">
        <v>215.06361698775629</v>
      </c>
      <c r="P18">
        <v>197.42802214113959</v>
      </c>
      <c r="Q18">
        <v>200.63174835481956</v>
      </c>
      <c r="R18">
        <v>103.7</v>
      </c>
      <c r="S18">
        <v>165.2</v>
      </c>
      <c r="T18" s="9"/>
      <c r="U18" s="62"/>
    </row>
    <row r="19" spans="1:22" x14ac:dyDescent="0.2">
      <c r="A19" t="s">
        <v>171</v>
      </c>
      <c r="B19" t="s">
        <v>173</v>
      </c>
      <c r="C19" t="s">
        <v>52</v>
      </c>
      <c r="D19">
        <v>20201029</v>
      </c>
      <c r="E19">
        <v>273.49370299999998</v>
      </c>
      <c r="F19">
        <v>273.80043499999999</v>
      </c>
      <c r="G19">
        <v>274.36551500000002</v>
      </c>
      <c r="H19">
        <v>261.93852600000002</v>
      </c>
      <c r="I19">
        <v>124.89209099999999</v>
      </c>
      <c r="J19">
        <v>270.89954475000002</v>
      </c>
      <c r="K19">
        <v>210.65921575536061</v>
      </c>
      <c r="L19">
        <v>211.1475986159044</v>
      </c>
      <c r="M19">
        <v>235.9153181365202</v>
      </c>
      <c r="N19">
        <v>199.31777114244679</v>
      </c>
      <c r="O19">
        <v>201.08256235390459</v>
      </c>
      <c r="P19">
        <v>213.63646230905249</v>
      </c>
      <c r="Q19">
        <v>211.95982138553154</v>
      </c>
      <c r="R19">
        <v>206.8</v>
      </c>
      <c r="S19">
        <v>240.5</v>
      </c>
      <c r="T19" s="9"/>
      <c r="U19" s="62"/>
    </row>
    <row r="20" spans="1:22" x14ac:dyDescent="0.2">
      <c r="A20" t="s">
        <v>171</v>
      </c>
      <c r="B20" t="s">
        <v>173</v>
      </c>
      <c r="C20" t="s">
        <v>53</v>
      </c>
      <c r="D20">
        <v>20210128</v>
      </c>
      <c r="E20">
        <v>263.99143800000002</v>
      </c>
      <c r="F20">
        <v>263.02511299999998</v>
      </c>
      <c r="G20">
        <v>257.92754200000002</v>
      </c>
      <c r="H20">
        <v>245.43712300000001</v>
      </c>
      <c r="I20">
        <v>122.44200600000001</v>
      </c>
      <c r="J20">
        <v>257.595304</v>
      </c>
      <c r="K20">
        <v>232.14406819084974</v>
      </c>
      <c r="L20">
        <v>231.03520517233656</v>
      </c>
      <c r="M20">
        <v>226.09100072580185</v>
      </c>
      <c r="N20">
        <v>225.34916487046277</v>
      </c>
      <c r="O20">
        <v>235.78196351120428</v>
      </c>
      <c r="P20">
        <v>228.68872175171862</v>
      </c>
      <c r="Q20">
        <v>229.84835403706234</v>
      </c>
      <c r="R20">
        <v>257</v>
      </c>
      <c r="S20">
        <v>244.5</v>
      </c>
    </row>
    <row r="21" spans="1:22" x14ac:dyDescent="0.2">
      <c r="A21" t="s">
        <v>171</v>
      </c>
      <c r="B21" t="s">
        <v>173</v>
      </c>
      <c r="C21" t="s">
        <v>54</v>
      </c>
      <c r="D21">
        <v>20210429</v>
      </c>
      <c r="E21">
        <v>239.716443</v>
      </c>
      <c r="F21">
        <v>234.572991</v>
      </c>
      <c r="G21">
        <v>228.37797399999999</v>
      </c>
      <c r="H21">
        <v>230.84656000000001</v>
      </c>
      <c r="I21">
        <v>115.32723799999999</v>
      </c>
      <c r="J21">
        <v>233.37849199999999</v>
      </c>
      <c r="K21">
        <v>222.01731524906498</v>
      </c>
      <c r="L21">
        <v>218.05178845983428</v>
      </c>
      <c r="M21">
        <v>216.48876351095532</v>
      </c>
      <c r="N21">
        <v>229.96514638904077</v>
      </c>
      <c r="O21">
        <v>230.29277788049305</v>
      </c>
      <c r="P21">
        <v>221.51429163475746</v>
      </c>
      <c r="Q21">
        <v>223.05501385402431</v>
      </c>
      <c r="R21">
        <v>214.9</v>
      </c>
      <c r="S21">
        <v>260.7</v>
      </c>
    </row>
    <row r="22" spans="1:22" x14ac:dyDescent="0.2">
      <c r="A22" t="s">
        <v>171</v>
      </c>
      <c r="B22" t="s">
        <v>173</v>
      </c>
      <c r="C22" t="s">
        <v>55</v>
      </c>
      <c r="D22">
        <v>20210729</v>
      </c>
      <c r="E22">
        <v>267.15053399999999</v>
      </c>
      <c r="F22">
        <v>263.49864600000001</v>
      </c>
      <c r="G22">
        <v>247.95739900000001</v>
      </c>
      <c r="H22">
        <v>256.17787199999998</v>
      </c>
      <c r="I22">
        <v>120.809783</v>
      </c>
      <c r="J22">
        <v>258.69611275</v>
      </c>
      <c r="K22">
        <v>290.53553165645798</v>
      </c>
      <c r="L22">
        <v>292.84742765717641</v>
      </c>
      <c r="M22">
        <v>283.05047455802372</v>
      </c>
      <c r="N22">
        <v>289.30719708537129</v>
      </c>
      <c r="O22">
        <v>273.09342505974172</v>
      </c>
      <c r="P22">
        <v>288.98154245475627</v>
      </c>
      <c r="Q22">
        <v>286.30259974525455</v>
      </c>
      <c r="R22">
        <v>264.3</v>
      </c>
      <c r="S22">
        <v>293.39999999999998</v>
      </c>
    </row>
    <row r="23" spans="1:22" x14ac:dyDescent="0.2">
      <c r="A23" t="s">
        <v>171</v>
      </c>
      <c r="B23" t="s">
        <v>173</v>
      </c>
      <c r="C23" t="s">
        <v>71</v>
      </c>
      <c r="D23" s="12">
        <v>20211028</v>
      </c>
      <c r="E23">
        <v>271.79918300000003</v>
      </c>
      <c r="F23">
        <v>268.77547099999998</v>
      </c>
      <c r="G23">
        <v>243.32584499999999</v>
      </c>
      <c r="H23">
        <v>259.37829099999999</v>
      </c>
      <c r="I23">
        <v>120.323075</v>
      </c>
      <c r="J23">
        <f>AVERAGE(E23:H23)</f>
        <v>260.81969749999996</v>
      </c>
      <c r="K23" s="89">
        <f>(E23/E22)*$S21</f>
        <v>265.23640416193217</v>
      </c>
      <c r="L23" s="89">
        <f>(F23/F22)*$S21</f>
        <v>265.92077930335927</v>
      </c>
      <c r="M23" s="89">
        <f>(G23/G22)*$S21</f>
        <v>255.83042912746473</v>
      </c>
      <c r="N23" s="89">
        <f t="shared" ref="N23:O23" si="0">(H23/H22)*$S21</f>
        <v>263.95691374819449</v>
      </c>
      <c r="O23" s="89">
        <f t="shared" si="0"/>
        <v>259.64971439854338</v>
      </c>
      <c r="P23" s="89">
        <f>(J23/J22)*$S21</f>
        <v>262.84003426042972</v>
      </c>
      <c r="Q23" s="89">
        <f>(K23/K22)*$S21</f>
        <v>237.99887804008196</v>
      </c>
      <c r="R23" s="103">
        <f>'1. Data &amp; Confidence Interval'!AJ14</f>
        <v>267.8</v>
      </c>
      <c r="S23" s="10"/>
    </row>
    <row r="24" spans="1:22" x14ac:dyDescent="0.2">
      <c r="A24" s="162" t="s">
        <v>75</v>
      </c>
      <c r="B24" s="163"/>
      <c r="C24" s="163"/>
      <c r="D24" s="163"/>
      <c r="E24" s="98">
        <f t="shared" ref="E24:Q24" si="1">CORREL(E$8:E$22,$S$8:$S$22)</f>
        <v>0.82101295259010298</v>
      </c>
      <c r="F24" s="98">
        <f t="shared" si="1"/>
        <v>0.80635682190841607</v>
      </c>
      <c r="G24" s="99">
        <f t="shared" si="1"/>
        <v>0.82584125257721264</v>
      </c>
      <c r="H24" s="99">
        <f t="shared" si="1"/>
        <v>0.82377473726328199</v>
      </c>
      <c r="I24" s="98">
        <f t="shared" si="1"/>
        <v>0.81033636967591582</v>
      </c>
      <c r="J24" s="98">
        <f>CORREL(J$8:J$22,$S$8:$S$22)</f>
        <v>0.83273281959099066</v>
      </c>
      <c r="K24" s="98">
        <f t="shared" si="1"/>
        <v>0.78897599041338218</v>
      </c>
      <c r="L24" s="98">
        <f t="shared" si="1"/>
        <v>0.79242606003652216</v>
      </c>
      <c r="M24" s="99">
        <f t="shared" si="1"/>
        <v>0.87163422663130707</v>
      </c>
      <c r="N24" s="98">
        <f t="shared" si="1"/>
        <v>0.81489155604622121</v>
      </c>
      <c r="O24" s="98">
        <f t="shared" si="1"/>
        <v>0.80396743216860433</v>
      </c>
      <c r="P24" s="98">
        <f t="shared" si="1"/>
        <v>0.83653584969833572</v>
      </c>
      <c r="Q24" s="98">
        <f t="shared" si="1"/>
        <v>0.83829918593731223</v>
      </c>
      <c r="R24" s="99">
        <f>CORREL(R$8:R$22,$S$8:$S$22)</f>
        <v>0.92105311285428393</v>
      </c>
      <c r="S24" s="5"/>
    </row>
    <row r="26" spans="1:22" x14ac:dyDescent="0.2">
      <c r="A26" s="165" t="s">
        <v>77</v>
      </c>
      <c r="B26" s="166"/>
    </row>
    <row r="27" spans="1:22" x14ac:dyDescent="0.2">
      <c r="A27" s="17" t="s">
        <v>56</v>
      </c>
      <c r="B27" s="17" t="s">
        <v>57</v>
      </c>
      <c r="C27" s="17" t="s">
        <v>68</v>
      </c>
      <c r="D27" s="17" t="s">
        <v>58</v>
      </c>
      <c r="E27" s="17" t="s">
        <v>59</v>
      </c>
      <c r="F27" s="17" t="s">
        <v>69</v>
      </c>
      <c r="G27" s="17" t="s">
        <v>60</v>
      </c>
      <c r="H27" s="17" t="s">
        <v>61</v>
      </c>
      <c r="I27" s="17" t="s">
        <v>70</v>
      </c>
      <c r="J27" s="17" t="s">
        <v>62</v>
      </c>
      <c r="K27" s="17" t="s">
        <v>63</v>
      </c>
      <c r="L27" s="17" t="s">
        <v>73</v>
      </c>
      <c r="M27" s="17" t="s">
        <v>64</v>
      </c>
      <c r="N27" s="17" t="s">
        <v>65</v>
      </c>
      <c r="O27" s="17" t="s">
        <v>74</v>
      </c>
      <c r="P27" s="17" t="s">
        <v>66</v>
      </c>
      <c r="Q27" s="17" t="s">
        <v>67</v>
      </c>
      <c r="R27" s="17" t="s">
        <v>0</v>
      </c>
    </row>
    <row r="28" spans="1:22" x14ac:dyDescent="0.2">
      <c r="A28" s="9" t="str">
        <f t="shared" ref="A28:D28" si="2">A6</f>
        <v>ZBH_SET</v>
      </c>
      <c r="B28" s="9" t="str">
        <f t="shared" si="2"/>
        <v>Americas Revenue - SET</v>
      </c>
      <c r="C28" s="9" t="str">
        <f t="shared" si="2"/>
        <v>2017Q2</v>
      </c>
      <c r="D28" s="9">
        <f t="shared" si="2"/>
        <v>20170720</v>
      </c>
      <c r="E28" s="18">
        <f t="shared" ref="E28:R28" si="3">$S6/E6-1</f>
        <v>-0.11177705065639643</v>
      </c>
      <c r="F28" s="18">
        <f t="shared" si="3"/>
        <v>-0.11146648316714325</v>
      </c>
      <c r="G28" s="18">
        <f t="shared" si="3"/>
        <v>-4.1643923291971863E-3</v>
      </c>
      <c r="H28" s="18">
        <f t="shared" si="3"/>
        <v>-1.0066713519820358E-2</v>
      </c>
      <c r="I28" s="18">
        <f t="shared" si="3"/>
        <v>1.2201232123227483</v>
      </c>
      <c r="J28" s="18">
        <f t="shared" si="3"/>
        <v>-6.2275304840372692E-2</v>
      </c>
      <c r="K28" s="18"/>
      <c r="L28" s="18"/>
      <c r="M28" s="18"/>
      <c r="N28" s="18"/>
      <c r="O28" s="18"/>
      <c r="P28" s="18"/>
      <c r="Q28" s="18"/>
      <c r="R28" s="40">
        <f t="shared" si="3"/>
        <v>3.4714842366277088E-2</v>
      </c>
    </row>
    <row r="29" spans="1:22" x14ac:dyDescent="0.2">
      <c r="A29" s="9" t="str">
        <f t="shared" ref="A29:D29" si="4">A7</f>
        <v>ZBH_SET</v>
      </c>
      <c r="B29" s="9" t="str">
        <f t="shared" si="4"/>
        <v>Americas Revenue - SET</v>
      </c>
      <c r="C29" s="9" t="str">
        <f t="shared" si="4"/>
        <v>2017Q3</v>
      </c>
      <c r="D29" s="9">
        <f t="shared" si="4"/>
        <v>20171026</v>
      </c>
      <c r="E29" s="18">
        <f t="shared" ref="E29:R29" si="5">$S7/E7-1</f>
        <v>-0.16129662792639443</v>
      </c>
      <c r="F29" s="18">
        <f t="shared" si="5"/>
        <v>-0.14638721982677783</v>
      </c>
      <c r="G29" s="18">
        <f t="shared" si="5"/>
        <v>-5.204247840972176E-2</v>
      </c>
      <c r="H29" s="18">
        <f t="shared" si="5"/>
        <v>1.6256778532610427E-2</v>
      </c>
      <c r="I29" s="18">
        <f t="shared" si="5"/>
        <v>1.3168086552491634</v>
      </c>
      <c r="J29" s="18">
        <f t="shared" si="5"/>
        <v>-9.1468846364962553E-2</v>
      </c>
      <c r="K29" s="18">
        <f t="shared" si="5"/>
        <v>-5.5751292292766097E-2</v>
      </c>
      <c r="L29" s="18">
        <f t="shared" si="5"/>
        <v>-3.930154124529639E-2</v>
      </c>
      <c r="M29" s="18">
        <f t="shared" si="5"/>
        <v>-4.8078302996724998E-2</v>
      </c>
      <c r="N29" s="18">
        <f t="shared" si="5"/>
        <v>2.6591177821716716E-2</v>
      </c>
      <c r="O29" s="18">
        <f t="shared" si="5"/>
        <v>4.354958427071276E-2</v>
      </c>
      <c r="P29" s="18">
        <f t="shared" si="5"/>
        <v>-3.1132315993470105E-2</v>
      </c>
      <c r="Q29" s="18">
        <f t="shared" si="5"/>
        <v>-1.8799321602823826E-2</v>
      </c>
      <c r="R29" s="40">
        <f t="shared" si="5"/>
        <v>1.7664023071377155E-2</v>
      </c>
    </row>
    <row r="30" spans="1:22" x14ac:dyDescent="0.2">
      <c r="A30" s="9" t="str">
        <f>A8</f>
        <v>ZBH_SET</v>
      </c>
      <c r="B30" s="9" t="str">
        <f t="shared" ref="B30:D31" si="6">B8</f>
        <v>Americas Revenue - SET</v>
      </c>
      <c r="C30" s="9" t="str">
        <f t="shared" si="6"/>
        <v>2017Q4</v>
      </c>
      <c r="D30" s="9">
        <f t="shared" si="6"/>
        <v>20180125</v>
      </c>
      <c r="E30" s="18">
        <f t="shared" ref="E30:R31" si="7">$S8/E8-1</f>
        <v>-4.3492044700891075E-2</v>
      </c>
      <c r="F30" s="18">
        <f t="shared" si="7"/>
        <v>-4.7268743045881023E-2</v>
      </c>
      <c r="G30" s="18">
        <f t="shared" si="7"/>
        <v>7.6605979888779707E-3</v>
      </c>
      <c r="H30" s="18">
        <f t="shared" si="7"/>
        <v>4.2968690793989017E-2</v>
      </c>
      <c r="I30" s="18">
        <f t="shared" si="7"/>
        <v>1.4280394206833744</v>
      </c>
      <c r="J30" s="18">
        <f t="shared" si="7"/>
        <v>-1.1438334511153503E-2</v>
      </c>
      <c r="K30" s="18">
        <f t="shared" si="7"/>
        <v>0.14046036673757967</v>
      </c>
      <c r="L30" s="18">
        <f t="shared" si="7"/>
        <v>0.11611643954157169</v>
      </c>
      <c r="M30" s="18">
        <f t="shared" si="7"/>
        <v>6.29807507602691E-2</v>
      </c>
      <c r="N30" s="18">
        <f t="shared" si="7"/>
        <v>2.6284609190945218E-2</v>
      </c>
      <c r="O30" s="18">
        <f t="shared" si="7"/>
        <v>4.8010337488249899E-2</v>
      </c>
      <c r="P30" s="18">
        <f t="shared" si="7"/>
        <v>8.8087801429380441E-2</v>
      </c>
      <c r="Q30" s="18">
        <f t="shared" si="7"/>
        <v>7.8908745839724181E-2</v>
      </c>
      <c r="R30" s="40">
        <f t="shared" si="7"/>
        <v>6.7604667124228079E-2</v>
      </c>
      <c r="V30" s="103"/>
    </row>
    <row r="31" spans="1:22" x14ac:dyDescent="0.2">
      <c r="A31" s="9" t="str">
        <f>A9</f>
        <v>ZBH_SET</v>
      </c>
      <c r="B31" s="9" t="str">
        <f t="shared" si="6"/>
        <v>Americas Revenue - SET</v>
      </c>
      <c r="C31" s="9" t="str">
        <f t="shared" si="6"/>
        <v>2018Q1</v>
      </c>
      <c r="D31" s="9">
        <f t="shared" si="6"/>
        <v>20180419</v>
      </c>
      <c r="E31" s="18">
        <f t="shared" ref="E31:E41" si="8">$S9/E9-1</f>
        <v>-7.3571717450478191E-2</v>
      </c>
      <c r="F31" s="18">
        <f t="shared" si="7"/>
        <v>-7.1504664822997221E-2</v>
      </c>
      <c r="G31" s="18">
        <f t="shared" si="7"/>
        <v>-2.0505223270734341E-2</v>
      </c>
      <c r="H31" s="18">
        <f t="shared" si="7"/>
        <v>2.432379414845709E-2</v>
      </c>
      <c r="I31" s="18">
        <f t="shared" si="7"/>
        <v>1.3697951209154455</v>
      </c>
      <c r="J31" s="18">
        <f t="shared" si="7"/>
        <v>-3.6983214299463829E-2</v>
      </c>
      <c r="K31" s="18">
        <f t="shared" ref="K31:Q31" si="9">$S9/K9-1</f>
        <v>-3.1447383770248916E-2</v>
      </c>
      <c r="L31" s="18">
        <f t="shared" si="9"/>
        <v>-2.5438361133021337E-2</v>
      </c>
      <c r="M31" s="18">
        <f t="shared" si="9"/>
        <v>-2.7951694564446017E-2</v>
      </c>
      <c r="N31" s="18">
        <f t="shared" si="9"/>
        <v>-1.7876755850971926E-2</v>
      </c>
      <c r="O31" s="18">
        <f t="shared" si="9"/>
        <v>-2.3988201868458958E-2</v>
      </c>
      <c r="P31" s="18">
        <f t="shared" si="9"/>
        <v>-2.5840451516677465E-2</v>
      </c>
      <c r="Q31" s="18">
        <f t="shared" si="9"/>
        <v>-2.5441194520968491E-2</v>
      </c>
      <c r="R31" s="40">
        <f>$S9/R9-1</f>
        <v>1.3631597343586099E-2</v>
      </c>
    </row>
    <row r="32" spans="1:22" x14ac:dyDescent="0.2">
      <c r="A32" s="9" t="str">
        <f t="shared" ref="A32:D32" si="10">A10</f>
        <v>ZBH_SET</v>
      </c>
      <c r="B32" s="9" t="str">
        <f t="shared" si="10"/>
        <v>Americas Revenue - SET</v>
      </c>
      <c r="C32" s="9" t="str">
        <f t="shared" si="10"/>
        <v>2018Q2</v>
      </c>
      <c r="D32" s="9">
        <f t="shared" si="10"/>
        <v>20180719</v>
      </c>
      <c r="E32" s="18">
        <f t="shared" si="8"/>
        <v>-8.523199275600768E-2</v>
      </c>
      <c r="F32" s="18">
        <f t="shared" ref="F32:J32" si="11">$S10/F10-1</f>
        <v>-8.2097161235816452E-2</v>
      </c>
      <c r="G32" s="18">
        <f t="shared" si="11"/>
        <v>1.0371447448447535E-2</v>
      </c>
      <c r="H32" s="18">
        <f t="shared" si="11"/>
        <v>-2.6930932153118148E-2</v>
      </c>
      <c r="I32" s="18">
        <f t="shared" si="11"/>
        <v>1.2408999954221942</v>
      </c>
      <c r="J32" s="18">
        <f t="shared" si="11"/>
        <v>-4.7624617444474437E-2</v>
      </c>
      <c r="K32" s="18">
        <f t="shared" ref="K32:Q32" si="12">$S10/K10-1</f>
        <v>-1.2586268710882531E-2</v>
      </c>
      <c r="L32" s="18">
        <f t="shared" si="12"/>
        <v>-1.1408238697074191E-2</v>
      </c>
      <c r="M32" s="18">
        <f t="shared" si="12"/>
        <v>3.1523058062938869E-2</v>
      </c>
      <c r="N32" s="18">
        <f t="shared" si="12"/>
        <v>-5.0037621496613172E-2</v>
      </c>
      <c r="O32" s="18">
        <f t="shared" si="12"/>
        <v>-5.4390830817247937E-2</v>
      </c>
      <c r="P32" s="18">
        <f t="shared" si="12"/>
        <v>-1.1050070261516498E-2</v>
      </c>
      <c r="Q32" s="18">
        <f t="shared" si="12"/>
        <v>-1.8821141299636301E-2</v>
      </c>
      <c r="R32" s="40">
        <f t="shared" ref="R32:R39" si="13">$S10/R10-1</f>
        <v>2.8681357117873452E-2</v>
      </c>
    </row>
    <row r="33" spans="1:18" x14ac:dyDescent="0.2">
      <c r="A33" s="9" t="str">
        <f t="shared" ref="A33:D33" si="14">A11</f>
        <v>ZBH_SET</v>
      </c>
      <c r="B33" s="9" t="str">
        <f t="shared" si="14"/>
        <v>Americas Revenue - SET</v>
      </c>
      <c r="C33" s="9" t="str">
        <f t="shared" si="14"/>
        <v>2018Q3</v>
      </c>
      <c r="D33" s="9">
        <f t="shared" si="14"/>
        <v>20181018</v>
      </c>
      <c r="E33" s="18">
        <f t="shared" si="8"/>
        <v>-2.1614428361963811E-2</v>
      </c>
      <c r="F33" s="18">
        <f t="shared" ref="F33:J33" si="15">$S11/F11-1</f>
        <v>-1.6342903058639724E-2</v>
      </c>
      <c r="G33" s="18">
        <f t="shared" si="15"/>
        <v>7.4661373631560002E-2</v>
      </c>
      <c r="H33" s="18">
        <f t="shared" si="15"/>
        <v>7.544346094231269E-3</v>
      </c>
      <c r="I33" s="18">
        <f t="shared" si="15"/>
        <v>1.2865379287639369</v>
      </c>
      <c r="J33" s="18">
        <f t="shared" si="15"/>
        <v>9.6563065357360145E-3</v>
      </c>
      <c r="K33" s="18">
        <f t="shared" ref="K33:Q33" si="16">$S11/K11-1</f>
        <v>6.9545025504018865E-2</v>
      </c>
      <c r="L33" s="18">
        <f t="shared" si="16"/>
        <v>7.1635314109829817E-2</v>
      </c>
      <c r="M33" s="18">
        <f t="shared" si="16"/>
        <v>6.3629991074537706E-2</v>
      </c>
      <c r="N33" s="18">
        <f t="shared" si="16"/>
        <v>3.542942570729668E-2</v>
      </c>
      <c r="O33" s="18">
        <f t="shared" si="16"/>
        <v>2.036589470077832E-2</v>
      </c>
      <c r="P33" s="18">
        <f t="shared" si="16"/>
        <v>6.0145321928111395E-2</v>
      </c>
      <c r="Q33" s="18">
        <f t="shared" si="16"/>
        <v>5.3112460004625106E-2</v>
      </c>
      <c r="R33" s="40">
        <f t="shared" si="13"/>
        <v>2.0555355210962745E-2</v>
      </c>
    </row>
    <row r="34" spans="1:18" x14ac:dyDescent="0.2">
      <c r="A34" s="9" t="str">
        <f t="shared" ref="A34:D34" si="17">A12</f>
        <v>ZBH_SET</v>
      </c>
      <c r="B34" s="9" t="str">
        <f t="shared" si="17"/>
        <v>Americas Revenue - SET</v>
      </c>
      <c r="C34" s="9" t="str">
        <f t="shared" si="17"/>
        <v>2018Q4</v>
      </c>
      <c r="D34" s="9">
        <f t="shared" si="17"/>
        <v>20190124</v>
      </c>
      <c r="E34" s="18">
        <f t="shared" si="8"/>
        <v>-4.3709876760838817E-2</v>
      </c>
      <c r="F34" s="18">
        <f t="shared" ref="F34:J34" si="18">$S12/F12-1</f>
        <v>-4.5694818537985737E-2</v>
      </c>
      <c r="G34" s="18">
        <f t="shared" si="18"/>
        <v>1.6189297261703706E-2</v>
      </c>
      <c r="H34" s="18">
        <f t="shared" si="18"/>
        <v>-1.7594077626830074E-2</v>
      </c>
      <c r="I34" s="18">
        <f t="shared" si="18"/>
        <v>1.2423290076707603</v>
      </c>
      <c r="J34" s="18">
        <f t="shared" si="18"/>
        <v>-2.3334579556363533E-2</v>
      </c>
      <c r="K34" s="18">
        <f t="shared" ref="K34:Q34" si="19">$S12/K12-1</f>
        <v>-2.2583579561463063E-2</v>
      </c>
      <c r="L34" s="18">
        <f t="shared" si="19"/>
        <v>-2.9839580856595993E-2</v>
      </c>
      <c r="M34" s="18">
        <f t="shared" si="19"/>
        <v>-5.4409768327546959E-2</v>
      </c>
      <c r="N34" s="18">
        <f t="shared" si="19"/>
        <v>-2.4950190846200537E-2</v>
      </c>
      <c r="O34" s="18">
        <f t="shared" si="19"/>
        <v>-1.9334435933487826E-2</v>
      </c>
      <c r="P34" s="18">
        <f t="shared" si="19"/>
        <v>-3.2675362772997207E-2</v>
      </c>
      <c r="Q34" s="18">
        <f t="shared" si="19"/>
        <v>-3.0770868559050535E-2</v>
      </c>
      <c r="R34" s="40">
        <f t="shared" si="13"/>
        <v>-4.2819499341238965E-3</v>
      </c>
    </row>
    <row r="35" spans="1:18" x14ac:dyDescent="0.2">
      <c r="A35" s="9" t="str">
        <f t="shared" ref="A35:D35" si="20">A13</f>
        <v>ZBH_SET</v>
      </c>
      <c r="B35" s="9" t="str">
        <f t="shared" si="20"/>
        <v>Americas Revenue - SET</v>
      </c>
      <c r="C35" s="9" t="str">
        <f t="shared" si="20"/>
        <v>2019Q1</v>
      </c>
      <c r="D35" s="9">
        <f t="shared" si="20"/>
        <v>20190418</v>
      </c>
      <c r="E35" s="18">
        <f t="shared" si="8"/>
        <v>-2.5132097904509543E-2</v>
      </c>
      <c r="F35" s="18">
        <f t="shared" ref="F35:J35" si="21">$S13/F13-1</f>
        <v>-3.1156302593951302E-2</v>
      </c>
      <c r="G35" s="18">
        <f t="shared" si="21"/>
        <v>1.7541467025290247E-2</v>
      </c>
      <c r="H35" s="18">
        <f t="shared" si="21"/>
        <v>-2.7057822924158592E-2</v>
      </c>
      <c r="I35" s="18">
        <f t="shared" si="21"/>
        <v>1.1107942629008121</v>
      </c>
      <c r="J35" s="18">
        <f t="shared" si="21"/>
        <v>-1.6838962520186795E-2</v>
      </c>
      <c r="K35" s="18">
        <f t="shared" ref="K35:Q35" si="22">$S13/K13-1</f>
        <v>1.9426927461513754E-2</v>
      </c>
      <c r="L35" s="18">
        <f t="shared" si="22"/>
        <v>1.5234661014583706E-2</v>
      </c>
      <c r="M35" s="18">
        <f t="shared" si="22"/>
        <v>1.3306278340365907E-3</v>
      </c>
      <c r="N35" s="18">
        <f t="shared" si="22"/>
        <v>-9.6332331491520984E-3</v>
      </c>
      <c r="O35" s="18">
        <f t="shared" si="22"/>
        <v>-5.8659877439921959E-2</v>
      </c>
      <c r="P35" s="18">
        <f t="shared" si="22"/>
        <v>6.6508109125296144E-3</v>
      </c>
      <c r="Q35" s="18">
        <f t="shared" si="22"/>
        <v>-4.9823398029483768E-3</v>
      </c>
      <c r="R35" s="40">
        <f t="shared" si="13"/>
        <v>4.5391061452513259E-3</v>
      </c>
    </row>
    <row r="36" spans="1:18" x14ac:dyDescent="0.2">
      <c r="A36" s="9" t="str">
        <f t="shared" ref="A36:D36" si="23">A14</f>
        <v>ZBH_SET</v>
      </c>
      <c r="B36" s="9" t="str">
        <f t="shared" si="23"/>
        <v>Americas Revenue - SET</v>
      </c>
      <c r="C36" s="9" t="str">
        <f t="shared" si="23"/>
        <v>2019Q2</v>
      </c>
      <c r="D36" s="9">
        <f t="shared" si="23"/>
        <v>20190718</v>
      </c>
      <c r="E36" s="18">
        <f t="shared" si="8"/>
        <v>-9.2835965030911183E-2</v>
      </c>
      <c r="F36" s="18">
        <f t="shared" ref="F36:J36" si="24">$S14/F14-1</f>
        <v>-8.1167427829196948E-2</v>
      </c>
      <c r="G36" s="18">
        <f>$S14/G14-1</f>
        <v>-3.3734315587413799E-2</v>
      </c>
      <c r="H36" s="18">
        <f t="shared" si="24"/>
        <v>-8.4333428501606189E-3</v>
      </c>
      <c r="I36" s="18">
        <f t="shared" si="24"/>
        <v>1.128246253924909</v>
      </c>
      <c r="J36" s="18">
        <f t="shared" si="24"/>
        <v>-5.5287224773097554E-2</v>
      </c>
      <c r="K36" s="18">
        <f t="shared" ref="K36:Q36" si="25">$S14/K14-1</f>
        <v>-6.9449273056248484E-2</v>
      </c>
      <c r="L36" s="18">
        <f t="shared" si="25"/>
        <v>-5.1619394716757472E-2</v>
      </c>
      <c r="M36" s="18">
        <f t="shared" si="25"/>
        <v>-5.0391835885180258E-2</v>
      </c>
      <c r="N36" s="18">
        <f t="shared" si="25"/>
        <v>1.914243262633919E-2</v>
      </c>
      <c r="O36" s="18">
        <f t="shared" si="25"/>
        <v>8.2679734973853947E-3</v>
      </c>
      <c r="P36" s="18">
        <f t="shared" si="25"/>
        <v>-3.9106779853143148E-2</v>
      </c>
      <c r="Q36" s="18">
        <f t="shared" si="25"/>
        <v>-3.1608720317519379E-2</v>
      </c>
      <c r="R36" s="40">
        <f t="shared" si="13"/>
        <v>4.5060658578857105E-3</v>
      </c>
    </row>
    <row r="37" spans="1:18" x14ac:dyDescent="0.2">
      <c r="A37" s="9" t="str">
        <f t="shared" ref="A37:D37" si="26">A15</f>
        <v>ZBH_SET</v>
      </c>
      <c r="B37" s="9" t="str">
        <f t="shared" si="26"/>
        <v>Americas Revenue - SET</v>
      </c>
      <c r="C37" s="9" t="str">
        <f t="shared" si="26"/>
        <v>2019Q3</v>
      </c>
      <c r="D37" s="9">
        <f t="shared" si="26"/>
        <v>20191031</v>
      </c>
      <c r="E37" s="18">
        <f t="shared" si="8"/>
        <v>6.8643578604654643E-3</v>
      </c>
      <c r="F37" s="18">
        <f t="shared" ref="F37:J37" si="27">$S15/F15-1</f>
        <v>-1.2789968032662524E-2</v>
      </c>
      <c r="G37" s="18">
        <f>$S15/G15-1</f>
        <v>3.4305239121384057E-2</v>
      </c>
      <c r="H37" s="18">
        <f t="shared" si="27"/>
        <v>5.2363470527707401E-2</v>
      </c>
      <c r="I37" s="18">
        <f t="shared" si="27"/>
        <v>1.1814172600535229</v>
      </c>
      <c r="J37" s="18">
        <f t="shared" si="27"/>
        <v>1.9572551331973997E-2</v>
      </c>
      <c r="K37" s="18">
        <f t="shared" ref="K37:Q37" si="28">$S15/K15-1</f>
        <v>0.10990330199187626</v>
      </c>
      <c r="L37" s="18">
        <f t="shared" si="28"/>
        <v>7.4417757780384397E-2</v>
      </c>
      <c r="M37" s="18">
        <f t="shared" si="28"/>
        <v>7.0414955023639036E-2</v>
      </c>
      <c r="N37" s="18">
        <f t="shared" si="28"/>
        <v>6.1313894471423991E-2</v>
      </c>
      <c r="O37" s="18">
        <f t="shared" si="28"/>
        <v>2.4983483950955288E-2</v>
      </c>
      <c r="P37" s="18">
        <f t="shared" si="28"/>
        <v>7.9240778856929817E-2</v>
      </c>
      <c r="Q37" s="18">
        <f t="shared" si="28"/>
        <v>6.9449273070854245E-2</v>
      </c>
      <c r="R37" s="40">
        <f t="shared" si="13"/>
        <v>2.1111893033076701E-3</v>
      </c>
    </row>
    <row r="38" spans="1:18" x14ac:dyDescent="0.2">
      <c r="A38" s="9" t="str">
        <f t="shared" ref="A38:D38" si="29">A16</f>
        <v>ZBH_SET</v>
      </c>
      <c r="B38" s="9" t="str">
        <f t="shared" si="29"/>
        <v>Americas Revenue - SET</v>
      </c>
      <c r="C38" s="9" t="str">
        <f t="shared" si="29"/>
        <v>2019Q4</v>
      </c>
      <c r="D38" s="9">
        <f t="shared" si="29"/>
        <v>20200130</v>
      </c>
      <c r="E38" s="18">
        <f t="shared" si="8"/>
        <v>6.0907645641760988E-2</v>
      </c>
      <c r="F38" s="18">
        <f t="shared" ref="F38:J38" si="30">$S16/F16-1</f>
        <v>7.0698716326529798E-2</v>
      </c>
      <c r="G38" s="18">
        <f t="shared" si="30"/>
        <v>6.6834364769445598E-2</v>
      </c>
      <c r="H38" s="18">
        <f t="shared" si="30"/>
        <v>8.0848816376407617E-2</v>
      </c>
      <c r="I38" s="18">
        <f t="shared" si="30"/>
        <v>1.3070245929491393</v>
      </c>
      <c r="J38" s="18">
        <f t="shared" si="30"/>
        <v>6.9773267068828027E-2</v>
      </c>
      <c r="K38" s="18">
        <f t="shared" ref="K38:Q38" si="31">$S16/K16-1</f>
        <v>5.3674844440948055E-2</v>
      </c>
      <c r="L38" s="18">
        <f t="shared" si="31"/>
        <v>8.4570336256423406E-2</v>
      </c>
      <c r="M38" s="18">
        <f t="shared" si="31"/>
        <v>3.1450218385913109E-2</v>
      </c>
      <c r="N38" s="18">
        <f t="shared" si="31"/>
        <v>2.7067972850117972E-2</v>
      </c>
      <c r="O38" s="18">
        <f t="shared" si="31"/>
        <v>5.7580608348415829E-2</v>
      </c>
      <c r="P38" s="18">
        <f t="shared" si="31"/>
        <v>4.9237021604074727E-2</v>
      </c>
      <c r="Q38" s="18">
        <f t="shared" si="31"/>
        <v>5.0261023876387645E-2</v>
      </c>
      <c r="R38" s="40">
        <f t="shared" si="13"/>
        <v>-8.3173384516955773E-3</v>
      </c>
    </row>
    <row r="39" spans="1:18" x14ac:dyDescent="0.2">
      <c r="A39" s="9" t="str">
        <f t="shared" ref="A39:D39" si="32">A17</f>
        <v>ZBH_SET</v>
      </c>
      <c r="B39" s="9" t="str">
        <f t="shared" si="32"/>
        <v>Americas Revenue - SET</v>
      </c>
      <c r="C39" s="9" t="str">
        <f t="shared" si="32"/>
        <v>2020Q1</v>
      </c>
      <c r="D39" s="9">
        <f t="shared" si="32"/>
        <v>20200430</v>
      </c>
      <c r="E39" s="18">
        <f t="shared" si="8"/>
        <v>-9.3325681292219187E-2</v>
      </c>
      <c r="F39" s="18">
        <f t="shared" ref="F39:J39" si="33">$S17/F17-1</f>
        <v>-9.2869202642733351E-2</v>
      </c>
      <c r="G39" s="18">
        <f t="shared" ref="G39:G44" si="34">$S17/G17-1</f>
        <v>-4.7520160254961752E-2</v>
      </c>
      <c r="H39" s="18">
        <f t="shared" si="33"/>
        <v>1.1139080206739038E-2</v>
      </c>
      <c r="I39" s="18">
        <f t="shared" si="33"/>
        <v>1.0960246051154621</v>
      </c>
      <c r="J39" s="18">
        <f t="shared" si="33"/>
        <v>-5.7533647342325023E-2</v>
      </c>
      <c r="K39" s="18">
        <f t="shared" ref="K39:Q39" si="35">$S17/K17-1</f>
        <v>-0.1453786553123404</v>
      </c>
      <c r="L39" s="18">
        <f t="shared" si="35"/>
        <v>-0.15276745593797825</v>
      </c>
      <c r="M39" s="18">
        <f t="shared" si="35"/>
        <v>-0.10719051504224886</v>
      </c>
      <c r="N39" s="18">
        <f t="shared" si="35"/>
        <v>-6.4495362453532934E-2</v>
      </c>
      <c r="O39" s="18">
        <f t="shared" si="35"/>
        <v>-9.1459791316723438E-2</v>
      </c>
      <c r="P39" s="18">
        <f t="shared" si="35"/>
        <v>-0.11900364154730958</v>
      </c>
      <c r="Q39" s="18">
        <f t="shared" si="35"/>
        <v>-0.11441325241335742</v>
      </c>
      <c r="R39" s="40">
        <f t="shared" si="13"/>
        <v>-0.1071428571428571</v>
      </c>
    </row>
    <row r="40" spans="1:18" x14ac:dyDescent="0.2">
      <c r="A40" s="9" t="str">
        <f t="shared" ref="A40:D40" si="36">A18</f>
        <v>ZBH_SET</v>
      </c>
      <c r="B40" s="9" t="str">
        <f t="shared" si="36"/>
        <v>Americas Revenue - SET</v>
      </c>
      <c r="C40" s="9" t="str">
        <f t="shared" si="36"/>
        <v>2020Q2</v>
      </c>
      <c r="D40" s="9">
        <f t="shared" si="36"/>
        <v>20200730</v>
      </c>
      <c r="E40" s="18">
        <f t="shared" si="8"/>
        <v>-0.22974747336189816</v>
      </c>
      <c r="F40" s="18">
        <f t="shared" ref="F40:J40" si="37">$S18/F18-1</f>
        <v>-0.22882665027210636</v>
      </c>
      <c r="G40" s="18">
        <f t="shared" si="34"/>
        <v>-0.14014223640124668</v>
      </c>
      <c r="H40" s="18">
        <f>$S18/H18-1</f>
        <v>-0.23906660777938882</v>
      </c>
      <c r="I40" s="18">
        <f t="shared" si="37"/>
        <v>0.61005041026901052</v>
      </c>
      <c r="J40" s="18">
        <f t="shared" si="37"/>
        <v>-0.21138124279165116</v>
      </c>
      <c r="K40" s="18">
        <f t="shared" ref="K40:Q40" si="38">$S18/K18-1</f>
        <v>-0.15046394196331869</v>
      </c>
      <c r="L40" s="18">
        <f t="shared" si="38"/>
        <v>-0.14987634421128271</v>
      </c>
      <c r="M40" s="18">
        <f t="shared" si="38"/>
        <v>-9.7243083035834399E-2</v>
      </c>
      <c r="N40" s="18">
        <f t="shared" si="38"/>
        <v>-0.24744933005157943</v>
      </c>
      <c r="O40" s="18">
        <f t="shared" si="38"/>
        <v>-0.23185519562146617</v>
      </c>
      <c r="P40" s="18">
        <f t="shared" si="38"/>
        <v>-0.16323935068396755</v>
      </c>
      <c r="Q40" s="18">
        <f t="shared" si="38"/>
        <v>-0.17660090511775894</v>
      </c>
      <c r="R40" s="40">
        <f t="shared" ref="R40" si="39">$S18/R18-1</f>
        <v>0.59305689488910307</v>
      </c>
    </row>
    <row r="41" spans="1:18" x14ac:dyDescent="0.2">
      <c r="A41" s="9" t="str">
        <f t="shared" ref="A41:D41" si="40">A19</f>
        <v>ZBH_SET</v>
      </c>
      <c r="B41" s="9" t="str">
        <f t="shared" si="40"/>
        <v>Americas Revenue - SET</v>
      </c>
      <c r="C41" s="9" t="str">
        <f t="shared" si="40"/>
        <v>2020Q3</v>
      </c>
      <c r="D41" s="9">
        <f t="shared" si="40"/>
        <v>20201029</v>
      </c>
      <c r="E41" s="18">
        <f t="shared" si="8"/>
        <v>-0.12063788905589534</v>
      </c>
      <c r="F41" s="18">
        <f t="shared" ref="F41:I41" si="41">$S19/F19-1</f>
        <v>-0.12162301714385515</v>
      </c>
      <c r="G41" s="18">
        <f t="shared" si="34"/>
        <v>-0.12343211208595228</v>
      </c>
      <c r="H41" s="18">
        <f t="shared" si="41"/>
        <v>-8.1845638850391977E-2</v>
      </c>
      <c r="I41" s="18">
        <f t="shared" si="41"/>
        <v>0.92566237040582511</v>
      </c>
      <c r="J41" s="18">
        <f>$S19/J19-1</f>
        <v>-0.11221703889555912</v>
      </c>
      <c r="K41" s="18">
        <f t="shared" ref="K41:Q41" si="42">$S19/K19-1</f>
        <v>0.14165430236526477</v>
      </c>
      <c r="L41" s="18">
        <f t="shared" si="42"/>
        <v>0.13901366426378425</v>
      </c>
      <c r="M41" s="18">
        <f t="shared" si="42"/>
        <v>1.9433591255090699E-2</v>
      </c>
      <c r="N41" s="18">
        <f t="shared" si="42"/>
        <v>0.20661594107492531</v>
      </c>
      <c r="O41" s="18">
        <f t="shared" si="42"/>
        <v>0.1960261356562627</v>
      </c>
      <c r="P41" s="18">
        <f t="shared" si="42"/>
        <v>0.12574416090117602</v>
      </c>
      <c r="Q41" s="18">
        <f t="shared" si="42"/>
        <v>0.1346490029473888</v>
      </c>
      <c r="R41" s="40">
        <f>$S19/R19-1</f>
        <v>0.16295938104448737</v>
      </c>
    </row>
    <row r="42" spans="1:18" x14ac:dyDescent="0.2">
      <c r="A42" s="9" t="str">
        <f t="shared" ref="A42:D42" si="43">A20</f>
        <v>ZBH_SET</v>
      </c>
      <c r="B42" s="9" t="str">
        <f t="shared" si="43"/>
        <v>Americas Revenue - SET</v>
      </c>
      <c r="C42" s="9" t="str">
        <f t="shared" si="43"/>
        <v>2020Q4</v>
      </c>
      <c r="D42" s="9">
        <f t="shared" si="43"/>
        <v>20210128</v>
      </c>
      <c r="E42" s="18">
        <f t="shared" ref="E42:I42" si="44">$S20/E20-1</f>
        <v>-7.3833599103316438E-2</v>
      </c>
      <c r="F42" s="18">
        <f t="shared" si="44"/>
        <v>-7.0430966795174355E-2</v>
      </c>
      <c r="G42" s="18">
        <f t="shared" si="34"/>
        <v>-5.2059357042219312E-2</v>
      </c>
      <c r="H42" s="18">
        <f t="shared" si="44"/>
        <v>-3.8181795343160685E-3</v>
      </c>
      <c r="I42" s="18">
        <f t="shared" si="44"/>
        <v>0.99686372338591034</v>
      </c>
      <c r="J42" s="18">
        <f>$S20/J20-1</f>
        <v>-5.0836734197607925E-2</v>
      </c>
      <c r="K42" s="18">
        <f t="shared" ref="K42:Q42" si="45">$S20/K20-1</f>
        <v>5.3225274741856676E-2</v>
      </c>
      <c r="L42" s="18">
        <f t="shared" si="45"/>
        <v>5.828027298964944E-2</v>
      </c>
      <c r="M42" s="18">
        <f t="shared" si="45"/>
        <v>8.1422963386871716E-2</v>
      </c>
      <c r="N42" s="18">
        <f t="shared" si="45"/>
        <v>8.4982942539617135E-2</v>
      </c>
      <c r="O42" s="18">
        <f t="shared" si="45"/>
        <v>3.6974993163043424E-2</v>
      </c>
      <c r="P42" s="18">
        <f t="shared" si="45"/>
        <v>6.9138863198716427E-2</v>
      </c>
      <c r="Q42" s="18">
        <f t="shared" si="45"/>
        <v>6.3744837435621315E-2</v>
      </c>
      <c r="R42" s="40">
        <f>$S20/R20-1</f>
        <v>-4.8638132295719894E-2</v>
      </c>
    </row>
    <row r="43" spans="1:18" x14ac:dyDescent="0.2">
      <c r="A43" s="9" t="str">
        <f t="shared" ref="A43:D43" si="46">A21</f>
        <v>ZBH_SET</v>
      </c>
      <c r="B43" s="9" t="str">
        <f t="shared" si="46"/>
        <v>Americas Revenue - SET</v>
      </c>
      <c r="C43" s="9" t="str">
        <f t="shared" si="46"/>
        <v>2021Q1</v>
      </c>
      <c r="D43" s="9">
        <f t="shared" si="46"/>
        <v>20210429</v>
      </c>
      <c r="E43" s="18">
        <f t="shared" ref="E43:J43" si="47">$S21/E21-1</f>
        <v>8.7534908900679831E-2</v>
      </c>
      <c r="F43" s="18">
        <f t="shared" si="47"/>
        <v>0.11138114788330422</v>
      </c>
      <c r="G43" s="18">
        <f t="shared" si="34"/>
        <v>0.14152864846764945</v>
      </c>
      <c r="H43" s="18">
        <f t="shared" si="47"/>
        <v>0.12932157187007665</v>
      </c>
      <c r="I43" s="18">
        <f t="shared" si="47"/>
        <v>1.260524092322405</v>
      </c>
      <c r="J43" s="18">
        <f t="shared" si="47"/>
        <v>0.11706951984247116</v>
      </c>
      <c r="K43" s="18">
        <f t="shared" ref="K43:Q43" si="48">$S21/K21-1</f>
        <v>0.17423273814269735</v>
      </c>
      <c r="L43" s="18">
        <f t="shared" si="48"/>
        <v>0.19558753377536098</v>
      </c>
      <c r="M43" s="18">
        <f t="shared" si="48"/>
        <v>0.20421954364761929</v>
      </c>
      <c r="N43" s="18">
        <f t="shared" si="48"/>
        <v>0.13365005129500762</v>
      </c>
      <c r="O43" s="18">
        <f t="shared" si="48"/>
        <v>0.13203723711772808</v>
      </c>
      <c r="P43" s="18">
        <f t="shared" si="48"/>
        <v>0.17689923334542068</v>
      </c>
      <c r="Q43" s="18">
        <f t="shared" si="48"/>
        <v>0.16876996170376146</v>
      </c>
      <c r="R43" s="40">
        <f>$S21/R21-1</f>
        <v>0.2131223825034898</v>
      </c>
    </row>
    <row r="44" spans="1:18" x14ac:dyDescent="0.2">
      <c r="A44" s="9" t="str">
        <f t="shared" ref="A44:D44" si="49">A22</f>
        <v>ZBH_SET</v>
      </c>
      <c r="B44" s="9" t="str">
        <f t="shared" si="49"/>
        <v>Americas Revenue - SET</v>
      </c>
      <c r="C44" s="9" t="str">
        <f t="shared" si="49"/>
        <v>2021Q2</v>
      </c>
      <c r="D44" s="9">
        <f t="shared" si="49"/>
        <v>20210729</v>
      </c>
      <c r="E44" s="18">
        <f>$S22/E22-1</f>
        <v>9.825720954763284E-2</v>
      </c>
      <c r="F44" s="18">
        <f t="shared" ref="F44:J44" si="50">$S22/F22-1</f>
        <v>0.1134782073984546</v>
      </c>
      <c r="G44" s="18">
        <f t="shared" si="34"/>
        <v>0.18326777576820752</v>
      </c>
      <c r="H44" s="18">
        <f t="shared" si="50"/>
        <v>0.14529798264543325</v>
      </c>
      <c r="I44" s="18">
        <f t="shared" si="50"/>
        <v>1.4286112656952623</v>
      </c>
      <c r="J44" s="18">
        <f t="shared" si="50"/>
        <v>0.13414924128967209</v>
      </c>
      <c r="K44" s="18">
        <f t="shared" ref="K44:Q44" si="51">$S22/K22-1</f>
        <v>9.8592703178523866E-3</v>
      </c>
      <c r="L44" s="18">
        <f t="shared" si="51"/>
        <v>1.8868949857071549E-3</v>
      </c>
      <c r="M44" s="18">
        <f t="shared" si="51"/>
        <v>3.6564239852050262E-2</v>
      </c>
      <c r="N44" s="18">
        <f t="shared" si="51"/>
        <v>1.4146910121357825E-2</v>
      </c>
      <c r="O44" s="18">
        <f t="shared" si="51"/>
        <v>7.4357611999688489E-2</v>
      </c>
      <c r="P44" s="18">
        <f t="shared" si="51"/>
        <v>1.5289756943336563E-2</v>
      </c>
      <c r="Q44" s="18">
        <f t="shared" si="51"/>
        <v>2.4789856120973175E-2</v>
      </c>
      <c r="R44" s="40">
        <f>$S22/R22-1</f>
        <v>0.11010215664018141</v>
      </c>
    </row>
    <row r="45" spans="1:18" x14ac:dyDescent="0.2">
      <c r="A45" s="171" t="s">
        <v>78</v>
      </c>
      <c r="B45" s="171"/>
      <c r="C45" s="167"/>
      <c r="D45" s="168"/>
      <c r="E45" s="73" cm="1">
        <f t="array" ref="E45">SUM(ABS(E28:E44))/COUNT(E28:E44)</f>
        <v>8.4104150959544668E-2</v>
      </c>
      <c r="F45" s="73" cm="1">
        <f t="array" ref="F45">SUM(ABS(F28:F44))/COUNT(F28:F44)</f>
        <v>8.5599035330188811E-2</v>
      </c>
      <c r="G45" s="107" cm="1">
        <f t="array" ref="G45">SUM(ABS(G28:G44))/COUNT(G28:G44)</f>
        <v>6.035061687435371E-2</v>
      </c>
      <c r="H45" s="107" cm="1">
        <f t="array" ref="H45">SUM(ABS(H28:H44))/COUNT(H28:H44)</f>
        <v>5.4404579201990377E-2</v>
      </c>
      <c r="I45" s="73" cm="1">
        <f t="array" ref="I45">SUM(ABS(I28:I44))/COUNT(I28:I44)</f>
        <v>1.1852795398852873</v>
      </c>
      <c r="J45" s="73" cm="1">
        <f t="array" ref="J45">SUM(ABS(J28:J44))/COUNT(J28:J44)</f>
        <v>6.6320037270935259E-2</v>
      </c>
      <c r="K45" s="73" cm="1">
        <f t="array" ref="K45">SUM(ABS(K28:K44))/COUNT(K28:K44)</f>
        <v>7.8727652898179748E-2</v>
      </c>
      <c r="L45" s="73" cm="1">
        <f t="array" ref="L45">SUM(ABS(L28:L44))/COUNT(L28:L44)</f>
        <v>7.6062111969706331E-2</v>
      </c>
      <c r="M45" s="107" cm="1">
        <f t="array" ref="M45">SUM(ABS(M28:M44))/COUNT(M28:M44)</f>
        <v>6.1764696195934242E-2</v>
      </c>
      <c r="N45" s="73" cm="1">
        <f t="array" ref="N45">SUM(ABS(N28:N44))/COUNT(N28:N44)</f>
        <v>6.5604240721674853E-2</v>
      </c>
      <c r="O45" s="73" cm="1">
        <f t="array" ref="O45">SUM(ABS(O28:O44))/COUNT(O28:O44)</f>
        <v>7.0115137074407904E-2</v>
      </c>
      <c r="P45" s="73" cm="1">
        <f t="array" ref="P45">SUM(ABS(P28:P44))/COUNT(P28:P44)</f>
        <v>6.8280107609297327E-2</v>
      </c>
      <c r="Q45" s="73" cm="1">
        <f t="array" ref="Q45">SUM(ABS(Q28:Q44))/COUNT(Q28:Q44)</f>
        <v>6.657018153958745E-2</v>
      </c>
      <c r="R45" s="107" cm="1">
        <f t="array" ref="R45">SUM(ABS(R28:R44))/COUNT(R28:R44)</f>
        <v>8.4801723320141617E-2</v>
      </c>
    </row>
    <row r="46" spans="1:18" x14ac:dyDescent="0.2">
      <c r="A46" s="172" t="s">
        <v>79</v>
      </c>
      <c r="B46" s="172"/>
      <c r="C46" s="169"/>
      <c r="D46" s="170"/>
      <c r="E46" s="74" cm="1">
        <f t="array" ref="E46">SQRT(SUM(POWER(E28:E44,2))/COUNT(E28:E44))</f>
        <v>9.9196661506949016E-2</v>
      </c>
      <c r="F46" s="74" cm="1">
        <f t="array" ref="F46">SQRT(SUM(POWER(F28:F44,2))/COUNT(F28:F44))</f>
        <v>9.9716988635473111E-2</v>
      </c>
      <c r="G46" s="108" cm="1">
        <f t="array" ref="G46">SQRT(SUM(POWER(G28:G44,2))/COUNT(G28:G44))</f>
        <v>8.0329978097989141E-2</v>
      </c>
      <c r="H46" s="108" cm="1">
        <f t="array" ref="H46">SQRT(SUM(POWER(H28:H44,2))/COUNT(H28:H44))</f>
        <v>8.2534418427777853E-2</v>
      </c>
      <c r="I46" s="74" cm="1">
        <f t="array" ref="I46">SQRT(SUM(POWER(I28:I44,2))/COUNT(I28:I44))</f>
        <v>1.2015051630442164</v>
      </c>
      <c r="J46" s="74" cm="1">
        <f t="array" ref="J46">SQRT(SUM(POWER(J28:J44,2))/COUNT(J28:J44))</f>
        <v>8.4055761860471687E-2</v>
      </c>
      <c r="K46" s="74" cm="1">
        <f t="array" ref="K46">SQRT(SUM(POWER(K28:K44,2))/COUNT(K28:K44))</f>
        <v>9.5727154084899513E-2</v>
      </c>
      <c r="L46" s="74" cm="1">
        <f t="array" ref="L46">SQRT(SUM(POWER(L28:L44,2))/COUNT(L28:L44))</f>
        <v>9.4932200751420615E-2</v>
      </c>
      <c r="M46" s="108" cm="1">
        <f t="array" ref="M46">SQRT(SUM(POWER(M28:M44,2))/COUNT(M28:M44))</f>
        <v>7.6871133997164248E-2</v>
      </c>
      <c r="N46" s="74" cm="1">
        <f t="array" ref="N46">SQRT(SUM(POWER(N28:N44,2))/COUNT(N28:N44))</f>
        <v>9.5005234052062737E-2</v>
      </c>
      <c r="O46" s="74" cm="1">
        <f t="array" ref="O46">SQRT(SUM(POWER(O28:O44,2))/COUNT(O28:O44))</f>
        <v>9.3825301194824198E-2</v>
      </c>
      <c r="P46" s="74" cm="1">
        <f t="array" ref="P46">SQRT(SUM(POWER(P28:P44,2))/COUNT(P28:P44))</f>
        <v>8.5662293674011486E-2</v>
      </c>
      <c r="Q46" s="74" cm="1">
        <f t="array" ref="Q46">SQRT(SUM(POWER(Q28:Q44,2))/COUNT(Q28:Q44))</f>
        <v>8.4886854243103466E-2</v>
      </c>
      <c r="R46" s="108" cm="1">
        <f t="array" ref="R46">SQRT(SUM(POWER(R28:R44,2))/COUNT(R28:R44))</f>
        <v>0.16401443727590778</v>
      </c>
    </row>
    <row r="47" spans="1:18" x14ac:dyDescent="0.2">
      <c r="I47" s="3"/>
      <c r="J47" s="3"/>
    </row>
    <row r="48" spans="1:18" x14ac:dyDescent="0.2">
      <c r="B48" t="s">
        <v>158</v>
      </c>
      <c r="J48" s="3"/>
    </row>
  </sheetData>
  <mergeCells count="7">
    <mergeCell ref="A24:D24"/>
    <mergeCell ref="A4:B4"/>
    <mergeCell ref="A26:B26"/>
    <mergeCell ref="C45:D45"/>
    <mergeCell ref="C46:D46"/>
    <mergeCell ref="A45:B45"/>
    <mergeCell ref="A46:B4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46E01-FCEE-49F0-80B2-AA1066C7B862}">
  <dimension ref="A1:Q40"/>
  <sheetViews>
    <sheetView zoomScale="85" zoomScaleNormal="85" workbookViewId="0">
      <selection activeCell="C9" sqref="C9:M11"/>
    </sheetView>
  </sheetViews>
  <sheetFormatPr defaultRowHeight="12.75" x14ac:dyDescent="0.2"/>
  <cols>
    <col min="1" max="1" width="9.140625" style="67"/>
    <col min="3" max="3" width="13" bestFit="1" customWidth="1"/>
    <col min="4" max="4" width="8.85546875" customWidth="1"/>
    <col min="5" max="5" width="6.42578125" customWidth="1"/>
    <col min="6" max="6" width="8.5703125" bestFit="1" customWidth="1"/>
    <col min="7" max="7" width="14.5703125" bestFit="1" customWidth="1"/>
    <col min="8" max="8" width="8.28515625" bestFit="1" customWidth="1"/>
    <col min="9" max="9" width="7.5703125" bestFit="1" customWidth="1"/>
    <col min="10" max="10" width="12" bestFit="1" customWidth="1"/>
    <col min="11" max="11" width="12.5703125" bestFit="1" customWidth="1"/>
    <col min="12" max="12" width="7.42578125" bestFit="1" customWidth="1"/>
    <col min="13" max="13" width="7.5703125" bestFit="1" customWidth="1"/>
  </cols>
  <sheetData>
    <row r="1" spans="1:17" x14ac:dyDescent="0.2">
      <c r="A1" s="67" t="s">
        <v>104</v>
      </c>
      <c r="B1" t="s">
        <v>84</v>
      </c>
    </row>
    <row r="2" spans="1:17" x14ac:dyDescent="0.2">
      <c r="A2" s="67" t="s">
        <v>99</v>
      </c>
      <c r="B2" t="s">
        <v>82</v>
      </c>
    </row>
    <row r="3" spans="1:17" x14ac:dyDescent="0.2">
      <c r="A3" s="67" t="s">
        <v>100</v>
      </c>
      <c r="B3" t="s">
        <v>147</v>
      </c>
    </row>
    <row r="4" spans="1:17" x14ac:dyDescent="0.2">
      <c r="A4" s="67" t="s">
        <v>101</v>
      </c>
      <c r="B4" t="s">
        <v>166</v>
      </c>
      <c r="O4" s="6"/>
      <c r="P4" s="6"/>
      <c r="Q4" s="6"/>
    </row>
    <row r="5" spans="1:17" x14ac:dyDescent="0.2">
      <c r="O5" s="6"/>
      <c r="P5" s="6"/>
      <c r="Q5" s="6"/>
    </row>
    <row r="6" spans="1:17" x14ac:dyDescent="0.2">
      <c r="O6" s="6"/>
      <c r="P6" s="6"/>
      <c r="Q6" s="6"/>
    </row>
    <row r="7" spans="1:17" x14ac:dyDescent="0.2">
      <c r="A7" s="67" t="s">
        <v>102</v>
      </c>
      <c r="B7" s="173" t="s">
        <v>83</v>
      </c>
      <c r="C7" s="173"/>
      <c r="D7" s="173" t="s">
        <v>112</v>
      </c>
      <c r="E7" s="173"/>
      <c r="F7" s="173"/>
      <c r="G7" s="173"/>
      <c r="H7" s="173"/>
      <c r="I7" s="173"/>
      <c r="J7" s="173"/>
      <c r="K7" s="173"/>
      <c r="L7" s="173"/>
      <c r="M7" s="173"/>
      <c r="N7" s="173"/>
      <c r="O7" s="6"/>
      <c r="P7" s="6"/>
      <c r="Q7" s="6"/>
    </row>
    <row r="8" spans="1:17" ht="15" x14ac:dyDescent="0.2">
      <c r="A8" s="67" t="s">
        <v>174</v>
      </c>
      <c r="C8" s="71" t="s">
        <v>85</v>
      </c>
      <c r="D8" s="71" t="s">
        <v>86</v>
      </c>
      <c r="E8" s="71" t="s">
        <v>87</v>
      </c>
      <c r="F8" s="71" t="s">
        <v>88</v>
      </c>
      <c r="G8" s="71" t="s">
        <v>89</v>
      </c>
      <c r="H8" s="71" t="s">
        <v>90</v>
      </c>
      <c r="I8" s="71" t="s">
        <v>91</v>
      </c>
      <c r="J8" s="71" t="s">
        <v>92</v>
      </c>
      <c r="K8" s="71" t="s">
        <v>93</v>
      </c>
      <c r="L8" s="71" t="s">
        <v>94</v>
      </c>
      <c r="M8" s="71" t="s">
        <v>95</v>
      </c>
      <c r="O8" s="6"/>
      <c r="P8" s="6"/>
      <c r="Q8" s="6"/>
    </row>
    <row r="9" spans="1:17" ht="15" x14ac:dyDescent="0.2">
      <c r="B9" s="71" t="s">
        <v>96</v>
      </c>
      <c r="C9" s="2">
        <v>6.7290070470533245E-2</v>
      </c>
      <c r="D9" s="2">
        <v>5.6249182441807308E-2</v>
      </c>
      <c r="E9" s="2">
        <v>6.2752625331815554E-2</v>
      </c>
      <c r="F9" s="2">
        <v>6.9627503257537957E-2</v>
      </c>
      <c r="G9" s="2">
        <v>5.549163381033078E-2</v>
      </c>
      <c r="H9" s="2">
        <v>6.2739374076196855E-2</v>
      </c>
      <c r="I9" s="2">
        <v>6.3272208549662021E-2</v>
      </c>
      <c r="J9" s="2">
        <v>5.5490236655185078E-2</v>
      </c>
      <c r="K9" s="2">
        <v>5.5082678665147981E-2</v>
      </c>
      <c r="L9" s="2">
        <v>6.9335144634075849E-2</v>
      </c>
      <c r="M9" s="2">
        <v>5.5995579760830548E-2</v>
      </c>
      <c r="O9" s="6"/>
      <c r="P9" s="6"/>
      <c r="Q9" s="6"/>
    </row>
    <row r="10" spans="1:17" ht="15" x14ac:dyDescent="0.2">
      <c r="B10" s="71" t="s">
        <v>97</v>
      </c>
      <c r="C10" s="2">
        <v>9.2775019893958324E-2</v>
      </c>
      <c r="D10" s="2">
        <v>7.1652631723401153E-2</v>
      </c>
      <c r="E10" s="2">
        <v>7.5888258871208827E-2</v>
      </c>
      <c r="F10" s="2">
        <v>8.6273486387791989E-2</v>
      </c>
      <c r="G10" s="2">
        <v>7.5005303802915188E-2</v>
      </c>
      <c r="H10" s="2">
        <v>7.5874888760749729E-2</v>
      </c>
      <c r="I10" s="2">
        <v>7.7580077250724244E-2</v>
      </c>
      <c r="J10" s="2">
        <v>7.4841594839688649E-2</v>
      </c>
      <c r="K10" s="2">
        <v>7.5605524762250423E-2</v>
      </c>
      <c r="L10" s="2">
        <v>8.601636267122463E-2</v>
      </c>
      <c r="M10" s="2">
        <v>7.533923354213494E-2</v>
      </c>
      <c r="O10" s="6"/>
      <c r="P10" s="6"/>
      <c r="Q10" s="6"/>
    </row>
    <row r="11" spans="1:17" ht="15" x14ac:dyDescent="0.2">
      <c r="B11" s="71" t="s">
        <v>98</v>
      </c>
      <c r="C11" s="2">
        <v>-4.4858523119393201E-3</v>
      </c>
      <c r="D11" s="2">
        <v>-1.1016368000000051E-2</v>
      </c>
      <c r="E11" s="2">
        <v>9.6773330530006696E-3</v>
      </c>
      <c r="F11" s="2">
        <v>1.7120917707684539E-2</v>
      </c>
      <c r="G11" s="2">
        <v>-2.8396018049370308E-3</v>
      </c>
      <c r="H11" s="2">
        <v>9.6865334930058555E-3</v>
      </c>
      <c r="I11" s="2">
        <v>9.7900408219628865E-3</v>
      </c>
      <c r="J11" s="2">
        <v>-3.179001270954052E-3</v>
      </c>
      <c r="K11" s="2">
        <v>-1.781995856865781E-3</v>
      </c>
      <c r="L11" s="2">
        <v>-2.478400520721535E-2</v>
      </c>
      <c r="M11" s="2">
        <v>5.2340896971643236E-3</v>
      </c>
      <c r="O11" s="6"/>
      <c r="P11" s="6"/>
      <c r="Q11" s="6"/>
    </row>
    <row r="12" spans="1:17" x14ac:dyDescent="0.2">
      <c r="O12" s="6"/>
      <c r="P12" s="6"/>
      <c r="Q12" s="6"/>
    </row>
    <row r="13" spans="1:17" x14ac:dyDescent="0.2">
      <c r="O13" s="6"/>
      <c r="P13" s="6"/>
      <c r="Q13" s="6"/>
    </row>
    <row r="14" spans="1:17" x14ac:dyDescent="0.2">
      <c r="O14" s="6"/>
      <c r="P14" s="6"/>
      <c r="Q14" s="6"/>
    </row>
    <row r="15" spans="1:17" x14ac:dyDescent="0.2">
      <c r="A15" s="67" t="s">
        <v>103</v>
      </c>
      <c r="B15" t="s">
        <v>139</v>
      </c>
      <c r="O15" s="6"/>
      <c r="P15" s="6"/>
      <c r="Q15" s="6"/>
    </row>
    <row r="16" spans="1:17" x14ac:dyDescent="0.2">
      <c r="B16" t="s">
        <v>140</v>
      </c>
      <c r="H16" s="68" t="s">
        <v>106</v>
      </c>
      <c r="O16" s="6"/>
      <c r="P16" s="6"/>
      <c r="Q16" s="6"/>
    </row>
    <row r="17" spans="1:17" x14ac:dyDescent="0.2">
      <c r="H17" s="68"/>
      <c r="O17" s="6"/>
      <c r="P17" s="6"/>
      <c r="Q17" s="6"/>
    </row>
    <row r="18" spans="1:17" x14ac:dyDescent="0.2">
      <c r="O18" s="6"/>
      <c r="P18" s="6"/>
      <c r="Q18" s="6"/>
    </row>
    <row r="19" spans="1:17" x14ac:dyDescent="0.2">
      <c r="O19" s="6"/>
      <c r="P19" s="6"/>
      <c r="Q19" s="6"/>
    </row>
    <row r="20" spans="1:17" x14ac:dyDescent="0.2">
      <c r="A20" s="67" t="s">
        <v>105</v>
      </c>
      <c r="B20" s="174" t="s">
        <v>108</v>
      </c>
      <c r="C20" s="174"/>
      <c r="D20" s="174"/>
      <c r="E20" s="174"/>
      <c r="F20" s="66" t="e">
        <f>#REF!+#REF!*'2. Past Proj &amp; Candidate Model'!R22</f>
        <v>#REF!</v>
      </c>
      <c r="G20" s="69" t="s">
        <v>109</v>
      </c>
      <c r="H20" s="2" t="e">
        <f>'2. Past Proj &amp; Candidate Model'!S22/'3. Improved Alpha Model'!F20-1</f>
        <v>#REF!</v>
      </c>
      <c r="O20" s="6"/>
      <c r="P20" s="6"/>
      <c r="Q20" s="6"/>
    </row>
    <row r="21" spans="1:17" x14ac:dyDescent="0.2">
      <c r="O21" s="6"/>
      <c r="P21" s="6"/>
      <c r="Q21" s="6"/>
    </row>
    <row r="22" spans="1:17" x14ac:dyDescent="0.2">
      <c r="O22" s="6"/>
      <c r="P22" s="6"/>
      <c r="Q22" s="6"/>
    </row>
    <row r="23" spans="1:17" x14ac:dyDescent="0.2">
      <c r="O23" s="6"/>
      <c r="P23" s="6"/>
      <c r="Q23" s="6"/>
    </row>
    <row r="24" spans="1:17" x14ac:dyDescent="0.2">
      <c r="B24" s="175" t="s">
        <v>159</v>
      </c>
      <c r="C24" s="175"/>
      <c r="D24" s="175"/>
      <c r="E24" s="3">
        <f>C9</f>
        <v>6.7290070470533245E-2</v>
      </c>
      <c r="F24" t="s">
        <v>110</v>
      </c>
      <c r="G24" s="175" t="s">
        <v>111</v>
      </c>
      <c r="H24" s="175"/>
      <c r="I24" s="3" t="e">
        <f>#REF!</f>
        <v>#REF!</v>
      </c>
      <c r="O24" s="6"/>
      <c r="P24" s="6"/>
      <c r="Q24" s="6"/>
    </row>
    <row r="25" spans="1:17" x14ac:dyDescent="0.2">
      <c r="O25" s="6"/>
      <c r="P25" s="6"/>
      <c r="Q25" s="6"/>
    </row>
    <row r="26" spans="1:17" x14ac:dyDescent="0.2">
      <c r="O26" s="6"/>
      <c r="P26" s="6"/>
      <c r="Q26" s="6"/>
    </row>
    <row r="27" spans="1:17" x14ac:dyDescent="0.2">
      <c r="A27" s="67" t="s">
        <v>107</v>
      </c>
      <c r="B27" t="s">
        <v>113</v>
      </c>
      <c r="O27" s="6"/>
      <c r="P27" s="6"/>
      <c r="Q27" s="6"/>
    </row>
    <row r="28" spans="1:17" x14ac:dyDescent="0.2">
      <c r="B28" t="s">
        <v>114</v>
      </c>
      <c r="O28" s="6"/>
      <c r="P28" s="6"/>
      <c r="Q28" s="6"/>
    </row>
    <row r="29" spans="1:17" x14ac:dyDescent="0.2">
      <c r="B29" t="s">
        <v>115</v>
      </c>
      <c r="O29" s="6"/>
      <c r="P29" s="6"/>
      <c r="Q29" s="6"/>
    </row>
    <row r="30" spans="1:17" x14ac:dyDescent="0.2">
      <c r="B30" t="s">
        <v>116</v>
      </c>
      <c r="O30" s="6"/>
      <c r="P30" s="6"/>
      <c r="Q30" s="6"/>
    </row>
    <row r="31" spans="1:17" x14ac:dyDescent="0.2">
      <c r="B31" t="s">
        <v>117</v>
      </c>
      <c r="O31" s="6"/>
      <c r="P31" s="6"/>
      <c r="Q31" s="6"/>
    </row>
    <row r="32" spans="1:17" x14ac:dyDescent="0.2">
      <c r="B32" t="s">
        <v>118</v>
      </c>
      <c r="O32" s="6"/>
      <c r="P32" s="6"/>
      <c r="Q32" s="6"/>
    </row>
    <row r="33" spans="2:17" x14ac:dyDescent="0.2">
      <c r="B33" t="s">
        <v>119</v>
      </c>
      <c r="O33" s="6"/>
      <c r="P33" s="6"/>
      <c r="Q33" s="6"/>
    </row>
    <row r="34" spans="2:17" x14ac:dyDescent="0.2">
      <c r="B34" t="s">
        <v>120</v>
      </c>
      <c r="O34" s="6"/>
      <c r="P34" s="6"/>
      <c r="Q34" s="6"/>
    </row>
    <row r="35" spans="2:17" x14ac:dyDescent="0.2">
      <c r="B35" t="s">
        <v>121</v>
      </c>
      <c r="O35" s="6"/>
      <c r="P35" s="6"/>
      <c r="Q35" s="6"/>
    </row>
    <row r="36" spans="2:17" x14ac:dyDescent="0.2">
      <c r="B36" t="s">
        <v>122</v>
      </c>
      <c r="O36" s="6"/>
      <c r="P36" s="6"/>
      <c r="Q36" s="6"/>
    </row>
    <row r="37" spans="2:17" x14ac:dyDescent="0.2">
      <c r="O37" s="6"/>
      <c r="P37" s="6"/>
      <c r="Q37" s="6"/>
    </row>
    <row r="38" spans="2:17" x14ac:dyDescent="0.2">
      <c r="O38" s="6"/>
      <c r="P38" s="6"/>
      <c r="Q38" s="6"/>
    </row>
    <row r="39" spans="2:17" x14ac:dyDescent="0.2">
      <c r="O39" s="6"/>
      <c r="P39" s="6"/>
    </row>
    <row r="40" spans="2:17" x14ac:dyDescent="0.2">
      <c r="O40" s="6"/>
      <c r="P40" s="6"/>
    </row>
  </sheetData>
  <mergeCells count="5">
    <mergeCell ref="D7:N7"/>
    <mergeCell ref="B7:C7"/>
    <mergeCell ref="B20:E20"/>
    <mergeCell ref="B24:D24"/>
    <mergeCell ref="G24:H24"/>
  </mergeCells>
  <conditionalFormatting sqref="C9:K9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6">
      <colorScale>
        <cfvo type="min"/>
        <cfvo type="max"/>
        <color rgb="FF63BE7B"/>
        <color rgb="FFFFEF9C"/>
      </colorScale>
    </cfRule>
  </conditionalFormatting>
  <conditionalFormatting sqref="C10:K10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5">
      <colorScale>
        <cfvo type="min"/>
        <cfvo type="max"/>
        <color rgb="FF63BE7B"/>
        <color rgb="FFFFEF9C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7F763-2C58-4893-AC1B-19A7BE0B0DA5}">
  <dimension ref="A1:Y48"/>
  <sheetViews>
    <sheetView tabSelected="1" zoomScale="85" zoomScaleNormal="85" workbookViewId="0">
      <selection activeCell="G33" sqref="G33"/>
    </sheetView>
  </sheetViews>
  <sheetFormatPr defaultRowHeight="12.75" x14ac:dyDescent="0.2"/>
  <cols>
    <col min="1" max="1" width="9.140625" style="67"/>
    <col min="3" max="3" width="18.5703125" customWidth="1"/>
    <col min="4" max="13" width="14.7109375" customWidth="1"/>
    <col min="18" max="18" width="8.28515625" customWidth="1"/>
    <col min="19" max="19" width="14.85546875" customWidth="1"/>
    <col min="23" max="23" width="16.28515625" customWidth="1"/>
  </cols>
  <sheetData>
    <row r="1" spans="1:25" x14ac:dyDescent="0.2">
      <c r="A1" s="67" t="s">
        <v>124</v>
      </c>
      <c r="B1" t="s">
        <v>84</v>
      </c>
    </row>
    <row r="2" spans="1:25" x14ac:dyDescent="0.2">
      <c r="A2" s="67" t="s">
        <v>99</v>
      </c>
      <c r="B2" s="75" t="s">
        <v>160</v>
      </c>
      <c r="C2" s="76" t="str">
        <f>D5</f>
        <v>PROJ</v>
      </c>
      <c r="D2" t="s">
        <v>161</v>
      </c>
    </row>
    <row r="4" spans="1:25" x14ac:dyDescent="0.2">
      <c r="A4" s="67" t="s">
        <v>100</v>
      </c>
      <c r="B4" t="s">
        <v>123</v>
      </c>
    </row>
    <row r="5" spans="1:25" ht="15" x14ac:dyDescent="0.2">
      <c r="A5" s="67" t="s">
        <v>174</v>
      </c>
      <c r="C5" s="71" t="s">
        <v>85</v>
      </c>
      <c r="D5" s="71" t="s">
        <v>86</v>
      </c>
      <c r="E5" s="71" t="s">
        <v>87</v>
      </c>
      <c r="F5" s="71" t="s">
        <v>88</v>
      </c>
      <c r="G5" s="71" t="s">
        <v>89</v>
      </c>
      <c r="H5" s="71" t="s">
        <v>90</v>
      </c>
      <c r="I5" s="71" t="s">
        <v>91</v>
      </c>
      <c r="J5" s="71" t="s">
        <v>92</v>
      </c>
      <c r="K5" s="71" t="s">
        <v>93</v>
      </c>
      <c r="L5" s="71" t="s">
        <v>94</v>
      </c>
      <c r="M5" s="71" t="s">
        <v>95</v>
      </c>
    </row>
    <row r="6" spans="1:25" ht="15" x14ac:dyDescent="0.2">
      <c r="B6" s="71" t="s">
        <v>96</v>
      </c>
      <c r="C6" s="2">
        <v>6.0561063423479923E-2</v>
      </c>
      <c r="D6" s="2">
        <v>5.3769039776416727E-2</v>
      </c>
      <c r="E6" s="2">
        <v>5.7010704847727432E-2</v>
      </c>
      <c r="F6" s="2">
        <v>6.648386494086847E-2</v>
      </c>
      <c r="G6" s="2">
        <v>5.1559745862763087E-2</v>
      </c>
      <c r="H6" s="2">
        <v>5.7005003736669058E-2</v>
      </c>
      <c r="I6" s="2">
        <v>5.7478464707958803E-2</v>
      </c>
      <c r="J6" s="2">
        <v>5.1562373263990643E-2</v>
      </c>
      <c r="K6" s="2">
        <v>5.1301542492498672E-2</v>
      </c>
      <c r="L6" s="2">
        <v>6.2742186941832395E-2</v>
      </c>
      <c r="M6" s="2">
        <v>5.1721390930842812E-2</v>
      </c>
    </row>
    <row r="7" spans="1:25" ht="15" x14ac:dyDescent="0.2">
      <c r="B7" s="71" t="s">
        <v>97</v>
      </c>
      <c r="C7" s="2">
        <v>8.8014111849702412E-2</v>
      </c>
      <c r="D7" s="2">
        <v>6.8699241655275689E-2</v>
      </c>
      <c r="E7" s="2">
        <v>7.2013676398768559E-2</v>
      </c>
      <c r="F7" s="2">
        <v>8.2732455381992601E-2</v>
      </c>
      <c r="G7" s="2">
        <v>7.133983345220081E-2</v>
      </c>
      <c r="H7" s="2">
        <v>7.2001459681177452E-2</v>
      </c>
      <c r="I7" s="2">
        <v>7.3618255377605274E-2</v>
      </c>
      <c r="J7" s="2">
        <v>7.1185809630036262E-2</v>
      </c>
      <c r="K7" s="2">
        <v>7.1933341893709368E-2</v>
      </c>
      <c r="L7" s="2">
        <v>8.1609392667834138E-2</v>
      </c>
      <c r="M7" s="2">
        <v>7.1595852766615814E-2</v>
      </c>
    </row>
    <row r="8" spans="1:25" ht="15" x14ac:dyDescent="0.2">
      <c r="B8" s="71" t="s">
        <v>98</v>
      </c>
      <c r="C8" s="2">
        <v>-3.2962969424865651E-3</v>
      </c>
      <c r="D8" s="2">
        <v>-2.1232061893950771E-2</v>
      </c>
      <c r="E8" s="2">
        <v>7.505376771967498E-3</v>
      </c>
      <c r="F8" s="2">
        <v>1.8514896053188679E-2</v>
      </c>
      <c r="G8" s="2">
        <v>5.802703617063143E-3</v>
      </c>
      <c r="H8" s="2">
        <v>7.541102086962348E-3</v>
      </c>
      <c r="I8" s="2">
        <v>7.5624054772963634E-3</v>
      </c>
      <c r="J8" s="2">
        <v>5.5502431455044521E-3</v>
      </c>
      <c r="K8" s="2">
        <v>5.6901358689863124E-3</v>
      </c>
      <c r="L8" s="2">
        <v>-1.0689218747786999E-2</v>
      </c>
      <c r="M8" s="2">
        <v>-4.0098008818943986E-3</v>
      </c>
    </row>
    <row r="10" spans="1:25" ht="15" x14ac:dyDescent="0.2">
      <c r="A10" s="67" t="s">
        <v>101</v>
      </c>
      <c r="B10" s="72" t="s">
        <v>162</v>
      </c>
    </row>
    <row r="12" spans="1:25" x14ac:dyDescent="0.2">
      <c r="A12" s="67" t="s">
        <v>102</v>
      </c>
      <c r="B12" t="s">
        <v>138</v>
      </c>
    </row>
    <row r="13" spans="1:25" ht="15" x14ac:dyDescent="0.2">
      <c r="B13" s="71" t="s">
        <v>125</v>
      </c>
      <c r="C13" s="71" t="s">
        <v>126</v>
      </c>
      <c r="D13" s="71" t="s">
        <v>85</v>
      </c>
      <c r="E13" s="71" t="s">
        <v>86</v>
      </c>
      <c r="F13" s="71" t="s">
        <v>87</v>
      </c>
      <c r="G13" s="71" t="s">
        <v>88</v>
      </c>
      <c r="H13" s="71" t="s">
        <v>89</v>
      </c>
      <c r="I13" s="71" t="s">
        <v>90</v>
      </c>
      <c r="J13" s="71" t="s">
        <v>91</v>
      </c>
      <c r="K13" s="71" t="s">
        <v>92</v>
      </c>
      <c r="L13" s="71" t="s">
        <v>93</v>
      </c>
      <c r="M13" s="71" t="s">
        <v>94</v>
      </c>
      <c r="N13" s="71" t="s">
        <v>95</v>
      </c>
      <c r="O13" s="71" t="s">
        <v>127</v>
      </c>
      <c r="P13" s="71" t="s">
        <v>128</v>
      </c>
      <c r="Q13" s="71" t="s">
        <v>129</v>
      </c>
      <c r="R13" s="71" t="s">
        <v>130</v>
      </c>
      <c r="S13" s="71" t="s">
        <v>131</v>
      </c>
      <c r="T13" s="71" t="s">
        <v>132</v>
      </c>
      <c r="U13" s="71" t="s">
        <v>133</v>
      </c>
      <c r="V13" s="71" t="s">
        <v>134</v>
      </c>
      <c r="W13" s="71" t="s">
        <v>135</v>
      </c>
      <c r="X13" s="71" t="s">
        <v>136</v>
      </c>
      <c r="Y13" s="71" t="s">
        <v>137</v>
      </c>
    </row>
    <row r="14" spans="1:25" x14ac:dyDescent="0.2">
      <c r="B14" t="s">
        <v>168</v>
      </c>
      <c r="C14">
        <v>292.10000000000002</v>
      </c>
      <c r="D14">
        <v>282.3</v>
      </c>
      <c r="E14">
        <v>295.0703891</v>
      </c>
      <c r="O14" s="2"/>
      <c r="P14" s="2">
        <f>E14/C14-1</f>
        <v>1.0169082848339617E-2</v>
      </c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">
      <c r="B15" t="s">
        <v>169</v>
      </c>
      <c r="C15">
        <v>282.3</v>
      </c>
      <c r="D15">
        <v>277.39999999999998</v>
      </c>
      <c r="E15">
        <v>277.78412500000002</v>
      </c>
      <c r="O15" s="2"/>
      <c r="P15" s="2">
        <f t="shared" ref="P15:P21" si="0">E15/C15-1</f>
        <v>-1.5996723343960295E-2</v>
      </c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">
      <c r="B16" t="s">
        <v>167</v>
      </c>
      <c r="C16">
        <v>311.10000000000002</v>
      </c>
      <c r="D16">
        <v>291.39999999999998</v>
      </c>
      <c r="E16">
        <v>298.283163</v>
      </c>
      <c r="O16" s="2"/>
      <c r="P16" s="2">
        <f t="shared" si="0"/>
        <v>-4.11984474445517E-2</v>
      </c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2">
      <c r="B17" t="s">
        <v>42</v>
      </c>
      <c r="C17">
        <v>290</v>
      </c>
      <c r="D17">
        <v>286.10000000000002</v>
      </c>
      <c r="E17">
        <v>283.11360300000001</v>
      </c>
      <c r="O17" s="2"/>
      <c r="P17" s="2">
        <f t="shared" si="0"/>
        <v>-2.3746196551724053E-2</v>
      </c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2">
      <c r="B18" t="s">
        <v>43</v>
      </c>
      <c r="C18">
        <v>294.10000000000002</v>
      </c>
      <c r="D18">
        <v>285.89999999999998</v>
      </c>
      <c r="E18">
        <v>302.23959400000001</v>
      </c>
      <c r="O18" s="2"/>
      <c r="P18" s="2">
        <f t="shared" si="0"/>
        <v>2.7676280176810675E-2</v>
      </c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2">
      <c r="B19" t="s">
        <v>44</v>
      </c>
      <c r="C19">
        <v>283</v>
      </c>
      <c r="D19">
        <v>277.3</v>
      </c>
      <c r="E19">
        <v>280.88093700000002</v>
      </c>
      <c r="O19" s="2"/>
      <c r="P19" s="2">
        <f t="shared" si="0"/>
        <v>-7.4878551236748914E-3</v>
      </c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2">
      <c r="B20" t="s">
        <v>45</v>
      </c>
      <c r="C20">
        <v>302.3</v>
      </c>
      <c r="D20">
        <v>303.60000000000002</v>
      </c>
      <c r="E20">
        <v>307.71394299999997</v>
      </c>
      <c r="O20" s="2"/>
      <c r="P20" s="2">
        <f t="shared" si="0"/>
        <v>1.7909173006946721E-2</v>
      </c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2">
      <c r="B21" t="s">
        <v>46</v>
      </c>
      <c r="C21">
        <v>287.7</v>
      </c>
      <c r="D21">
        <v>286.39999999999998</v>
      </c>
      <c r="E21">
        <v>295.70102600000001</v>
      </c>
      <c r="F21">
        <v>296.01319338804859</v>
      </c>
      <c r="G21">
        <v>293.65788334719099</v>
      </c>
      <c r="H21">
        <v>294.94286542600622</v>
      </c>
      <c r="I21">
        <v>295.98309521042381</v>
      </c>
      <c r="J21">
        <v>295.70524020635139</v>
      </c>
      <c r="K21">
        <v>294.95631781938658</v>
      </c>
      <c r="L21">
        <v>294.95181082229323</v>
      </c>
      <c r="M21">
        <v>298.54741290120228</v>
      </c>
      <c r="N21">
        <v>298.56453860232432</v>
      </c>
      <c r="O21" s="2">
        <v>-4.5185957594716664E-3</v>
      </c>
      <c r="P21" s="2">
        <f t="shared" si="0"/>
        <v>2.7810309350017492E-2</v>
      </c>
      <c r="Q21" s="2">
        <v>2.8895354146849739E-2</v>
      </c>
      <c r="R21" s="2">
        <v>2.070866648311109E-2</v>
      </c>
      <c r="S21" s="2">
        <v>2.517506230798117E-2</v>
      </c>
      <c r="T21" s="2">
        <v>2.879073761009332E-2</v>
      </c>
      <c r="U21" s="2">
        <v>2.7824957269208861E-2</v>
      </c>
      <c r="V21" s="2">
        <v>2.5221820713891448E-2</v>
      </c>
      <c r="W21" s="2">
        <v>2.520615510008084E-2</v>
      </c>
      <c r="X21" s="2">
        <v>3.7703903028162289E-2</v>
      </c>
      <c r="Y21" s="2">
        <v>3.7763429274676241E-2</v>
      </c>
    </row>
    <row r="22" spans="2:25" x14ac:dyDescent="0.2">
      <c r="B22" t="s">
        <v>47</v>
      </c>
      <c r="C22">
        <v>289.8</v>
      </c>
      <c r="D22">
        <v>288.5</v>
      </c>
      <c r="E22">
        <v>292.264769</v>
      </c>
      <c r="F22">
        <v>292.6044911187596</v>
      </c>
      <c r="G22">
        <v>294.76164195168701</v>
      </c>
      <c r="H22">
        <v>293.98616361952048</v>
      </c>
      <c r="I22">
        <v>292.60715740627307</v>
      </c>
      <c r="J22">
        <v>292.63715383020491</v>
      </c>
      <c r="K22">
        <v>293.93819549545691</v>
      </c>
      <c r="L22">
        <v>293.6144251489842</v>
      </c>
      <c r="M22">
        <v>293.2755923547395</v>
      </c>
      <c r="N22">
        <v>293.27356308436322</v>
      </c>
      <c r="O22" s="2">
        <v>-4.4858523119393201E-3</v>
      </c>
      <c r="P22" s="2">
        <v>8.5050690131125428E-3</v>
      </c>
      <c r="Q22" s="2">
        <v>9.6773330530006696E-3</v>
      </c>
      <c r="R22" s="2">
        <v>1.7120917707684539E-2</v>
      </c>
      <c r="S22" s="2">
        <v>1.444500903906332E-2</v>
      </c>
      <c r="T22" s="2">
        <v>9.6865334930058555E-3</v>
      </c>
      <c r="U22" s="2">
        <v>9.7900408219628865E-3</v>
      </c>
      <c r="V22" s="2">
        <v>1.4279487561962959E-2</v>
      </c>
      <c r="W22" s="2">
        <v>1.3162267594838409E-2</v>
      </c>
      <c r="X22" s="2">
        <v>1.199307230758961E-2</v>
      </c>
      <c r="Y22" s="2">
        <v>1.19860699943517E-2</v>
      </c>
    </row>
    <row r="23" spans="2:25" x14ac:dyDescent="0.2">
      <c r="B23" t="s">
        <v>48</v>
      </c>
      <c r="C23">
        <v>284.8</v>
      </c>
      <c r="D23">
        <v>284.2</v>
      </c>
      <c r="E23">
        <v>270.62893000000003</v>
      </c>
      <c r="F23">
        <v>277.96837435882833</v>
      </c>
      <c r="G23">
        <v>290.4700474287477</v>
      </c>
      <c r="H23">
        <v>283.99128140595388</v>
      </c>
      <c r="I23">
        <v>278.14392843141758</v>
      </c>
      <c r="J23">
        <v>280.38405375277608</v>
      </c>
      <c r="K23">
        <v>283.89462043803229</v>
      </c>
      <c r="L23">
        <v>284.29248757996459</v>
      </c>
      <c r="M23">
        <v>277.45386047311308</v>
      </c>
      <c r="N23">
        <v>281.00104623231158</v>
      </c>
      <c r="O23" s="2">
        <v>-2.1067415730338102E-3</v>
      </c>
      <c r="P23" s="2">
        <v>-4.9757970505617921E-2</v>
      </c>
      <c r="Q23" s="2">
        <v>-2.3987449582765771E-2</v>
      </c>
      <c r="R23" s="2">
        <v>1.9908874398692818E-2</v>
      </c>
      <c r="S23" s="2">
        <v>-2.8396018049370308E-3</v>
      </c>
      <c r="T23" s="2">
        <v>-2.3371037811033779E-2</v>
      </c>
      <c r="U23" s="2">
        <v>-1.5505429238847899E-2</v>
      </c>
      <c r="V23" s="2">
        <v>-3.179001270954052E-3</v>
      </c>
      <c r="W23" s="2">
        <v>-1.781995856865781E-3</v>
      </c>
      <c r="X23" s="2">
        <v>-2.5794029237664828E-2</v>
      </c>
      <c r="Y23" s="2">
        <v>-1.333902306070356E-2</v>
      </c>
    </row>
    <row r="24" spans="2:25" x14ac:dyDescent="0.2">
      <c r="B24" t="s">
        <v>49</v>
      </c>
      <c r="C24">
        <v>310</v>
      </c>
      <c r="D24">
        <v>312.60000000000002</v>
      </c>
      <c r="E24">
        <v>286.81162</v>
      </c>
      <c r="F24">
        <v>289.74933819109611</v>
      </c>
      <c r="G24">
        <v>314.97432407837022</v>
      </c>
      <c r="H24">
        <v>304.93606403243689</v>
      </c>
      <c r="I24">
        <v>289.76497236403071</v>
      </c>
      <c r="J24">
        <v>290.00014911075118</v>
      </c>
      <c r="K24">
        <v>304.52580997384251</v>
      </c>
      <c r="L24">
        <v>299.28369985072919</v>
      </c>
      <c r="M24">
        <v>288.55077723047509</v>
      </c>
      <c r="N24">
        <v>287.83026461156987</v>
      </c>
      <c r="O24" s="2">
        <v>8.3870967741936919E-3</v>
      </c>
      <c r="P24" s="2">
        <v>-7.4801225806451543E-2</v>
      </c>
      <c r="Q24" s="2">
        <v>-6.5324715512593334E-2</v>
      </c>
      <c r="R24" s="2">
        <v>1.6046206704419811E-2</v>
      </c>
      <c r="S24" s="2">
        <v>-1.6335277314719732E-2</v>
      </c>
      <c r="T24" s="2">
        <v>-6.5274282696675345E-2</v>
      </c>
      <c r="U24" s="2">
        <v>-6.4515648029834893E-2</v>
      </c>
      <c r="V24" s="2">
        <v>-1.7658677503734069E-2</v>
      </c>
      <c r="W24" s="2">
        <v>-3.4568710158937921E-2</v>
      </c>
      <c r="X24" s="2">
        <v>-6.9191041192015801E-2</v>
      </c>
      <c r="Y24" s="2">
        <v>-7.1515275446548787E-2</v>
      </c>
    </row>
    <row r="25" spans="2:25" x14ac:dyDescent="0.2">
      <c r="B25" t="s">
        <v>50</v>
      </c>
      <c r="C25">
        <v>250</v>
      </c>
      <c r="D25">
        <v>280</v>
      </c>
      <c r="E25">
        <v>247.24590799999999</v>
      </c>
      <c r="F25">
        <v>271.88908832027897</v>
      </c>
      <c r="G25">
        <v>286.59424511063429</v>
      </c>
      <c r="H25">
        <v>276.96071500142301</v>
      </c>
      <c r="I25">
        <v>272.05805719597402</v>
      </c>
      <c r="J25">
        <v>275.61959200143662</v>
      </c>
      <c r="K25">
        <v>276.96075289902632</v>
      </c>
      <c r="L25">
        <v>280.15747636146318</v>
      </c>
      <c r="M25">
        <v>262.69124095116018</v>
      </c>
      <c r="N25">
        <v>268.12723123733008</v>
      </c>
      <c r="O25" s="2">
        <v>0.12000000000000011</v>
      </c>
      <c r="P25" s="2">
        <v>-1.1016368000000051E-2</v>
      </c>
      <c r="Q25" s="2">
        <v>8.7556353281116106E-2</v>
      </c>
      <c r="R25" s="2">
        <v>0.14637698044253741</v>
      </c>
      <c r="S25" s="2">
        <v>0.10784286000569181</v>
      </c>
      <c r="T25" s="2">
        <v>8.8232228783896138E-2</v>
      </c>
      <c r="U25" s="2">
        <v>0.1024783680057462</v>
      </c>
      <c r="V25" s="2">
        <v>0.1078430115961051</v>
      </c>
      <c r="W25" s="2">
        <v>0.12062990544585279</v>
      </c>
      <c r="X25" s="2">
        <v>5.0764963804641017E-2</v>
      </c>
      <c r="Y25" s="2">
        <v>7.2508924949320264E-2</v>
      </c>
    </row>
    <row r="26" spans="2:25" x14ac:dyDescent="0.2">
      <c r="B26" t="s">
        <v>52</v>
      </c>
      <c r="C26">
        <v>240.5</v>
      </c>
      <c r="D26">
        <v>206.8</v>
      </c>
      <c r="E26">
        <v>261.93852600000002</v>
      </c>
      <c r="F26">
        <v>270.27501866932408</v>
      </c>
      <c r="G26">
        <v>206.83560309124471</v>
      </c>
      <c r="H26">
        <v>225.94385390377349</v>
      </c>
      <c r="I26">
        <v>270.2750849714763</v>
      </c>
      <c r="J26">
        <v>270.27602034656422</v>
      </c>
      <c r="K26">
        <v>226.312213189998</v>
      </c>
      <c r="L26">
        <v>233.50154869119089</v>
      </c>
      <c r="M26">
        <v>270.86125173127112</v>
      </c>
      <c r="N26">
        <v>272.74484743924268</v>
      </c>
      <c r="O26" s="2">
        <v>-0.1401247401247401</v>
      </c>
      <c r="P26" s="2">
        <v>8.914148024948032E-2</v>
      </c>
      <c r="Q26" s="2">
        <v>0.1238046514317013</v>
      </c>
      <c r="R26" s="2">
        <v>-0.1399767023233067</v>
      </c>
      <c r="S26" s="2">
        <v>-6.0524515992625982E-2</v>
      </c>
      <c r="T26" s="2">
        <v>0.1238049271163255</v>
      </c>
      <c r="U26" s="2">
        <v>0.1238088164098305</v>
      </c>
      <c r="V26" s="2">
        <v>-5.8992876548864981E-2</v>
      </c>
      <c r="W26" s="2">
        <v>-2.909958964161807E-2</v>
      </c>
      <c r="X26" s="2">
        <v>0.1262422109408361</v>
      </c>
      <c r="Y26" s="2">
        <v>0.1340742097265808</v>
      </c>
    </row>
    <row r="27" spans="2:25" x14ac:dyDescent="0.2">
      <c r="B27" t="s">
        <v>53</v>
      </c>
      <c r="C27">
        <v>244.5</v>
      </c>
      <c r="D27">
        <v>257</v>
      </c>
      <c r="E27">
        <v>245.43712300000001</v>
      </c>
      <c r="F27">
        <v>247.32340709940709</v>
      </c>
      <c r="G27">
        <v>269.26714378284271</v>
      </c>
      <c r="H27">
        <v>249.5205489768824</v>
      </c>
      <c r="I27">
        <v>247.4335562843282</v>
      </c>
      <c r="J27">
        <v>247.32486315768719</v>
      </c>
      <c r="K27">
        <v>249.59420150531</v>
      </c>
      <c r="L27">
        <v>249.5216285656189</v>
      </c>
      <c r="M27">
        <v>238.4403107268358</v>
      </c>
      <c r="N27">
        <v>245.77973493095669</v>
      </c>
      <c r="O27" s="2">
        <v>5.112474437627812E-2</v>
      </c>
      <c r="P27" s="2">
        <v>3.8328139059304882E-3</v>
      </c>
      <c r="Q27" s="2">
        <v>1.1547677298188839E-2</v>
      </c>
      <c r="R27" s="2">
        <v>0.1012971115862686</v>
      </c>
      <c r="S27" s="2">
        <v>2.0533942645735829E-2</v>
      </c>
      <c r="T27" s="2">
        <v>1.1998185211976381E-2</v>
      </c>
      <c r="U27" s="2">
        <v>1.155363254677777E-2</v>
      </c>
      <c r="V27" s="2">
        <v>2.0835179980818189E-2</v>
      </c>
      <c r="W27" s="2">
        <v>2.053835814159077E-2</v>
      </c>
      <c r="X27" s="2">
        <v>-2.478400520721535E-2</v>
      </c>
      <c r="Y27" s="2">
        <v>5.2340896971643236E-3</v>
      </c>
    </row>
    <row r="28" spans="2:25" x14ac:dyDescent="0.2">
      <c r="B28" t="s">
        <v>54</v>
      </c>
      <c r="C28">
        <v>260.7</v>
      </c>
      <c r="D28">
        <v>214.9</v>
      </c>
      <c r="E28">
        <v>230.84656000000001</v>
      </c>
      <c r="F28">
        <v>231.65431842951989</v>
      </c>
      <c r="G28">
        <v>234.3437887067758</v>
      </c>
      <c r="H28">
        <v>219.40689377840539</v>
      </c>
      <c r="I28">
        <v>231.75841009035651</v>
      </c>
      <c r="J28">
        <v>231.65576838867241</v>
      </c>
      <c r="K28">
        <v>219.4750191574114</v>
      </c>
      <c r="L28">
        <v>219.40826173577679</v>
      </c>
      <c r="M28">
        <v>216.42863170979041</v>
      </c>
      <c r="N28">
        <v>257.21199612853712</v>
      </c>
      <c r="O28" s="2">
        <v>-0.17568085922516299</v>
      </c>
      <c r="P28" s="2">
        <v>-0.11451261986958181</v>
      </c>
      <c r="Q28" s="2">
        <v>-0.1114141985825856</v>
      </c>
      <c r="R28" s="2">
        <v>-0.10109785689767641</v>
      </c>
      <c r="S28" s="2">
        <v>-0.1583931960935735</v>
      </c>
      <c r="T28" s="2">
        <v>-0.1110149210189625</v>
      </c>
      <c r="U28" s="2">
        <v>-0.1114086367906696</v>
      </c>
      <c r="V28" s="2">
        <v>-0.15813187895124131</v>
      </c>
      <c r="W28" s="2">
        <v>-0.15838794884627219</v>
      </c>
      <c r="X28" s="2">
        <v>-0.1698172930195995</v>
      </c>
      <c r="Y28" s="2">
        <v>-1.337937810304146E-2</v>
      </c>
    </row>
    <row r="29" spans="2:25" x14ac:dyDescent="0.2">
      <c r="B29" t="s">
        <v>55</v>
      </c>
      <c r="C29">
        <v>293.39999999999998</v>
      </c>
      <c r="D29">
        <v>264.3</v>
      </c>
      <c r="E29">
        <v>256.17787199999998</v>
      </c>
      <c r="F29">
        <v>263.30716637838208</v>
      </c>
      <c r="G29">
        <v>274.58888997206611</v>
      </c>
      <c r="H29">
        <v>266.01544085139051</v>
      </c>
      <c r="I29">
        <v>263.33192410228821</v>
      </c>
      <c r="J29">
        <v>263.30762034548098</v>
      </c>
      <c r="K29">
        <v>266.03452456134789</v>
      </c>
      <c r="L29">
        <v>266.29888340943933</v>
      </c>
      <c r="M29">
        <v>261.79325527690759</v>
      </c>
      <c r="N29">
        <v>251.1035095176012</v>
      </c>
      <c r="O29" s="2">
        <v>-9.9182004089979459E-2</v>
      </c>
      <c r="P29" s="2">
        <v>-0.12686478527607359</v>
      </c>
      <c r="Q29" s="2">
        <v>-0.1025658950975387</v>
      </c>
      <c r="R29" s="2">
        <v>-6.4114212774144197E-2</v>
      </c>
      <c r="S29" s="2">
        <v>-9.3335239088648714E-2</v>
      </c>
      <c r="T29" s="2">
        <v>-0.10248151294380289</v>
      </c>
      <c r="U29" s="2">
        <v>-0.1025643478340795</v>
      </c>
      <c r="V29" s="2">
        <v>-9.3270195769093678E-2</v>
      </c>
      <c r="W29" s="2">
        <v>-9.2369177200275043E-2</v>
      </c>
      <c r="X29" s="2">
        <v>-0.1077257829689582</v>
      </c>
      <c r="Y29" s="2">
        <v>-0.14415981759508789</v>
      </c>
    </row>
    <row r="30" spans="2:25" x14ac:dyDescent="0.2">
      <c r="B30" t="s">
        <v>71</v>
      </c>
      <c r="C30">
        <v>267.8</v>
      </c>
      <c r="D30">
        <v>267.8</v>
      </c>
      <c r="E30">
        <v>259.37829099999999</v>
      </c>
      <c r="F30">
        <v>269.2282900074722</v>
      </c>
      <c r="G30">
        <v>278.02758196032778</v>
      </c>
      <c r="H30">
        <v>272.13106361082032</v>
      </c>
      <c r="I30">
        <v>269.24496060835008</v>
      </c>
      <c r="J30">
        <v>269.22865144151831</v>
      </c>
      <c r="K30">
        <v>272.14146721463987</v>
      </c>
      <c r="L30">
        <v>272.42525867617178</v>
      </c>
      <c r="M30">
        <v>268.71201103317759</v>
      </c>
      <c r="N30">
        <v>264.25066142675678</v>
      </c>
      <c r="O30" s="2">
        <v>0</v>
      </c>
      <c r="P30" s="2">
        <v>-3.1447755787901488E-2</v>
      </c>
      <c r="Q30" s="2">
        <v>5.3334204909343264E-3</v>
      </c>
      <c r="R30" s="2">
        <v>3.8191120090843127E-2</v>
      </c>
      <c r="S30" s="2">
        <v>1.6172754334653931E-2</v>
      </c>
      <c r="T30" s="2">
        <v>5.3956706809188404E-3</v>
      </c>
      <c r="U30" s="2">
        <v>5.3347701326298402E-3</v>
      </c>
      <c r="V30" s="2">
        <v>1.6211602743240631E-2</v>
      </c>
      <c r="W30" s="2">
        <v>1.7271316938654909E-2</v>
      </c>
      <c r="X30" s="2">
        <v>3.4055677116413552E-3</v>
      </c>
      <c r="Y30" s="2">
        <v>-1.3253691460953119E-2</v>
      </c>
    </row>
    <row r="31" spans="2:25" x14ac:dyDescent="0.2">
      <c r="B31" s="101" t="s">
        <v>148</v>
      </c>
      <c r="C31" s="101"/>
      <c r="E31">
        <f>E$30/(1+P31)</f>
        <v>264.00393670104853</v>
      </c>
      <c r="M31" s="100" t="s">
        <v>141</v>
      </c>
      <c r="N31" s="100"/>
      <c r="P31" s="3">
        <f>AVERAGE(P14:P29)</f>
        <v>-1.7521123960687376E-2</v>
      </c>
    </row>
    <row r="32" spans="2:25" x14ac:dyDescent="0.2">
      <c r="B32" s="90" t="s">
        <v>149</v>
      </c>
      <c r="C32" s="90"/>
      <c r="E32">
        <f>E$30/(1+P32)</f>
        <v>261.80049841831084</v>
      </c>
      <c r="G32">
        <f>AVERAGE(H33,E33)</f>
        <v>281.72864425996858</v>
      </c>
      <c r="I32" s="3"/>
      <c r="M32" s="90" t="s">
        <v>143</v>
      </c>
      <c r="N32" s="90"/>
      <c r="P32" s="1">
        <f>MEDIAN(P14:P29)</f>
        <v>-9.252111561837471E-3</v>
      </c>
      <c r="R32" s="3"/>
    </row>
    <row r="33" spans="1:17" x14ac:dyDescent="0.2">
      <c r="B33" s="91" t="s">
        <v>150</v>
      </c>
      <c r="C33" s="91"/>
      <c r="E33">
        <f>E$30/(1+P33)</f>
        <v>273.52186957808357</v>
      </c>
      <c r="F33">
        <f>E30/(1+MIN(P14:P29))</f>
        <v>297.06543342432008</v>
      </c>
      <c r="H33">
        <f>$E$30/(1+Q33)</f>
        <v>289.93541894185358</v>
      </c>
      <c r="M33" s="91" t="s">
        <v>142</v>
      </c>
      <c r="N33" s="91"/>
      <c r="P33" s="1">
        <f>AVERAGE(P28:P29,P23:P25,P19,P15:P17)</f>
        <v>-5.1709132435737319E-2</v>
      </c>
      <c r="Q33" s="3">
        <f>AVERAGE(P28:P29,P24)</f>
        <v>-0.10539287698403565</v>
      </c>
    </row>
    <row r="34" spans="1:17" x14ac:dyDescent="0.2">
      <c r="B34" s="92" t="s">
        <v>151</v>
      </c>
      <c r="C34" s="92"/>
      <c r="E34">
        <f>E$30/(1+P34)</f>
        <v>270.5234365846523</v>
      </c>
      <c r="G34">
        <f>AVERAGE(F33,E32)</f>
        <v>279.43296592131549</v>
      </c>
      <c r="H34">
        <f>$E$30/(1+Q34)</f>
        <v>292.92149930109417</v>
      </c>
      <c r="M34" s="92" t="s">
        <v>144</v>
      </c>
      <c r="N34" s="92"/>
      <c r="P34" s="1">
        <f>MEDIAN(P28:P29,P23:P25,P19,P15:P17)</f>
        <v>-4.11984474445517E-2</v>
      </c>
      <c r="Q34" s="3">
        <f>MEDIAN(P28:P29,P24)</f>
        <v>-0.11451261986958181</v>
      </c>
    </row>
    <row r="35" spans="1:17" x14ac:dyDescent="0.2">
      <c r="B35" s="93" t="s">
        <v>152</v>
      </c>
      <c r="C35" s="93"/>
      <c r="E35">
        <f>E$30/(1+P35)</f>
        <v>252.69824155560087</v>
      </c>
      <c r="F35">
        <f>AVERAGE(E35,E30)</f>
        <v>256.0382662778004</v>
      </c>
      <c r="I35" s="97"/>
      <c r="M35" s="93" t="s">
        <v>145</v>
      </c>
      <c r="N35" s="93"/>
      <c r="P35" s="1">
        <f>AVERAGE(P26:P27,P20:P22,P18,P14)</f>
        <v>2.6434886935805407E-2</v>
      </c>
    </row>
    <row r="36" spans="1:17" x14ac:dyDescent="0.2">
      <c r="B36" s="94" t="s">
        <v>153</v>
      </c>
      <c r="C36" s="94"/>
      <c r="E36">
        <f>E$30/(1+P36)</f>
        <v>254.81476921343145</v>
      </c>
      <c r="M36" s="94" t="s">
        <v>146</v>
      </c>
      <c r="N36" s="94"/>
      <c r="P36" s="1">
        <f>MEDIAN(P26:P27,P20:P22,P18,P14)</f>
        <v>1.7909173006946721E-2</v>
      </c>
    </row>
    <row r="38" spans="1:17" x14ac:dyDescent="0.2">
      <c r="A38" s="67" t="s">
        <v>103</v>
      </c>
      <c r="B38" t="s">
        <v>154</v>
      </c>
    </row>
    <row r="39" spans="1:17" x14ac:dyDescent="0.2">
      <c r="B39" t="s">
        <v>155</v>
      </c>
    </row>
    <row r="45" spans="1:17" x14ac:dyDescent="0.2">
      <c r="A45" s="67" t="s">
        <v>105</v>
      </c>
      <c r="B45" s="77" t="s">
        <v>156</v>
      </c>
      <c r="C45" s="78">
        <f>G32</f>
        <v>281.72864425996858</v>
      </c>
      <c r="D45" t="s">
        <v>170</v>
      </c>
    </row>
    <row r="47" spans="1:17" x14ac:dyDescent="0.2">
      <c r="B47" s="176" t="s">
        <v>164</v>
      </c>
      <c r="C47" s="176"/>
      <c r="D47" s="2">
        <f>C45/D30-1</f>
        <v>5.2011367662317287E-2</v>
      </c>
    </row>
    <row r="48" spans="1:17" x14ac:dyDescent="0.2">
      <c r="B48" s="164" t="s">
        <v>163</v>
      </c>
      <c r="C48" s="164"/>
      <c r="D48" s="2">
        <f>'1. Data &amp; Confidence Interval'!P24</f>
        <v>7.8320090805902298E-2</v>
      </c>
    </row>
  </sheetData>
  <mergeCells count="2">
    <mergeCell ref="B48:C48"/>
    <mergeCell ref="B47:C47"/>
  </mergeCells>
  <conditionalFormatting sqref="P22:W29 Q20:W21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6:K6">
    <cfRule type="colorScale" priority="2">
      <colorScale>
        <cfvo type="min"/>
        <cfvo type="max"/>
        <color rgb="FF92D050"/>
        <color rgb="FFFF0000"/>
      </colorScale>
    </cfRule>
    <cfRule type="colorScale" priority="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7:K7">
    <cfRule type="colorScale" priority="3">
      <colorScale>
        <cfvo type="min"/>
        <cfvo type="max"/>
        <color rgb="FF92D050"/>
        <color rgb="FFC00000"/>
      </colorScale>
    </cfRule>
    <cfRule type="colorScale" priority="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P32:P36 S30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31:P36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1. Data &amp; Confidence Interval</vt:lpstr>
      <vt:lpstr>2. Past Proj &amp; Candidate Model</vt:lpstr>
      <vt:lpstr>3. Improved Alpha Model</vt:lpstr>
      <vt:lpstr>4.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Redmond Xia</dc:creator>
  <cp:lastModifiedBy>Redmond Xia</cp:lastModifiedBy>
  <dcterms:created xsi:type="dcterms:W3CDTF">2021-10-08T16:56:03Z</dcterms:created>
  <dcterms:modified xsi:type="dcterms:W3CDTF">2021-10-28T20:56:11Z</dcterms:modified>
</cp:coreProperties>
</file>