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 sheetId="1" r:id="rId4"/>
    <sheet state="visible" name="EXPORT" sheetId="2" r:id="rId5"/>
    <sheet state="visible" name="truck emissions calcs" sheetId="3" r:id="rId6"/>
    <sheet state="visible" name="age on euro3 truck emissions" sheetId="4" r:id="rId7"/>
    <sheet state="visible" name="age on euro4 truck emissions" sheetId="5" r:id="rId8"/>
    <sheet state="visible" name="age on euro5 truck emissions" sheetId="6" r:id="rId9"/>
    <sheet state="visible" name="age on euro6 truck emissions" sheetId="7" r:id="rId10"/>
    <sheet state="visible" name="total emissions calculation" sheetId="8" r:id="rId11"/>
  </sheets>
  <definedNames>
    <definedName name="CO_EF">LAMBDA( (1.37 * (10^(-2)) *0)+ 2.89)</definedName>
    <definedName name="CO_EF_20_YEARS">LAMBDA((1.37 * (10^(-2)) * 233.2 )+ 2.89)</definedName>
    <definedName name="SF">LAMBDA(ROUND(number, 1-INT(LOG10(ABS(number)))))</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2">
      <text>
        <t xml:space="preserve">this is based on truck turnaronud time given in Mwani 2022 Annual report for Hamad port and Al-ruwais port</t>
      </text>
    </comment>
    <comment authorId="0" ref="N3">
      <text>
        <t xml:space="preserve">30 minutes</t>
      </text>
    </comment>
    <comment authorId="0" ref="N4">
      <text>
        <t xml:space="preserve">3 minutes 14 seconds</t>
      </text>
    </comment>
    <comment authorId="0" ref="J6">
      <text>
        <t xml:space="preserve">This would be loading time (for different ranges of trucks), then deploying them once. and then loading another x amount of trucks and deploying them like in this manner.
</t>
      </text>
    </comment>
    <comment authorId="0" ref="N11">
      <text>
        <t xml:space="preserve">this is actually 46.5 km/h if taken average for AM, MD and PM for HGV. Information on page - 109 of Qatar 2050 transport report. It is rounded to 50 to take some peak time speed increase into consideration but not increased too much to make it unrealistic.</t>
      </text>
    </comment>
    <comment authorId="0" ref="N15">
      <text>
        <t xml:space="preserve">10 minutes buffer time between each trip. Total buffer times would one less than the total batch trips that have to take place. This is made consistent with Rail simulation in order to keep as many factors constant/same as possible for comparison</t>
      </text>
    </comment>
  </commentList>
</comments>
</file>

<file path=xl/sharedStrings.xml><?xml version="1.0" encoding="utf-8"?>
<sst xmlns="http://schemas.openxmlformats.org/spreadsheetml/2006/main" count="347" uniqueCount="146">
  <si>
    <t>IMPORT TEUs</t>
  </si>
  <si>
    <t>TOTAL            =</t>
  </si>
  <si>
    <t>YEARLY NUMBERS</t>
  </si>
  <si>
    <t>Loading Time (Hours)(approx.)</t>
  </si>
  <si>
    <t>Dry Port 1</t>
  </si>
  <si>
    <t>TRUCK NUMBERS ESTIMATION (DAILY)</t>
  </si>
  <si>
    <t xml:space="preserve">Hamad Port </t>
  </si>
  <si>
    <t>from Hamad</t>
  </si>
  <si>
    <t>1 truck carries on average 1.7 TEU</t>
  </si>
  <si>
    <t>Al-Ruwais Port</t>
  </si>
  <si>
    <t>from Al-Ruwais</t>
  </si>
  <si>
    <t>IMPORT CALCULATIONS</t>
  </si>
  <si>
    <t>No. of Trucks</t>
  </si>
  <si>
    <t>Distance to cover (km) (approx.)</t>
  </si>
  <si>
    <t>Truck trip time</t>
  </si>
  <si>
    <t>Trucks to be loaded at a time</t>
  </si>
  <si>
    <t>Dry Port 2</t>
  </si>
  <si>
    <t>Hamad Port</t>
  </si>
  <si>
    <t>Dry Port 3</t>
  </si>
  <si>
    <t>avg speed for HGV (km/h)</t>
  </si>
  <si>
    <t>Dry Port 4</t>
  </si>
  <si>
    <t>Buffer Time</t>
  </si>
  <si>
    <t>The equation for truck trip time would be. 
If 50 trucks are getting loaded at the same time, 
then first number of loading instances would be (total trucks for that port)/50, 
then multiplying that with loading time. Then adding the time travelled 
(calculated by distance/speed), which would be multiplied by number of loading 
trips as that is the amount of batch trips that take place to cover the whole TEU 
required to be tranported. The buffer time is added for time between the batch
trips.</t>
  </si>
  <si>
    <t>HAMAD PORT</t>
  </si>
  <si>
    <t>DAILY NUMBERS FOR TEU</t>
  </si>
  <si>
    <t>Trucks for Saudi Arabia IMPORT TEU</t>
  </si>
  <si>
    <t>GCC station to Hamad Port</t>
  </si>
  <si>
    <t>TOTAL OPERATION TIMES AND AVERAGE DISTANCE FOR 1 TRUCK</t>
  </si>
  <si>
    <t xml:space="preserve">Yearly Import = </t>
  </si>
  <si>
    <t>HAMAD OPERATION TIME                          =</t>
  </si>
  <si>
    <t xml:space="preserve">Daily Import = </t>
  </si>
  <si>
    <t>AL-RUWAIS OPERATION TIME                        =</t>
  </si>
  <si>
    <t xml:space="preserve">Daily Trucks Needed (approx.) = </t>
  </si>
  <si>
    <t xml:space="preserve">Distance to cover (km) (approx.) = </t>
  </si>
  <si>
    <t xml:space="preserve">Truck Trip Time = </t>
  </si>
  <si>
    <t>Total Distance Travelled Daily (km) =</t>
  </si>
  <si>
    <t>Total Number of Trucks          =</t>
  </si>
  <si>
    <t>Average Distance Travelled by 1 Truck (km)(approx.) =</t>
  </si>
  <si>
    <t>TOTAL LOADING AND BUFFER TIME FOR PORTS (IMPORTS)</t>
  </si>
  <si>
    <t>EXPORT TEUs</t>
  </si>
  <si>
    <t>To Hamad</t>
  </si>
  <si>
    <t>EXPORT CALCULATIONS</t>
  </si>
  <si>
    <t>To Al-Ruwais</t>
  </si>
  <si>
    <t>Trucks for Saudi Arabia EXPORT TEU</t>
  </si>
  <si>
    <t xml:space="preserve">Yearly Export = </t>
  </si>
  <si>
    <t xml:space="preserve">Daily Export = </t>
  </si>
  <si>
    <t>Total Distance Travelled (km)   =</t>
  </si>
  <si>
    <t>Total Number of Trucks   =</t>
  </si>
  <si>
    <t>Average Distance Travelled by 1 Truck (km)   =</t>
  </si>
  <si>
    <t>TOTAL LOADING AND BUFFER TIME FOR PORTS (EXPORTS)</t>
  </si>
  <si>
    <t>Carbon Monoxide (CO)</t>
  </si>
  <si>
    <t>Hydrocarbons (HC)</t>
  </si>
  <si>
    <t>Nitrogen Oxide (NOx)</t>
  </si>
  <si>
    <t>Carbon dioxide (C02)</t>
  </si>
  <si>
    <t>emissions factor from volvo for euro3, D16, 610 from volvo (2003 model) (g/litre)</t>
  </si>
  <si>
    <t>emissions factor from volvo for euro4 (g/litre)</t>
  </si>
  <si>
    <t>emissions factor from volvo for euro5 (2005) (g/litre)</t>
  </si>
  <si>
    <t>*sensitivity analysis</t>
  </si>
  <si>
    <t>emissions factor from volvo for euro6 (2013) (g/litre)</t>
  </si>
  <si>
    <t>* explain the assumption that carbon dioxide is dependent of fuel consumption and fuel consumption is dependent on a lot of factors, but we dont have those data at hand</t>
  </si>
  <si>
    <t>*ICCT source on fuel consumption</t>
  </si>
  <si>
    <t>emissions factor from volvo for euro3 (g/ton-km)</t>
  </si>
  <si>
    <t>*make sure the values are within legal limit</t>
  </si>
  <si>
    <t>emissions factor from volvo for euro4 (g/ton-km)</t>
  </si>
  <si>
    <t>*experiment with exponential increase in percentage for degradation</t>
  </si>
  <si>
    <t>emissions factor from volvo for euro5 (g/ton-km)</t>
  </si>
  <si>
    <t>* find range for emission factor in g/km</t>
  </si>
  <si>
    <t>emissions factor from volvo for euro6 (g/ton-km)</t>
  </si>
  <si>
    <t>fuel consumption = 0..32</t>
  </si>
  <si>
    <t>our logic for this calculation is that the emission factors from volvo and the emission factor for the paper we found are not the same</t>
  </si>
  <si>
    <t>new truck emission factor from paper (g/ton-km)</t>
  </si>
  <si>
    <t>however, the paper shows us that there is a linear relationship between age, mileage and emission factor</t>
  </si>
  <si>
    <t xml:space="preserve">therefore, we find the percentage increase per year for age and use that percentage to calculate the emission factor of a truck </t>
  </si>
  <si>
    <t>20 year old truck emission factor from paper (g/ton-km)</t>
  </si>
  <si>
    <t>based on the volvo emission factor + a percentage based on the trucks age</t>
  </si>
  <si>
    <t>petrol and gasoline mean the same thing</t>
  </si>
  <si>
    <t>percentage increase per year from paper</t>
  </si>
  <si>
    <t>These emission factors for truck degradation are calculated in g/km</t>
  </si>
  <si>
    <t>FOR EURO3 TRUCKS</t>
  </si>
  <si>
    <t>FOR EURO4 TRUCKS</t>
  </si>
  <si>
    <t>FOR EURO5 TRUCKS</t>
  </si>
  <si>
    <t>FOR EURO6 TRUCKS</t>
  </si>
  <si>
    <t>Emissions factor for a 1 year old truck</t>
  </si>
  <si>
    <t>Emissions factor for a 2 year old truck</t>
  </si>
  <si>
    <t>Emissions factor for a 3 year old truck</t>
  </si>
  <si>
    <t>Emissions factor for a 4 year old truck</t>
  </si>
  <si>
    <t>Emissions factor for a 5 year old truck</t>
  </si>
  <si>
    <t>Emissions factor for a 6 year old truck</t>
  </si>
  <si>
    <t>Emissions factor for a 7 year old truck</t>
  </si>
  <si>
    <t>Emissions factor for a 8 year old truck</t>
  </si>
  <si>
    <t>Emissions factor for a 9 year old truck</t>
  </si>
  <si>
    <t>Emissions factor for a 10 year old truck</t>
  </si>
  <si>
    <t>Emissions factor for a 11 year old truck</t>
  </si>
  <si>
    <t>Emissions factor for a 12 year old truck</t>
  </si>
  <si>
    <t>Emissions factor for a 13 year old truck</t>
  </si>
  <si>
    <t>Emissions factor for a 14 year old truck</t>
  </si>
  <si>
    <t>Emissions factor for a 15 year old truck</t>
  </si>
  <si>
    <t>Emissions factor for a 16 year old truck</t>
  </si>
  <si>
    <t>Emissions factor for a 17 year old truck</t>
  </si>
  <si>
    <t>Emissions factor for a 18 year old truck</t>
  </si>
  <si>
    <t>Emissions factor for a 19 year old truck</t>
  </si>
  <si>
    <t>Emissions factor for a 20 year old truck</t>
  </si>
  <si>
    <t>For import calculations</t>
  </si>
  <si>
    <t>truck types</t>
  </si>
  <si>
    <t>percentages of truck type in Qatar</t>
  </si>
  <si>
    <t>number of each truck type</t>
  </si>
  <si>
    <t>average age of truck</t>
  </si>
  <si>
    <t>Carbon Monoxide per truck journey(g/ton-km)</t>
  </si>
  <si>
    <t>Hydrocarbons per truck journey (g/ton-km)</t>
  </si>
  <si>
    <t>Nitrogen Oxide per truck journey (g/ton-km)</t>
  </si>
  <si>
    <t>Carbon Dioxide per truck journey(g/ton-km)</t>
  </si>
  <si>
    <t>total CO (g/ton-km)</t>
  </si>
  <si>
    <t>total HC(g/ton-km)</t>
  </si>
  <si>
    <t>total NOx (g/ton-km)</t>
  </si>
  <si>
    <t>total CO2 (g/ton-km)</t>
  </si>
  <si>
    <t>total CO (g)</t>
  </si>
  <si>
    <t>total HC (g)</t>
  </si>
  <si>
    <t>total NOx (g)</t>
  </si>
  <si>
    <t>total CO2 (g)</t>
  </si>
  <si>
    <t>Euro3</t>
  </si>
  <si>
    <t>Euro4</t>
  </si>
  <si>
    <t>Euro5</t>
  </si>
  <si>
    <t>Euro6</t>
  </si>
  <si>
    <t>For export calculations</t>
  </si>
  <si>
    <t>Carbon Monoxide per truck journey (g/ton-km)</t>
  </si>
  <si>
    <t>Hydrocarbons per truck journey(g/ton-km)</t>
  </si>
  <si>
    <t>Nitrogen Oxide per truck  journey(g/ton-km)</t>
  </si>
  <si>
    <t>Carbon Dioxide per truck journey  (g/ton-km)</t>
  </si>
  <si>
    <t>total HC (g/ton-km)</t>
  </si>
  <si>
    <t>Total Number of Truck journeys  for import       =</t>
  </si>
  <si>
    <t>total truck emissions in Qatar</t>
  </si>
  <si>
    <t xml:space="preserve">total CO </t>
  </si>
  <si>
    <t>total HC</t>
  </si>
  <si>
    <t xml:space="preserve">total NOx </t>
  </si>
  <si>
    <t xml:space="preserve">total CO2 </t>
  </si>
  <si>
    <t>Total Number of Truck journeys   for export =</t>
  </si>
  <si>
    <t>g</t>
  </si>
  <si>
    <t>kg</t>
  </si>
  <si>
    <t xml:space="preserve">average distance travelled  for import       =                 </t>
  </si>
  <si>
    <t xml:space="preserve">average distance travelled   for export      =                 </t>
  </si>
  <si>
    <t>CO2 equivalent</t>
  </si>
  <si>
    <t>CO2 equivalent WTW</t>
  </si>
  <si>
    <t>Avg estimate (litre / km)</t>
  </si>
  <si>
    <t>carbon monoxide per truck:  co  levels at the age specified</t>
  </si>
  <si>
    <t>Pump diesel (g CO2e per litre)</t>
  </si>
  <si>
    <t>Total kgCO2e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</si>
</sst>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font>
    <font>
      <color theme="1"/>
      <name val="Arial"/>
    </font>
    <font/>
    <font>
      <b/>
      <color theme="1"/>
      <name val="Arial"/>
      <scheme val="minor"/>
    </font>
    <font>
      <color theme="1"/>
      <name val="Arial"/>
      <scheme val="minor"/>
    </font>
    <font>
      <sz val="9.0"/>
      <color rgb="FF7E3794"/>
      <name val="Arial"/>
      <scheme val="minor"/>
    </font>
    <font>
      <sz val="11.0"/>
      <color theme="1"/>
      <name val="Arial"/>
      <scheme val="minor"/>
    </font>
    <font>
      <color rgb="FF000000"/>
      <name val="Arial"/>
    </font>
    <font>
      <sz val="10.0"/>
      <color rgb="FF000000"/>
      <name val="Arial"/>
    </font>
    <font>
      <color rgb="FFFF0000"/>
      <name val="Arial"/>
    </font>
    <font>
      <b/>
      <color rgb="FF000000"/>
      <name val="Arial"/>
    </font>
    <font>
      <b/>
      <sz val="12.0"/>
      <color rgb="FF000000"/>
      <name val="Arial"/>
    </font>
    <font>
      <sz val="11.0"/>
      <color rgb="FF000000"/>
      <name val="Consolas"/>
    </font>
    <font>
      <sz val="9.0"/>
      <color rgb="FF000000"/>
      <name val="Arial"/>
      <scheme val="minor"/>
    </font>
  </fonts>
  <fills count="10">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FCE5CD"/>
        <bgColor rgb="FFFCE5CD"/>
      </patternFill>
    </fill>
    <fill>
      <patternFill patternType="solid">
        <fgColor rgb="FFFFF2CC"/>
        <bgColor rgb="FFFFF2CC"/>
      </patternFill>
    </fill>
    <fill>
      <patternFill patternType="solid">
        <fgColor rgb="FF00FFFF"/>
        <bgColor rgb="FF00FFFF"/>
      </patternFill>
    </fill>
    <fill>
      <patternFill patternType="solid">
        <fgColor rgb="FFEA9999"/>
        <bgColor rgb="FFEA9999"/>
      </patternFill>
    </fill>
  </fills>
  <borders count="1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left style="thin">
        <color rgb="FF000000"/>
      </left>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horizontal="right" vertical="bottom"/>
    </xf>
    <xf borderId="1" fillId="0" fontId="1" numFmtId="0" xfId="0" applyAlignment="1" applyBorder="1" applyFont="1">
      <alignment horizontal="center" readingOrder="0" vertical="bottom"/>
    </xf>
    <xf borderId="2" fillId="0" fontId="3" numFmtId="0" xfId="0" applyBorder="1" applyFont="1"/>
    <xf borderId="0" fillId="0" fontId="2" numFmtId="0" xfId="0" applyAlignment="1" applyFont="1">
      <alignment vertical="bottom"/>
    </xf>
    <xf borderId="1" fillId="0" fontId="4" numFmtId="0" xfId="0" applyAlignment="1" applyBorder="1" applyFont="1">
      <alignment readingOrder="0"/>
    </xf>
    <xf borderId="3" fillId="0" fontId="1" numFmtId="0" xfId="0" applyAlignment="1" applyBorder="1" applyFont="1">
      <alignment vertical="bottom"/>
    </xf>
    <xf borderId="3" fillId="0" fontId="2" numFmtId="0" xfId="0" applyAlignment="1" applyBorder="1" applyFont="1">
      <alignment vertical="bottom"/>
    </xf>
    <xf borderId="1" fillId="0" fontId="4" numFmtId="0" xfId="0" applyAlignment="1" applyBorder="1" applyFont="1">
      <alignment horizontal="center" readingOrder="0"/>
    </xf>
    <xf borderId="4" fillId="0" fontId="3" numFmtId="0" xfId="0" applyBorder="1" applyFont="1"/>
    <xf borderId="3" fillId="0" fontId="5" numFmtId="0" xfId="0" applyAlignment="1" applyBorder="1" applyFont="1">
      <alignment readingOrder="0"/>
    </xf>
    <xf borderId="3" fillId="0" fontId="2" numFmtId="3" xfId="0" applyAlignment="1" applyBorder="1" applyFont="1" applyNumberFormat="1">
      <alignment readingOrder="0" vertical="bottom"/>
    </xf>
    <xf borderId="1" fillId="0" fontId="2" numFmtId="0" xfId="0" applyAlignment="1" applyBorder="1" applyFont="1">
      <alignment horizontal="center" readingOrder="0" vertical="bottom"/>
    </xf>
    <xf borderId="0" fillId="0" fontId="6" numFmtId="0" xfId="0" applyFont="1"/>
    <xf borderId="3" fillId="0" fontId="2" numFmtId="0" xfId="0" applyAlignment="1" applyBorder="1" applyFont="1">
      <alignment horizontal="right" readingOrder="0" vertical="bottom"/>
    </xf>
    <xf borderId="3" fillId="0" fontId="5" numFmtId="0" xfId="0" applyBorder="1" applyFont="1"/>
    <xf borderId="3" fillId="0" fontId="1" numFmtId="0" xfId="0" applyAlignment="1" applyBorder="1" applyFont="1">
      <alignment readingOrder="0" vertical="bottom"/>
    </xf>
    <xf borderId="3" fillId="0" fontId="4" numFmtId="0" xfId="0" applyAlignment="1" applyBorder="1" applyFont="1">
      <alignment readingOrder="0"/>
    </xf>
    <xf borderId="1" fillId="0" fontId="1" numFmtId="0" xfId="0" applyAlignment="1" applyBorder="1" applyFont="1">
      <alignment vertical="bottom"/>
    </xf>
    <xf borderId="4" fillId="0" fontId="5" numFmtId="0" xfId="0" applyBorder="1" applyFont="1"/>
    <xf borderId="2" fillId="0" fontId="5" numFmtId="0" xfId="0" applyBorder="1" applyFont="1"/>
    <xf borderId="3"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3" xfId="0" applyAlignment="1" applyBorder="1" applyFont="1" applyNumberFormat="1">
      <alignment readingOrder="0" vertical="bottom"/>
    </xf>
    <xf borderId="7" fillId="0" fontId="5" numFmtId="0" xfId="0" applyBorder="1" applyFont="1"/>
    <xf borderId="8" fillId="0" fontId="5" numFmtId="0" xfId="0" applyBorder="1" applyFont="1"/>
    <xf borderId="9" fillId="0" fontId="2" numFmtId="0" xfId="0" applyAlignment="1" applyBorder="1" applyFont="1">
      <alignment vertical="bottom"/>
    </xf>
    <xf borderId="4" fillId="0" fontId="2" numFmtId="3" xfId="0" applyAlignment="1" applyBorder="1" applyFont="1" applyNumberFormat="1">
      <alignment readingOrder="0" vertical="bottom"/>
    </xf>
    <xf borderId="10" fillId="0" fontId="2" numFmtId="0" xfId="0" applyAlignment="1" applyBorder="1" applyFont="1">
      <alignment vertical="bottom"/>
    </xf>
    <xf borderId="5" fillId="0" fontId="2" numFmtId="3" xfId="0" applyAlignment="1" applyBorder="1" applyFont="1" applyNumberFormat="1">
      <alignment readingOrder="0" vertical="bottom"/>
    </xf>
    <xf borderId="5" fillId="0" fontId="5" numFmtId="0" xfId="0" applyBorder="1" applyFont="1"/>
    <xf borderId="5" fillId="0" fontId="5" numFmtId="0" xfId="0" applyAlignment="1" applyBorder="1" applyFont="1">
      <alignment readingOrder="0"/>
    </xf>
    <xf borderId="11" fillId="0" fontId="2" numFmtId="0" xfId="0" applyAlignment="1" applyBorder="1" applyFont="1">
      <alignment vertical="bottom"/>
    </xf>
    <xf borderId="11" fillId="0" fontId="2" numFmtId="3" xfId="0" applyAlignment="1" applyBorder="1" applyFont="1" applyNumberFormat="1">
      <alignment readingOrder="0" vertical="bottom"/>
    </xf>
    <xf borderId="11" fillId="0" fontId="5" numFmtId="0" xfId="0" applyBorder="1" applyFont="1"/>
    <xf borderId="11" fillId="0" fontId="5" numFmtId="0" xfId="0" applyAlignment="1" applyBorder="1" applyFont="1">
      <alignment readingOrder="0"/>
    </xf>
    <xf borderId="0" fillId="0" fontId="5" numFmtId="0" xfId="0" applyAlignment="1" applyFont="1">
      <alignment horizontal="left" readingOrder="0" vertical="center"/>
    </xf>
    <xf borderId="6" fillId="0" fontId="5" numFmtId="0" xfId="0" applyBorder="1" applyFont="1"/>
    <xf borderId="3" fillId="0" fontId="5" numFmtId="0" xfId="0" applyAlignment="1" applyBorder="1" applyFont="1">
      <alignment horizontal="center" readingOrder="0"/>
    </xf>
    <xf borderId="1" fillId="2" fontId="4" numFmtId="0" xfId="0" applyAlignment="1" applyBorder="1" applyFill="1" applyFont="1">
      <alignment horizontal="center" readingOrder="0"/>
    </xf>
    <xf borderId="3" fillId="0" fontId="5" numFmtId="0" xfId="0" applyAlignment="1" applyBorder="1" applyFont="1">
      <alignment horizontal="right" readingOrder="0"/>
    </xf>
    <xf borderId="1" fillId="2" fontId="4" numFmtId="0" xfId="0" applyAlignment="1" applyBorder="1" applyFont="1">
      <alignment horizontal="right" readingOrder="0"/>
    </xf>
    <xf borderId="3" fillId="2" fontId="5" numFmtId="0" xfId="0" applyBorder="1" applyFont="1"/>
    <xf borderId="6" fillId="2" fontId="4" numFmtId="0" xfId="0" applyAlignment="1" applyBorder="1" applyFont="1">
      <alignment horizontal="right" readingOrder="0"/>
    </xf>
    <xf borderId="7" fillId="0" fontId="3" numFmtId="0" xfId="0" applyBorder="1" applyFont="1"/>
    <xf borderId="8" fillId="0" fontId="3" numFmtId="0" xfId="0" applyBorder="1" applyFont="1"/>
    <xf borderId="11" fillId="2" fontId="5" numFmtId="0" xfId="0" applyBorder="1" applyFont="1"/>
    <xf borderId="6" fillId="2" fontId="5" numFmtId="0" xfId="0" applyBorder="1" applyFont="1"/>
    <xf borderId="7" fillId="2" fontId="5" numFmtId="0" xfId="0" applyBorder="1" applyFont="1"/>
    <xf borderId="8" fillId="2" fontId="5" numFmtId="0" xfId="0" applyBorder="1" applyFont="1"/>
    <xf borderId="9" fillId="2" fontId="5" numFmtId="0" xfId="0" applyBorder="1" applyFont="1"/>
    <xf borderId="0" fillId="2" fontId="5" numFmtId="0" xfId="0" applyFont="1"/>
    <xf borderId="12" fillId="2" fontId="5" numFmtId="0" xfId="0" applyBorder="1" applyFont="1"/>
    <xf borderId="10" fillId="2" fontId="5" numFmtId="0" xfId="0" applyBorder="1" applyFont="1"/>
    <xf borderId="13" fillId="2" fontId="5" numFmtId="0" xfId="0" applyBorder="1" applyFont="1"/>
    <xf borderId="14" fillId="2" fontId="5" numFmtId="0" xfId="0" applyBorder="1" applyFont="1"/>
    <xf borderId="10" fillId="2" fontId="4" numFmtId="0" xfId="0" applyAlignment="1" applyBorder="1" applyFont="1">
      <alignment horizontal="right" readingOrder="0"/>
    </xf>
    <xf borderId="14" fillId="0" fontId="3" numFmtId="0" xfId="0" applyBorder="1" applyFont="1"/>
    <xf borderId="5" fillId="2" fontId="5" numFmtId="0" xfId="0" applyBorder="1" applyFont="1"/>
    <xf borderId="3" fillId="2" fontId="5" numFmtId="3" xfId="0" applyBorder="1" applyFont="1" applyNumberFormat="1"/>
    <xf borderId="0" fillId="0" fontId="5" numFmtId="0" xfId="0" applyFont="1"/>
    <xf borderId="0" fillId="0" fontId="2" numFmtId="0" xfId="0" applyAlignment="1" applyFont="1">
      <alignment horizontal="right" readingOrder="0" vertical="bottom"/>
    </xf>
    <xf borderId="13" fillId="0" fontId="5" numFmtId="0" xfId="0" applyBorder="1" applyFont="1"/>
    <xf borderId="11" fillId="0" fontId="2" numFmtId="0" xfId="0" applyAlignment="1" applyBorder="1" applyFont="1">
      <alignment readingOrder="0" vertical="bottom"/>
    </xf>
    <xf borderId="11" fillId="0" fontId="2" numFmtId="0" xfId="0" applyAlignment="1" applyBorder="1" applyFont="1">
      <alignment horizontal="right" readingOrder="0" vertical="bottom"/>
    </xf>
    <xf borderId="6" fillId="0" fontId="1" numFmtId="0" xfId="0" applyAlignment="1" applyBorder="1" applyFont="1">
      <alignment readingOrder="0" vertical="bottom"/>
    </xf>
    <xf borderId="15" fillId="0" fontId="5" numFmtId="0" xfId="0" applyBorder="1" applyFont="1"/>
    <xf borderId="7" fillId="0" fontId="4" numFmtId="0" xfId="0" applyAlignment="1" applyBorder="1" applyFont="1">
      <alignment readingOrder="0"/>
    </xf>
    <xf borderId="8" fillId="0" fontId="4" numFmtId="0" xfId="0" applyAlignment="1" applyBorder="1" applyFont="1">
      <alignment readingOrder="0"/>
    </xf>
    <xf borderId="1" fillId="0" fontId="2" numFmtId="0" xfId="0" applyAlignment="1" applyBorder="1" applyFont="1">
      <alignment vertical="bottom"/>
    </xf>
    <xf borderId="2" fillId="0" fontId="2" numFmtId="0" xfId="0" applyAlignment="1" applyBorder="1" applyFont="1">
      <alignment vertical="bottom"/>
    </xf>
    <xf borderId="0" fillId="0" fontId="5" numFmtId="0" xfId="0" applyAlignment="1" applyFont="1">
      <alignment readingOrder="0"/>
    </xf>
    <xf borderId="5" fillId="0" fontId="1" numFmtId="0" xfId="0" applyAlignment="1" applyBorder="1" applyFont="1">
      <alignment vertical="bottom"/>
    </xf>
    <xf borderId="6" fillId="0" fontId="2" numFmtId="3" xfId="0" applyAlignment="1" applyBorder="1" applyFont="1" applyNumberFormat="1">
      <alignment readingOrder="0" vertical="bottom"/>
    </xf>
    <xf borderId="1" fillId="0" fontId="5" numFmtId="0" xfId="0" applyBorder="1" applyFont="1"/>
    <xf borderId="10" fillId="0" fontId="1" numFmtId="0" xfId="0" applyAlignment="1" applyBorder="1" applyFont="1">
      <alignment vertical="bottom"/>
    </xf>
    <xf borderId="13" fillId="0" fontId="2" numFmtId="3" xfId="0" applyAlignment="1" applyBorder="1" applyFont="1" applyNumberFormat="1">
      <alignment readingOrder="0" vertical="bottom"/>
    </xf>
    <xf borderId="14" fillId="0" fontId="5" numFmtId="0" xfId="0" applyBorder="1" applyFont="1"/>
    <xf borderId="5" fillId="0" fontId="4" numFmtId="0" xfId="0" applyAlignment="1" applyBorder="1" applyFont="1">
      <alignment readingOrder="0"/>
    </xf>
    <xf borderId="2" fillId="0" fontId="2" numFmtId="3" xfId="0" applyAlignment="1" applyBorder="1" applyFont="1" applyNumberFormat="1">
      <alignment readingOrder="0" vertical="bottom"/>
    </xf>
    <xf borderId="3" fillId="0" fontId="5" numFmtId="3" xfId="0" applyAlignment="1" applyBorder="1" applyFont="1" applyNumberFormat="1">
      <alignment readingOrder="0"/>
    </xf>
    <xf borderId="15" fillId="2" fontId="5" numFmtId="0" xfId="0" applyBorder="1" applyFont="1"/>
    <xf borderId="0" fillId="0" fontId="4" numFmtId="0" xfId="0" applyAlignment="1" applyFont="1">
      <alignment readingOrder="0"/>
    </xf>
    <xf borderId="1" fillId="2" fontId="5" numFmtId="0" xfId="0" applyBorder="1" applyFont="1"/>
    <xf borderId="4" fillId="2" fontId="5" numFmtId="0" xfId="0" applyBorder="1" applyFont="1"/>
    <xf borderId="13" fillId="0" fontId="3" numFmtId="0" xfId="0" applyBorder="1" applyFont="1"/>
    <xf borderId="0" fillId="0" fontId="7" numFmtId="0" xfId="0" applyAlignment="1" applyFont="1">
      <alignment readingOrder="0"/>
    </xf>
    <xf borderId="0" fillId="3" fontId="8" numFmtId="0" xfId="0" applyAlignment="1" applyFill="1" applyFont="1">
      <alignment horizontal="left" readingOrder="0"/>
    </xf>
    <xf borderId="0" fillId="0" fontId="5" numFmtId="0" xfId="0" applyFont="1"/>
    <xf borderId="0" fillId="3" fontId="9" numFmtId="0" xfId="0" applyAlignment="1" applyFont="1">
      <alignment horizontal="right" readingOrder="0"/>
    </xf>
    <xf borderId="0" fillId="3" fontId="10" numFmtId="0" xfId="0" applyAlignment="1" applyFont="1">
      <alignment horizontal="left" readingOrder="0"/>
    </xf>
    <xf borderId="0" fillId="3" fontId="0" numFmtId="0" xfId="0" applyAlignment="1" applyFont="1">
      <alignment horizontal="right"/>
    </xf>
    <xf borderId="0" fillId="3" fontId="9" numFmtId="0" xfId="0" applyAlignment="1" applyFont="1">
      <alignment horizontal="right"/>
    </xf>
    <xf borderId="0" fillId="3" fontId="11" numFmtId="0" xfId="0" applyAlignment="1" applyFont="1">
      <alignment horizontal="left" readingOrder="0"/>
    </xf>
    <xf borderId="3" fillId="4" fontId="4" numFmtId="0" xfId="0" applyAlignment="1" applyBorder="1" applyFill="1" applyFont="1">
      <alignment readingOrder="0"/>
    </xf>
    <xf borderId="3" fillId="5" fontId="5" numFmtId="0" xfId="0" applyAlignment="1" applyBorder="1" applyFill="1" applyFont="1">
      <alignment readingOrder="0"/>
    </xf>
    <xf borderId="3" fillId="5" fontId="8" numFmtId="0" xfId="0" applyAlignment="1" applyBorder="1" applyFont="1">
      <alignment horizontal="left" readingOrder="0"/>
    </xf>
    <xf borderId="3" fillId="6" fontId="5" numFmtId="0" xfId="0" applyAlignment="1" applyBorder="1" applyFill="1" applyFont="1">
      <alignment readingOrder="0"/>
    </xf>
    <xf borderId="0" fillId="4" fontId="5" numFmtId="0" xfId="0" applyAlignment="1" applyFont="1">
      <alignment readingOrder="0"/>
    </xf>
    <xf borderId="0" fillId="5" fontId="5" numFmtId="0" xfId="0" applyAlignment="1" applyFont="1">
      <alignment readingOrder="0"/>
    </xf>
    <xf borderId="0" fillId="6" fontId="5" numFmtId="0" xfId="0" applyAlignment="1" applyFont="1">
      <alignment readingOrder="0"/>
    </xf>
    <xf borderId="0" fillId="4" fontId="5" numFmtId="0" xfId="0" applyFont="1"/>
    <xf borderId="0" fillId="3" fontId="12" numFmtId="0" xfId="0" applyAlignment="1" applyFont="1">
      <alignment horizontal="left" readingOrder="0"/>
    </xf>
    <xf borderId="3" fillId="5" fontId="4" numFmtId="0" xfId="0" applyAlignment="1" applyBorder="1" applyFont="1">
      <alignment readingOrder="0"/>
    </xf>
    <xf borderId="3" fillId="5" fontId="1" numFmtId="0" xfId="0" applyAlignment="1" applyBorder="1" applyFont="1">
      <alignment readingOrder="0" vertical="bottom"/>
    </xf>
    <xf borderId="3" fillId="5" fontId="11" numFmtId="0" xfId="0" applyAlignment="1" applyBorder="1" applyFont="1">
      <alignment horizontal="left" readingOrder="0"/>
    </xf>
    <xf borderId="0" fillId="5" fontId="11" numFmtId="0" xfId="0" applyAlignment="1" applyFont="1">
      <alignment horizontal="left" readingOrder="0"/>
    </xf>
    <xf borderId="3" fillId="7" fontId="4" numFmtId="0" xfId="0" applyAlignment="1" applyBorder="1" applyFill="1" applyFont="1">
      <alignment readingOrder="0"/>
    </xf>
    <xf borderId="3" fillId="4" fontId="13" numFmtId="0" xfId="0" applyAlignment="1" applyBorder="1" applyFont="1">
      <alignment readingOrder="0"/>
    </xf>
    <xf borderId="3" fillId="4" fontId="5" numFmtId="0" xfId="0" applyBorder="1" applyFont="1"/>
    <xf borderId="3" fillId="4" fontId="5" numFmtId="0" xfId="0" applyAlignment="1" applyBorder="1" applyFont="1">
      <alignment readingOrder="0"/>
    </xf>
    <xf borderId="3" fillId="4" fontId="0" numFmtId="0" xfId="0" applyAlignment="1" applyBorder="1" applyFont="1">
      <alignment horizontal="right"/>
    </xf>
    <xf borderId="3" fillId="7" fontId="11" numFmtId="0" xfId="0" applyAlignment="1" applyBorder="1" applyFont="1">
      <alignment horizontal="left" readingOrder="0"/>
    </xf>
    <xf borderId="0" fillId="0" fontId="4" numFmtId="0" xfId="0" applyFont="1"/>
    <xf borderId="3" fillId="4" fontId="14" numFmtId="0" xfId="0" applyAlignment="1" applyBorder="1" applyFont="1">
      <alignment horizontal="right"/>
    </xf>
    <xf borderId="0" fillId="8" fontId="1" numFmtId="0" xfId="0" applyAlignment="1" applyFill="1" applyFont="1">
      <alignment readingOrder="0" vertical="bottom"/>
    </xf>
    <xf borderId="0" fillId="8" fontId="2" numFmtId="0" xfId="0" applyAlignment="1" applyFont="1">
      <alignment horizontal="right" readingOrder="0" vertical="bottom"/>
    </xf>
    <xf borderId="0" fillId="3" fontId="4" numFmtId="0" xfId="0" applyAlignment="1" applyFont="1">
      <alignment readingOrder="0"/>
    </xf>
    <xf borderId="3" fillId="9" fontId="4" numFmtId="0" xfId="0" applyAlignment="1" applyBorder="1" applyFill="1" applyFont="1">
      <alignment readingOrder="0"/>
    </xf>
    <xf borderId="3" fillId="9" fontId="11" numFmtId="0" xfId="0" applyAlignment="1" applyBorder="1" applyFont="1">
      <alignment horizontal="left" readingOrder="0"/>
    </xf>
    <xf borderId="3" fillId="9" fontId="5" numFmtId="0" xfId="0" applyAlignment="1" applyBorder="1" applyFont="1">
      <alignment readingOrder="0"/>
    </xf>
    <xf borderId="0" fillId="8" fontId="11" numFmtId="0" xfId="0" applyAlignment="1" applyFont="1">
      <alignment horizontal="left" readingOrder="0"/>
    </xf>
    <xf borderId="0" fillId="8" fontId="4" numFmtId="0" xfId="0" applyFont="1"/>
    <xf borderId="0" fillId="8" fontId="5" numFmtId="3" xfId="0" applyAlignment="1" applyFont="1" applyNumberFormat="1">
      <alignment readingOrder="0"/>
    </xf>
    <xf borderId="0" fillId="3" fontId="5" numFmtId="0" xfId="0" applyFont="1"/>
    <xf borderId="3" fillId="9" fontId="5" numFmtId="0" xfId="0" applyAlignment="1" applyBorder="1" applyFont="1">
      <alignment horizontal="right" readingOrder="0"/>
    </xf>
    <xf borderId="3" fillId="9" fontId="5" numFmtId="0" xfId="0" applyBorder="1" applyFont="1"/>
    <xf borderId="0" fillId="8" fontId="4" numFmtId="0" xfId="0" applyAlignment="1" applyFont="1">
      <alignment readingOrder="0"/>
    </xf>
    <xf borderId="0" fillId="8" fontId="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7.0"/>
    <col customWidth="1" min="3" max="3" width="13.0"/>
    <col customWidth="1" min="4" max="4" width="6.63"/>
    <col customWidth="1" min="5" max="5" width="32.88"/>
    <col customWidth="1" min="6" max="6" width="11.63"/>
    <col customWidth="1" min="7" max="7" width="15.25"/>
    <col customWidth="1" min="8" max="8" width="26.88"/>
    <col customWidth="1" min="9" max="9" width="8.5"/>
    <col customWidth="1" min="10" max="10" width="12.5"/>
    <col customWidth="1" min="11" max="12" width="16.13"/>
    <col customWidth="1" min="13" max="13" width="25.38"/>
    <col customWidth="1" min="14" max="14" width="5.13"/>
    <col customWidth="1" min="15" max="15" width="6.0"/>
    <col customWidth="1" min="16" max="16" width="59.5"/>
    <col customWidth="1" min="17" max="17" width="20.38"/>
  </cols>
  <sheetData>
    <row r="1">
      <c r="A1" s="1" t="s">
        <v>0</v>
      </c>
      <c r="C1" s="2" t="s">
        <v>1</v>
      </c>
      <c r="D1" s="3">
        <v>617800.0</v>
      </c>
    </row>
    <row r="2">
      <c r="A2" s="4" t="s">
        <v>2</v>
      </c>
      <c r="B2" s="5"/>
      <c r="C2" s="6"/>
      <c r="D2" s="6"/>
      <c r="M2" s="7" t="s">
        <v>3</v>
      </c>
      <c r="N2" s="5"/>
    </row>
    <row r="3">
      <c r="A3" s="8" t="s">
        <v>4</v>
      </c>
      <c r="B3" s="9"/>
      <c r="C3" s="6"/>
      <c r="D3" s="6"/>
      <c r="E3" s="10" t="s">
        <v>5</v>
      </c>
      <c r="F3" s="11"/>
      <c r="G3" s="5"/>
      <c r="M3" s="12" t="s">
        <v>6</v>
      </c>
      <c r="N3" s="12">
        <v>0.5</v>
      </c>
    </row>
    <row r="4">
      <c r="A4" s="9" t="s">
        <v>7</v>
      </c>
      <c r="B4" s="13">
        <v>160875.0</v>
      </c>
      <c r="C4" s="6"/>
      <c r="D4" s="6"/>
      <c r="E4" s="14" t="s">
        <v>8</v>
      </c>
      <c r="F4" s="11"/>
      <c r="G4" s="5"/>
      <c r="M4" s="12" t="s">
        <v>9</v>
      </c>
      <c r="N4" s="12">
        <v>0.055</v>
      </c>
      <c r="P4" s="15"/>
    </row>
    <row r="5">
      <c r="A5" s="9" t="s">
        <v>10</v>
      </c>
      <c r="B5" s="16">
        <v>12109.0</v>
      </c>
      <c r="C5" s="6"/>
      <c r="D5" s="6"/>
      <c r="E5" s="4" t="s">
        <v>11</v>
      </c>
      <c r="F5" s="11"/>
      <c r="G5" s="5"/>
    </row>
    <row r="6">
      <c r="A6" s="9"/>
      <c r="B6" s="9"/>
      <c r="C6" s="6"/>
      <c r="D6" s="6"/>
      <c r="E6" s="17"/>
      <c r="F6" s="18" t="s">
        <v>12</v>
      </c>
      <c r="G6" s="18"/>
      <c r="H6" s="19" t="s">
        <v>13</v>
      </c>
      <c r="I6" s="18"/>
      <c r="J6" s="19" t="s">
        <v>14</v>
      </c>
      <c r="M6" s="19" t="s">
        <v>15</v>
      </c>
      <c r="N6" s="17"/>
    </row>
    <row r="7">
      <c r="A7" s="8" t="s">
        <v>16</v>
      </c>
      <c r="B7" s="9"/>
      <c r="C7" s="6"/>
      <c r="D7" s="6"/>
      <c r="E7" s="20" t="s">
        <v>4</v>
      </c>
      <c r="F7" s="21"/>
      <c r="G7" s="21"/>
      <c r="H7" s="21"/>
      <c r="I7" s="21"/>
      <c r="J7" s="22"/>
      <c r="M7" s="12" t="s">
        <v>17</v>
      </c>
      <c r="N7" s="12">
        <v>50.0</v>
      </c>
    </row>
    <row r="8">
      <c r="A8" s="9" t="s">
        <v>7</v>
      </c>
      <c r="B8" s="23">
        <v>218331.0</v>
      </c>
      <c r="C8" s="6"/>
      <c r="D8" s="6"/>
      <c r="E8" s="9" t="s">
        <v>7</v>
      </c>
      <c r="F8" s="13">
        <f t="shared" ref="F8:F9" si="1"> B25 / 1.7</f>
        <v>259.2667204</v>
      </c>
      <c r="G8" s="17"/>
      <c r="H8" s="12">
        <v>105.0</v>
      </c>
      <c r="I8" s="17"/>
      <c r="J8" s="17">
        <f>IF(F8/N7 &gt; 1, ((F8/N7)*N3)+((H8/N11)*(F8/N7))+(N15*((F8/N7)-1)) , ((F8/N7)*N3)+((H8/N11)*(F8/N7))+(N15*((F8/N7))) )</f>
        <v>14.18082031</v>
      </c>
      <c r="K8" s="9" t="str">
        <f t="shared" ref="K8:K9" si="2">INT(J8) &amp; " hours " &amp; ROUND((J8-INT(J8))*60, 0) &amp; " minutes"</f>
        <v>14 hours 11 minutes</v>
      </c>
      <c r="M8" s="12" t="s">
        <v>9</v>
      </c>
      <c r="N8" s="12">
        <v>5.0</v>
      </c>
    </row>
    <row r="9">
      <c r="A9" s="9" t="s">
        <v>10</v>
      </c>
      <c r="B9" s="23">
        <v>16433.0</v>
      </c>
      <c r="C9" s="6"/>
      <c r="D9" s="6"/>
      <c r="E9" s="9" t="s">
        <v>10</v>
      </c>
      <c r="F9" s="13">
        <f t="shared" si="1"/>
        <v>19.51490733</v>
      </c>
      <c r="G9" s="17"/>
      <c r="H9" s="12">
        <v>55.0</v>
      </c>
      <c r="I9" s="17"/>
      <c r="J9" s="17">
        <f>IF(F9/N8 &gt; 1,((F9/N8)*N4)+((H9/N11)*(F9/N8))+(N15*((F9/N8)-1)),((F9/N8)*N4)+((H9/N11)*(F9/N8))+(N15*((F9/N8))))  </f>
        <v>4.992741499</v>
      </c>
      <c r="K9" s="24" t="str">
        <f t="shared" si="2"/>
        <v>4 hours 60 minutes</v>
      </c>
    </row>
    <row r="10">
      <c r="A10" s="9"/>
      <c r="B10" s="9"/>
      <c r="C10" s="6"/>
      <c r="D10" s="6"/>
      <c r="E10" s="25"/>
      <c r="F10" s="26"/>
      <c r="G10" s="27"/>
      <c r="H10" s="27"/>
      <c r="I10" s="27"/>
      <c r="J10" s="28"/>
      <c r="K10" s="29"/>
    </row>
    <row r="11">
      <c r="A11" s="8" t="s">
        <v>18</v>
      </c>
      <c r="B11" s="9"/>
      <c r="C11" s="6"/>
      <c r="D11" s="6"/>
      <c r="E11" s="20" t="s">
        <v>16</v>
      </c>
      <c r="F11" s="30"/>
      <c r="G11" s="21"/>
      <c r="H11" s="21"/>
      <c r="I11" s="21"/>
      <c r="J11" s="22"/>
      <c r="K11" s="31"/>
      <c r="M11" s="12" t="s">
        <v>19</v>
      </c>
      <c r="N11" s="12">
        <v>50.0</v>
      </c>
    </row>
    <row r="12">
      <c r="A12" s="9" t="s">
        <v>7</v>
      </c>
      <c r="B12" s="23">
        <v>97674.0</v>
      </c>
      <c r="C12" s="6"/>
      <c r="D12" s="6"/>
      <c r="E12" s="9" t="s">
        <v>7</v>
      </c>
      <c r="F12" s="13">
        <f t="shared" ref="F12:F13" si="3"> B29 / 1.7</f>
        <v>351.8630137</v>
      </c>
      <c r="G12" s="17"/>
      <c r="H12" s="12">
        <v>80.0</v>
      </c>
      <c r="I12" s="17"/>
      <c r="J12" s="17">
        <f>IF(F12/N7 &gt; 1, ((F12/N7)*N3)+((H12/N11)*(F12/N7)+(N15*((F12/N7)-1))), ((F12/N7)*N3)+((H12/N11)*(F12/N7)+(N15*((F12/N7)))))</f>
        <v>15.78646904</v>
      </c>
      <c r="K12" s="24" t="str">
        <f t="shared" ref="K12:K13" si="4">INT(J12) &amp; " hours " &amp; ROUND((J12-INT(J12))*60, 0) &amp; " minutes"</f>
        <v>15 hours 47 minutes</v>
      </c>
    </row>
    <row r="13">
      <c r="A13" s="9" t="s">
        <v>10</v>
      </c>
      <c r="B13" s="23">
        <v>7352.0</v>
      </c>
      <c r="C13" s="6"/>
      <c r="D13" s="6"/>
      <c r="E13" s="9" t="s">
        <v>10</v>
      </c>
      <c r="F13" s="13">
        <f t="shared" si="3"/>
        <v>26.48348106</v>
      </c>
      <c r="G13" s="17"/>
      <c r="H13" s="12">
        <v>120.0</v>
      </c>
      <c r="I13" s="17"/>
      <c r="J13" s="17">
        <f>IF(F13/N8 &gt; 1, ((F13/N8)*N4)+((H13/N11)*(F13/N8))+(N15*((F13/N8)-1)), ((F13/N8)*N4)+((H13/N11)*(F13/N8))+(N15*((F13/N8))))</f>
        <v>13.72093747</v>
      </c>
      <c r="K13" s="24" t="str">
        <f t="shared" si="4"/>
        <v>13 hours 43 minutes</v>
      </c>
    </row>
    <row r="14">
      <c r="A14" s="9"/>
      <c r="B14" s="9"/>
      <c r="C14" s="6"/>
      <c r="D14" s="6"/>
      <c r="E14" s="25"/>
      <c r="F14" s="26"/>
      <c r="G14" s="27"/>
      <c r="H14" s="27"/>
      <c r="I14" s="27"/>
      <c r="J14" s="28"/>
      <c r="K14" s="29"/>
    </row>
    <row r="15">
      <c r="A15" s="8" t="s">
        <v>20</v>
      </c>
      <c r="B15" s="9"/>
      <c r="C15" s="6"/>
      <c r="D15" s="6"/>
      <c r="E15" s="20" t="s">
        <v>18</v>
      </c>
      <c r="F15" s="30"/>
      <c r="G15" s="21"/>
      <c r="H15" s="21"/>
      <c r="I15" s="21"/>
      <c r="J15" s="22"/>
      <c r="K15" s="31"/>
      <c r="M15" s="12" t="s">
        <v>21</v>
      </c>
      <c r="N15" s="12">
        <v>0.167</v>
      </c>
    </row>
    <row r="16">
      <c r="A16" s="9" t="s">
        <v>7</v>
      </c>
      <c r="B16" s="23">
        <v>28728.0</v>
      </c>
      <c r="C16" s="6"/>
      <c r="D16" s="6"/>
      <c r="E16" s="24" t="s">
        <v>7</v>
      </c>
      <c r="F16" s="32">
        <f t="shared" ref="F16:F17" si="5"> B33 / 1.7</f>
        <v>157.4117647</v>
      </c>
      <c r="G16" s="33"/>
      <c r="H16" s="34">
        <v>60.0</v>
      </c>
      <c r="I16" s="33"/>
      <c r="J16" s="33">
        <f>IF(F16/N7 &gt; 1, ((F16/N7)*N3)+((H16/N11)*(F16/N7))+(N15*((F16/N7)-1)), ((F16/N7)*N3)+((H16/N11)*(F16/N7))+(N15*((F16/N7))))</f>
        <v>5.710755294</v>
      </c>
      <c r="K16" s="24" t="str">
        <f t="shared" ref="K16:K17" si="6">INT(J16) &amp; " hours " &amp; ROUND((J16-INT(J16))*60, 0) &amp; " minutes"</f>
        <v>5 hours 43 minutes</v>
      </c>
    </row>
    <row r="17">
      <c r="A17" s="9" t="s">
        <v>10</v>
      </c>
      <c r="B17" s="23">
        <v>2160.0</v>
      </c>
      <c r="C17" s="6"/>
      <c r="D17" s="6"/>
      <c r="E17" s="35" t="s">
        <v>10</v>
      </c>
      <c r="F17" s="36">
        <f t="shared" si="5"/>
        <v>11.84850927</v>
      </c>
      <c r="G17" s="37"/>
      <c r="H17" s="38">
        <v>140.0</v>
      </c>
      <c r="I17" s="37"/>
      <c r="J17" s="37">
        <f>IF(F17/N8 &gt; 1, ((F17/N8)*N4)+((H17/N11)*(F17/N8))+(N15*((F17/N8)-1)), ((F17/N8)*N4)+((H17/N11)*(F17/N8))+(N15*((F17/N8))))</f>
        <v>6.994239001</v>
      </c>
      <c r="K17" s="24" t="str">
        <f t="shared" si="6"/>
        <v>6 hours 60 minutes</v>
      </c>
    </row>
    <row r="18">
      <c r="A18" s="17"/>
      <c r="B18" s="17"/>
      <c r="E18" s="25"/>
      <c r="F18" s="26"/>
      <c r="G18" s="27"/>
      <c r="H18" s="27"/>
      <c r="I18" s="27"/>
      <c r="J18" s="28"/>
      <c r="K18" s="29"/>
      <c r="P18" s="39" t="s">
        <v>22</v>
      </c>
      <c r="Q18" s="39"/>
      <c r="R18" s="39"/>
      <c r="S18" s="39"/>
    </row>
    <row r="19">
      <c r="A19" s="19" t="s">
        <v>23</v>
      </c>
      <c r="B19" s="17"/>
      <c r="E19" s="20" t="s">
        <v>20</v>
      </c>
      <c r="F19" s="30"/>
      <c r="G19" s="21"/>
      <c r="H19" s="21"/>
      <c r="I19" s="21"/>
      <c r="J19" s="22"/>
      <c r="K19" s="31"/>
      <c r="Q19" s="39"/>
      <c r="R19" s="39"/>
      <c r="S19" s="39"/>
    </row>
    <row r="20">
      <c r="A20" s="12" t="s">
        <v>10</v>
      </c>
      <c r="B20" s="12">
        <v>5190.0</v>
      </c>
      <c r="E20" s="24" t="s">
        <v>7</v>
      </c>
      <c r="F20" s="32">
        <f t="shared" ref="F20:F21" si="7"> B37 / 1.7</f>
        <v>46.29814666</v>
      </c>
      <c r="G20" s="33"/>
      <c r="H20" s="34">
        <v>65.0</v>
      </c>
      <c r="I20" s="33"/>
      <c r="J20" s="33">
        <f>IF(F20/N7 &gt; 1, ((F20/N7)*N3)+((H20/N11)*(F20/N7))+(N15*((F20/N7)-1)), ((F20/N7)*N3)+((H20/N11)*(F20/N7))+(N15*((F20/N7))))</f>
        <v>1.821369089</v>
      </c>
      <c r="K20" s="24" t="str">
        <f t="shared" ref="K20:K21" si="8">INT(J20) &amp; " hours " &amp; ROUND((J20-INT(J20))*60, 0) &amp; " minutes"</f>
        <v>1 hours 49 minutes</v>
      </c>
      <c r="Q20" s="39"/>
      <c r="R20" s="39"/>
      <c r="S20" s="39"/>
    </row>
    <row r="21">
      <c r="E21" s="35" t="s">
        <v>10</v>
      </c>
      <c r="F21" s="36">
        <f t="shared" si="7"/>
        <v>3.481063658</v>
      </c>
      <c r="G21" s="37"/>
      <c r="H21" s="38">
        <v>105.0</v>
      </c>
      <c r="I21" s="37"/>
      <c r="J21" s="37">
        <f>IF(F21/N8 &gt; 1, ((F21/N8)*N4)+((H21/N11)*(F21/N8))+(N15*((F21/N8)-1)), ((F21/N8)*N4)+((H21/N11)*(F21/N8))+(N15*(F21/N8)))</f>
        <v>1.616605963</v>
      </c>
      <c r="K21" s="24" t="str">
        <f t="shared" si="8"/>
        <v>1 hours 37 minutes</v>
      </c>
      <c r="Q21" s="39"/>
      <c r="R21" s="39"/>
      <c r="S21" s="39"/>
    </row>
    <row r="22">
      <c r="E22" s="40"/>
      <c r="F22" s="27"/>
      <c r="G22" s="27"/>
      <c r="H22" s="27"/>
      <c r="I22" s="27"/>
      <c r="J22" s="28"/>
      <c r="K22" s="29"/>
      <c r="O22" s="39"/>
      <c r="Q22" s="39"/>
      <c r="R22" s="39"/>
      <c r="S22" s="39"/>
    </row>
    <row r="23">
      <c r="A23" s="10" t="s">
        <v>24</v>
      </c>
      <c r="B23" s="5"/>
      <c r="E23" s="7" t="s">
        <v>17</v>
      </c>
      <c r="F23" s="21"/>
      <c r="G23" s="21"/>
      <c r="H23" s="21"/>
      <c r="I23" s="21"/>
      <c r="J23" s="22"/>
      <c r="K23" s="31"/>
    </row>
    <row r="24">
      <c r="A24" s="8" t="s">
        <v>4</v>
      </c>
      <c r="B24" s="9"/>
      <c r="E24" s="34" t="s">
        <v>10</v>
      </c>
      <c r="F24" s="33">
        <f>ROUND(B41/1.7,0)</f>
        <v>8</v>
      </c>
      <c r="G24" s="33"/>
      <c r="H24" s="34">
        <v>150.0</v>
      </c>
      <c r="I24" s="33"/>
      <c r="J24" s="33">
        <f>IF(F24/N8&gt;  1, ((F24/N8)*N4)+((H24/N11)*(F24/N8))+(N15*((F24/N8)-1)), ((F24/N8)*N4)+((H24/N11)*(F24/N8))+(N15*(F24/N8)))</f>
        <v>4.9882</v>
      </c>
      <c r="K24" s="24" t="str">
        <f>INT(J24) &amp; " hours " &amp; ROUND((J24-INT(J24))*60, 0) &amp; " minutes"</f>
        <v>4 hours 59 minutes</v>
      </c>
    </row>
    <row r="25">
      <c r="A25" s="9" t="s">
        <v>7</v>
      </c>
      <c r="B25" s="13">
        <f t="shared" ref="B25:B26" si="9"> B4/365</f>
        <v>440.7534247</v>
      </c>
    </row>
    <row r="26">
      <c r="A26" s="9" t="s">
        <v>10</v>
      </c>
      <c r="B26" s="13">
        <f t="shared" si="9"/>
        <v>33.17534247</v>
      </c>
    </row>
    <row r="27">
      <c r="A27" s="9"/>
      <c r="B27" s="13"/>
      <c r="E27" s="10" t="s">
        <v>25</v>
      </c>
      <c r="F27" s="5"/>
    </row>
    <row r="28">
      <c r="A28" s="8" t="s">
        <v>16</v>
      </c>
      <c r="B28" s="13"/>
      <c r="E28" s="41" t="s">
        <v>26</v>
      </c>
      <c r="F28" s="17"/>
      <c r="H28" s="42" t="s">
        <v>27</v>
      </c>
      <c r="I28" s="11"/>
      <c r="J28" s="11"/>
      <c r="K28" s="5"/>
    </row>
    <row r="29">
      <c r="A29" s="9" t="s">
        <v>7</v>
      </c>
      <c r="B29" s="13">
        <f t="shared" ref="B29:B30" si="10"> B8/365</f>
        <v>598.1671233</v>
      </c>
      <c r="E29" s="43" t="s">
        <v>28</v>
      </c>
      <c r="F29" s="12">
        <v>18535.0</v>
      </c>
      <c r="H29" s="44" t="s">
        <v>29</v>
      </c>
      <c r="I29" s="11"/>
      <c r="J29" s="5"/>
      <c r="K29" s="45">
        <f>SUM(J8,J12,J16,J20,F33)</f>
        <v>39.15961373</v>
      </c>
      <c r="L29" s="45" t="str">
        <f t="shared" ref="L29:L30" si="11">INT(K29) &amp; " hours " &amp; ROUND((K29-INT(K29))*60, 0) &amp; " minutes"</f>
        <v>39 hours 10 minutes</v>
      </c>
    </row>
    <row r="30">
      <c r="A30" s="9" t="s">
        <v>10</v>
      </c>
      <c r="B30" s="13">
        <f t="shared" si="10"/>
        <v>45.02191781</v>
      </c>
      <c r="E30" s="43" t="s">
        <v>30</v>
      </c>
      <c r="F30" s="17">
        <f>ROUND(F29/365,0)</f>
        <v>51</v>
      </c>
      <c r="H30" s="46" t="s">
        <v>31</v>
      </c>
      <c r="I30" s="47"/>
      <c r="J30" s="48"/>
      <c r="K30" s="49">
        <f>SUM(J9,J13,J17,J21,J24)</f>
        <v>32.31272393</v>
      </c>
      <c r="L30" s="45" t="str">
        <f t="shared" si="11"/>
        <v>32 hours 19 minutes</v>
      </c>
    </row>
    <row r="31">
      <c r="A31" s="9"/>
      <c r="B31" s="13"/>
      <c r="E31" s="43" t="s">
        <v>32</v>
      </c>
      <c r="F31" s="17">
        <f>ROUND(F30/1.7,0)</f>
        <v>30</v>
      </c>
      <c r="H31" s="50"/>
      <c r="I31" s="51"/>
      <c r="J31" s="51"/>
      <c r="K31" s="52"/>
    </row>
    <row r="32">
      <c r="A32" s="8" t="s">
        <v>18</v>
      </c>
      <c r="B32" s="13"/>
      <c r="E32" s="43" t="s">
        <v>33</v>
      </c>
      <c r="F32" s="12">
        <v>105.0</v>
      </c>
      <c r="H32" s="53"/>
      <c r="I32" s="54"/>
      <c r="J32" s="54"/>
      <c r="K32" s="55"/>
    </row>
    <row r="33">
      <c r="A33" s="9" t="s">
        <v>7</v>
      </c>
      <c r="B33" s="13">
        <f t="shared" ref="B33:B34" si="12"> B12/365</f>
        <v>267.6</v>
      </c>
      <c r="E33" s="43" t="s">
        <v>34</v>
      </c>
      <c r="F33" s="17">
        <f>IF(F31/N7 &gt; 1, ((F31/N7)*N3)+((F32/N11)*(F31/N7))+(N15*((F31/N7)-1)) , ((F31/N7)*N3)+((F32/N11)*(F31/N7))+(N15*((F31/N7))) )</f>
        <v>1.6602</v>
      </c>
      <c r="G33" s="17" t="str">
        <f>INT(F33) &amp; " hours " &amp; ROUND((F33-INT(F33))*60, 0) &amp; " minutes"</f>
        <v>1 hours 40 minutes</v>
      </c>
      <c r="H33" s="56"/>
      <c r="I33" s="57"/>
      <c r="J33" s="57"/>
      <c r="K33" s="58"/>
    </row>
    <row r="34">
      <c r="A34" s="9" t="s">
        <v>10</v>
      </c>
      <c r="B34" s="13">
        <f t="shared" si="12"/>
        <v>20.14246575</v>
      </c>
      <c r="H34" s="59" t="s">
        <v>35</v>
      </c>
      <c r="I34" s="60"/>
      <c r="J34" s="61">
        <f>SUM(MULTIPLY(F8,H8),MULTIPLY(F9,H9),MULTIPLY(F12,H12),MULTIPLY(F13,H13),MULTIPLY(F16,H16),MULTIPLY(F17,H17),MULTIPLY(F20,H20),MULTIPLY(F21,H21),MULTIPLY(F31,F32))</f>
        <v>77251.77276</v>
      </c>
      <c r="K34" s="61"/>
    </row>
    <row r="35">
      <c r="A35" s="9"/>
      <c r="B35" s="13"/>
      <c r="H35" s="44" t="s">
        <v>36</v>
      </c>
      <c r="I35" s="5"/>
      <c r="J35" s="62">
        <f>SUM(F8,F9,F12,F13,F16,F17,F20,F21,F24,F31)</f>
        <v>914.1676068</v>
      </c>
      <c r="K35" s="45"/>
    </row>
    <row r="36">
      <c r="A36" s="8" t="s">
        <v>20</v>
      </c>
      <c r="B36" s="13"/>
      <c r="H36" s="45"/>
      <c r="I36" s="45"/>
      <c r="J36" s="45"/>
      <c r="K36" s="45"/>
    </row>
    <row r="37">
      <c r="A37" s="9" t="s">
        <v>7</v>
      </c>
      <c r="B37" s="13">
        <f t="shared" ref="B37:B38" si="13"> B16/365</f>
        <v>78.70684932</v>
      </c>
      <c r="H37" s="44" t="s">
        <v>37</v>
      </c>
      <c r="I37" s="11"/>
      <c r="J37" s="5"/>
      <c r="K37" s="45">
        <f>DIVIDE(J34,J35)</f>
        <v>84.50504283</v>
      </c>
    </row>
    <row r="38">
      <c r="A38" s="9" t="s">
        <v>10</v>
      </c>
      <c r="B38" s="13">
        <f t="shared" si="13"/>
        <v>5.917808219</v>
      </c>
    </row>
    <row r="39">
      <c r="A39" s="17"/>
      <c r="B39" s="13"/>
      <c r="H39" s="42" t="s">
        <v>38</v>
      </c>
      <c r="I39" s="11"/>
      <c r="J39" s="11"/>
      <c r="K39" s="5"/>
    </row>
    <row r="40">
      <c r="A40" s="19" t="s">
        <v>23</v>
      </c>
      <c r="B40" s="13"/>
      <c r="H40" s="44" t="s">
        <v>29</v>
      </c>
      <c r="I40" s="11"/>
      <c r="J40" s="5"/>
      <c r="K40" s="45">
        <f>SUM(
    IF(F8/N7 &gt; 1, ((F8/N7)*N3)+(N15*((F8/N7)-1)), ((F8/N7)*N3)+(N15*((F8/N7)))),
    IF(F12/N7 &gt; 1, ((F12/N7)*N3)+(N15*((F12/N7)-1)), ((F12/N7)*N3)+(N15*((F12/N7)))),
    IF(F16/N7 &gt; 1, ((F16/N7)*N3)+(N15*((F16/N7)-1)), ((F16/N7)*N3)+(N15*((F16/N7)))),
    IF(F20/N7 &gt; 1, ((F20/N7)*N3)+(N15*((F20/N7)-1)), ((F20/N7)*N3)+(N15*((F20/N7)))),
IF(F31/N7 &gt; 1, ((F31/N7)*N3)+(N15*((F31/N7)-1)) , ((F31/N7)*N3)+(N15*((F31/N7))) )
)</f>
        <v>10.76916087</v>
      </c>
      <c r="L40" s="45" t="str">
        <f t="shared" ref="L40:L41" si="14">INT(K40) &amp; " hours " &amp; ROUND((K40-INT(K40))*60, 0) &amp; " minutes"</f>
        <v>10 hours 46 minutes</v>
      </c>
    </row>
    <row r="41">
      <c r="A41" s="12" t="s">
        <v>10</v>
      </c>
      <c r="B41" s="13">
        <f> ROUND(B20/365,0)</f>
        <v>14</v>
      </c>
      <c r="H41" s="44" t="s">
        <v>31</v>
      </c>
      <c r="I41" s="11"/>
      <c r="J41" s="5"/>
      <c r="K41" s="45">
        <f>SUM(
IF(F9/N8 &gt; 1,((F9/N8)*N4)+(N15*((F9/N8)-1)),((F9/N8)*N4)+(N15*((F9/N8)))),
IF(F13/N8 &gt; 1, ((F13/N8)*N4)+(N15*((F13/N8)-1)), ((F13/N8)*N4)+(N15*((F13/N8)))),
IF(F17/N8 &gt; 1, ((F17/N8)*N4)+(N15*((F17/N8)-1)), ((F17/N8)*N4)+(N15*((F17/N8)))),
IF(F21/N8 &gt; 1, ((F21/N8)*N4)+(N15*((F21/N8)-1)), ((F21/N8)*N4)+(N15*(F21/N8))),
IF(F24/N8&gt;  1, ((F24/N8)*N4)+(N15*((F24/N8)-1)), ((F24/N8)*N4)++(N15*(F24/N8)))
)</f>
        <v>2.410161483</v>
      </c>
      <c r="L41" s="45" t="str">
        <f t="shared" si="14"/>
        <v>2 hours 25 minutes</v>
      </c>
    </row>
    <row r="49">
      <c r="H49" s="63"/>
      <c r="I49" s="63"/>
    </row>
    <row r="50">
      <c r="H50" s="63"/>
      <c r="I50" s="63"/>
    </row>
    <row r="52">
      <c r="H52" s="63"/>
      <c r="I52" s="63"/>
      <c r="J52" s="63"/>
    </row>
  </sheetData>
  <mergeCells count="17">
    <mergeCell ref="A2:B2"/>
    <mergeCell ref="M2:N2"/>
    <mergeCell ref="E3:G3"/>
    <mergeCell ref="E4:G4"/>
    <mergeCell ref="E5:G5"/>
    <mergeCell ref="P18:P25"/>
    <mergeCell ref="A23:B23"/>
    <mergeCell ref="H39:K39"/>
    <mergeCell ref="H40:J40"/>
    <mergeCell ref="H41:J41"/>
    <mergeCell ref="E27:F27"/>
    <mergeCell ref="H28:K28"/>
    <mergeCell ref="H29:J29"/>
    <mergeCell ref="H30:J30"/>
    <mergeCell ref="H34:I34"/>
    <mergeCell ref="H35:I35"/>
    <mergeCell ref="H37:J37"/>
  </mergeCells>
  <conditionalFormatting sqref="H5:J5">
    <cfRule type="notContainsBlanks" dxfId="0" priority="1">
      <formula>LEN(TRIM(H5))&gt;0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7.0"/>
    <col customWidth="1" min="3" max="3" width="13.0"/>
    <col customWidth="1" min="4" max="4" width="6.63"/>
    <col customWidth="1" min="5" max="5" width="32.88"/>
    <col customWidth="1" min="6" max="6" width="11.63"/>
    <col customWidth="1" min="7" max="7" width="15.25"/>
    <col customWidth="1" min="8" max="8" width="26.5"/>
    <col customWidth="1" min="10" max="10" width="12.5"/>
    <col customWidth="1" min="11" max="11" width="16.13"/>
    <col customWidth="1" min="12" max="12" width="15.25"/>
    <col customWidth="1" min="13" max="13" width="25.38"/>
    <col customWidth="1" min="14" max="14" width="5.13"/>
    <col customWidth="1" min="15" max="15" width="7.25"/>
    <col customWidth="1" min="16" max="16" width="59.5"/>
    <col customWidth="1" min="17" max="17" width="21.38"/>
    <col customWidth="1" min="19" max="19" width="10.25"/>
  </cols>
  <sheetData>
    <row r="1">
      <c r="A1" s="2" t="s">
        <v>39</v>
      </c>
      <c r="C1" s="2" t="s">
        <v>1</v>
      </c>
      <c r="D1" s="64">
        <v>432280.0</v>
      </c>
    </row>
    <row r="2">
      <c r="C2" s="6"/>
      <c r="D2" s="6"/>
      <c r="M2" s="7" t="s">
        <v>3</v>
      </c>
      <c r="N2" s="5"/>
    </row>
    <row r="3">
      <c r="A3" s="4" t="s">
        <v>2</v>
      </c>
      <c r="B3" s="5"/>
      <c r="C3" s="6"/>
      <c r="D3" s="6"/>
      <c r="E3" s="10" t="s">
        <v>5</v>
      </c>
      <c r="F3" s="11"/>
      <c r="G3" s="5"/>
      <c r="M3" s="12" t="s">
        <v>6</v>
      </c>
      <c r="N3" s="12">
        <v>0.5</v>
      </c>
    </row>
    <row r="4">
      <c r="A4" s="8" t="s">
        <v>4</v>
      </c>
      <c r="B4" s="9"/>
      <c r="C4" s="6"/>
      <c r="D4" s="6"/>
      <c r="E4" s="14" t="s">
        <v>8</v>
      </c>
      <c r="F4" s="11"/>
      <c r="G4" s="5"/>
      <c r="M4" s="12" t="s">
        <v>9</v>
      </c>
      <c r="N4" s="12">
        <v>0.055</v>
      </c>
      <c r="P4" s="15"/>
    </row>
    <row r="5">
      <c r="A5" s="23" t="s">
        <v>40</v>
      </c>
      <c r="B5" s="13">
        <v>108935.0</v>
      </c>
      <c r="C5" s="6"/>
      <c r="D5" s="6"/>
      <c r="E5" s="4" t="s">
        <v>41</v>
      </c>
      <c r="F5" s="11"/>
      <c r="G5" s="5"/>
      <c r="H5" s="65"/>
      <c r="I5" s="65"/>
      <c r="J5" s="65"/>
    </row>
    <row r="6">
      <c r="A6" s="66" t="s">
        <v>42</v>
      </c>
      <c r="B6" s="67">
        <v>12104.0</v>
      </c>
      <c r="C6" s="6"/>
      <c r="D6" s="6"/>
      <c r="E6" s="35"/>
      <c r="F6" s="68" t="s">
        <v>12</v>
      </c>
      <c r="G6" s="69"/>
      <c r="H6" s="70" t="s">
        <v>13</v>
      </c>
      <c r="I6" s="69"/>
      <c r="J6" s="71" t="s">
        <v>14</v>
      </c>
      <c r="M6" s="19" t="s">
        <v>15</v>
      </c>
    </row>
    <row r="7">
      <c r="A7" s="72"/>
      <c r="B7" s="73"/>
      <c r="C7" s="6"/>
      <c r="D7" s="6"/>
      <c r="E7" s="20" t="s">
        <v>4</v>
      </c>
      <c r="F7" s="21"/>
      <c r="G7" s="21"/>
      <c r="H7" s="21"/>
      <c r="I7" s="21"/>
      <c r="J7" s="22"/>
      <c r="M7" s="74" t="s">
        <v>17</v>
      </c>
      <c r="N7" s="12">
        <v>50.0</v>
      </c>
    </row>
    <row r="8">
      <c r="A8" s="75" t="s">
        <v>16</v>
      </c>
      <c r="B8" s="24"/>
      <c r="C8" s="6"/>
      <c r="D8" s="6"/>
      <c r="E8" s="23" t="s">
        <v>40</v>
      </c>
      <c r="F8" s="13">
        <f t="shared" ref="F8:F9" si="1"> B26 / 1.7</f>
        <v>175.5600322</v>
      </c>
      <c r="G8" s="17"/>
      <c r="H8" s="12">
        <v>105.0</v>
      </c>
      <c r="I8" s="17"/>
      <c r="J8" s="17">
        <f>IF(F8/N7 &gt; 1, ((F8/N7)*N3)+((H8/N11)*(F8/N7))+(N15*((F8/N7)-1)) , ((F8/N7)*N3)+((H8/N11)*(F8/N7))+(N15*((F8/N7))) )</f>
        <v>9.548492184</v>
      </c>
      <c r="K8" s="9" t="str">
        <f t="shared" ref="K8:K9" si="2">INT(J8) &amp; " hours " &amp; ROUND((J8-INT(J8))*60, 0) &amp; " minutes"</f>
        <v>9 hours 33 minutes</v>
      </c>
      <c r="M8" s="12" t="s">
        <v>9</v>
      </c>
      <c r="N8" s="12">
        <v>5.0</v>
      </c>
    </row>
    <row r="9">
      <c r="A9" s="23" t="s">
        <v>40</v>
      </c>
      <c r="B9" s="23">
        <v>147840.0</v>
      </c>
      <c r="C9" s="6"/>
      <c r="D9" s="6"/>
      <c r="E9" s="23" t="s">
        <v>42</v>
      </c>
      <c r="F9" s="13">
        <f t="shared" si="1"/>
        <v>19.50684932</v>
      </c>
      <c r="G9" s="17"/>
      <c r="H9" s="12">
        <v>55.0</v>
      </c>
      <c r="I9" s="17"/>
      <c r="J9" s="17">
        <f>IF(F9/N8 &gt; 1,((F9/N8)*N4)+((H9/N11)*(F9/N8))+(N15*((F9/N8)-1)),((F9/N8)*N4)+((H9/N11)*(F9/N8))+(N15*((F9/N8))))  </f>
        <v>4.990610959</v>
      </c>
      <c r="K9" s="24" t="str">
        <f t="shared" si="2"/>
        <v>4 hours 59 minutes</v>
      </c>
    </row>
    <row r="10">
      <c r="A10" s="66" t="s">
        <v>42</v>
      </c>
      <c r="B10" s="66">
        <v>16427.0</v>
      </c>
      <c r="C10" s="6"/>
      <c r="D10" s="6"/>
      <c r="E10" s="35"/>
      <c r="F10" s="76"/>
      <c r="G10" s="69"/>
      <c r="H10" s="27"/>
      <c r="I10" s="69"/>
      <c r="J10" s="28"/>
      <c r="K10" s="29"/>
    </row>
    <row r="11">
      <c r="A11" s="72"/>
      <c r="B11" s="73"/>
      <c r="C11" s="6"/>
      <c r="D11" s="6"/>
      <c r="E11" s="20" t="s">
        <v>16</v>
      </c>
      <c r="F11" s="30"/>
      <c r="G11" s="21"/>
      <c r="H11" s="21"/>
      <c r="I11" s="21"/>
      <c r="J11" s="22"/>
      <c r="K11" s="31"/>
      <c r="M11" s="19" t="s">
        <v>19</v>
      </c>
      <c r="N11" s="12">
        <v>50.0</v>
      </c>
    </row>
    <row r="12">
      <c r="A12" s="75" t="s">
        <v>18</v>
      </c>
      <c r="B12" s="24"/>
      <c r="C12" s="6"/>
      <c r="D12" s="6"/>
      <c r="E12" s="23" t="s">
        <v>40</v>
      </c>
      <c r="F12" s="13">
        <f t="shared" ref="F12:F13" si="3"> B30 / 1.7</f>
        <v>238.2594682</v>
      </c>
      <c r="G12" s="17"/>
      <c r="H12" s="12">
        <v>80.0</v>
      </c>
      <c r="I12" s="17"/>
      <c r="J12" s="17">
        <f>IF(F12/N7 &gt; 1, ((F12/N7)*N3)+((H12/N11)*(F12/N7)+(N15*((F12/N7)-1))), ((F12/N7)*N3)+((H12/N11)*(F12/N7)+(N15*((F12/N7)))))</f>
        <v>10.63568429</v>
      </c>
      <c r="K12" s="24" t="str">
        <f t="shared" ref="K12:K13" si="4">INT(J12) &amp; " hours " &amp; ROUND((J12-INT(J12))*60, 0) &amp; " minutes"</f>
        <v>10 hours 38 minutes</v>
      </c>
    </row>
    <row r="13">
      <c r="A13" s="23" t="s">
        <v>40</v>
      </c>
      <c r="B13" s="23">
        <v>66139.0</v>
      </c>
      <c r="C13" s="6"/>
      <c r="D13" s="6"/>
      <c r="E13" s="23" t="s">
        <v>42</v>
      </c>
      <c r="F13" s="13">
        <f t="shared" si="3"/>
        <v>26.47381144</v>
      </c>
      <c r="G13" s="17"/>
      <c r="H13" s="12">
        <v>120.0</v>
      </c>
      <c r="I13" s="17"/>
      <c r="J13" s="17">
        <f>IF(F13/N8 &gt; 1, ((F13/N8)*N4)+((H13/N11)*(F13/N8))+(N15*((F13/N8)-1)), ((F13/N8)*N4)+((H13/N11)*(F13/N8))+(N15*((F13/N8))))</f>
        <v>13.71586672</v>
      </c>
      <c r="K13" s="24" t="str">
        <f t="shared" si="4"/>
        <v>13 hours 43 minutes</v>
      </c>
    </row>
    <row r="14">
      <c r="A14" s="66" t="s">
        <v>42</v>
      </c>
      <c r="B14" s="66">
        <v>7349.0</v>
      </c>
      <c r="C14" s="6"/>
      <c r="D14" s="6"/>
      <c r="E14" s="35"/>
      <c r="F14" s="76"/>
      <c r="G14" s="69"/>
      <c r="H14" s="27"/>
      <c r="I14" s="69"/>
      <c r="J14" s="28"/>
      <c r="K14" s="29"/>
    </row>
    <row r="15">
      <c r="A15" s="72"/>
      <c r="B15" s="73"/>
      <c r="C15" s="6"/>
      <c r="D15" s="6"/>
      <c r="E15" s="20" t="s">
        <v>18</v>
      </c>
      <c r="F15" s="30"/>
      <c r="G15" s="21"/>
      <c r="H15" s="21"/>
      <c r="I15" s="21"/>
      <c r="J15" s="22"/>
      <c r="K15" s="31"/>
      <c r="M15" s="19" t="s">
        <v>21</v>
      </c>
      <c r="N15" s="12">
        <v>0.167</v>
      </c>
    </row>
    <row r="16">
      <c r="A16" s="75" t="s">
        <v>20</v>
      </c>
      <c r="B16" s="24"/>
      <c r="C16" s="6"/>
      <c r="D16" s="6"/>
      <c r="E16" s="23" t="s">
        <v>40</v>
      </c>
      <c r="F16" s="13">
        <f t="shared" ref="F16:F17" si="5"> B34 / 1.7</f>
        <v>106.5898469</v>
      </c>
      <c r="G16" s="17"/>
      <c r="H16" s="12">
        <v>60.0</v>
      </c>
      <c r="I16" s="17"/>
      <c r="J16" s="17">
        <f>IF(F16/N7 &gt; 1, ((F16/N7)*N3)+((H16/N11)*(F16/N7))+(N15*((F16/N7)-1)), ((F16/N7)*N3)+((H16/N11)*(F16/N7))+(N15*((F16/N7))))</f>
        <v>3.813064883</v>
      </c>
      <c r="K16" s="24" t="str">
        <f t="shared" ref="K16:K17" si="6">INT(J16) &amp; " hours " &amp; ROUND((J16-INT(J16))*60, 0) &amp; " minutes"</f>
        <v>3 hours 49 minutes</v>
      </c>
    </row>
    <row r="17">
      <c r="A17" s="23" t="s">
        <v>40</v>
      </c>
      <c r="B17" s="23">
        <v>19453.0</v>
      </c>
      <c r="C17" s="6"/>
      <c r="D17" s="6"/>
      <c r="E17" s="66" t="s">
        <v>42</v>
      </c>
      <c r="F17" s="36">
        <f t="shared" si="5"/>
        <v>11.84367446</v>
      </c>
      <c r="G17" s="37"/>
      <c r="H17" s="38">
        <v>140.0</v>
      </c>
      <c r="I17" s="37"/>
      <c r="J17" s="37">
        <f>IF(F17/N8 &gt; 1, ((F17/N8)*N4)+((H17/N11)*(F17/N8))+(N15*((F17/N8)-1)), ((F17/N8)*N4)+((H17/N11)*(F17/N8))+(N15*((F17/N8))))</f>
        <v>6.991316841</v>
      </c>
      <c r="K17" s="24" t="str">
        <f t="shared" si="6"/>
        <v>6 hours 59 minutes</v>
      </c>
    </row>
    <row r="18">
      <c r="A18" s="66" t="s">
        <v>42</v>
      </c>
      <c r="B18" s="66">
        <v>2161.0</v>
      </c>
      <c r="E18" s="72"/>
      <c r="F18" s="30"/>
      <c r="G18" s="21"/>
      <c r="H18" s="21"/>
      <c r="I18" s="21"/>
      <c r="J18" s="22"/>
      <c r="K18" s="29"/>
      <c r="P18" s="39"/>
      <c r="Q18" s="39"/>
      <c r="R18" s="39"/>
      <c r="S18" s="39"/>
    </row>
    <row r="19">
      <c r="A19" s="77"/>
      <c r="B19" s="22"/>
      <c r="E19" s="78" t="s">
        <v>20</v>
      </c>
      <c r="F19" s="79"/>
      <c r="G19" s="65"/>
      <c r="H19" s="65"/>
      <c r="I19" s="65"/>
      <c r="J19" s="80"/>
      <c r="K19" s="31"/>
      <c r="P19" s="39" t="s">
        <v>22</v>
      </c>
      <c r="Q19" s="39"/>
      <c r="R19" s="39"/>
      <c r="S19" s="39"/>
    </row>
    <row r="20">
      <c r="A20" s="81" t="s">
        <v>17</v>
      </c>
      <c r="B20" s="33"/>
      <c r="E20" s="23" t="s">
        <v>40</v>
      </c>
      <c r="F20" s="13">
        <f t="shared" ref="F20:F21" si="7"> B38 / 1.7</f>
        <v>31.35052377</v>
      </c>
      <c r="G20" s="17"/>
      <c r="H20" s="12">
        <v>65.0</v>
      </c>
      <c r="I20" s="17"/>
      <c r="J20" s="17">
        <f>IF(F20/N7 &gt; 1, ((F20/N7)*N3)+((H20/N11)*(F20/N7))+(N15*((F20/N7)-1)), ((F20/N7)*N3)+((H20/N11)*(F20/N7))+(N15*((F20/N7))))</f>
        <v>1.233329605</v>
      </c>
      <c r="K20" s="24" t="str">
        <f t="shared" ref="K20:K21" si="8">INT(J20) &amp; " hours " &amp; ROUND((J20-INT(J20))*60, 0) &amp; " minutes"</f>
        <v>1 hours 14 minutes</v>
      </c>
      <c r="Q20" s="39"/>
      <c r="R20" s="39"/>
      <c r="S20" s="39"/>
    </row>
    <row r="21">
      <c r="A21" s="12" t="s">
        <v>42</v>
      </c>
      <c r="B21" s="12">
        <v>5187.0</v>
      </c>
      <c r="E21" s="66" t="s">
        <v>42</v>
      </c>
      <c r="F21" s="36">
        <f t="shared" si="7"/>
        <v>3.482675262</v>
      </c>
      <c r="G21" s="37"/>
      <c r="H21" s="38">
        <v>105.0</v>
      </c>
      <c r="I21" s="37"/>
      <c r="J21" s="37">
        <f>IF(F21/N8 &gt; 1, ((F21/N8)*N4)+((H21/N11)*(F21/N8))+(N15*((F21/N8)-1)), ((F21/N8)*N4)+((H21/N11)*(F21/N8))+(N15*(F21/N8)))</f>
        <v>1.617354392</v>
      </c>
      <c r="K21" s="24" t="str">
        <f t="shared" si="8"/>
        <v>1 hours 37 minutes</v>
      </c>
      <c r="O21" s="39"/>
      <c r="Q21" s="39"/>
      <c r="R21" s="39"/>
      <c r="S21" s="39"/>
    </row>
    <row r="22">
      <c r="E22" s="40"/>
      <c r="F22" s="26"/>
      <c r="G22" s="27"/>
      <c r="H22" s="27"/>
      <c r="I22" s="27"/>
      <c r="J22" s="28"/>
      <c r="K22" s="29"/>
      <c r="O22" s="39"/>
      <c r="Q22" s="39"/>
      <c r="R22" s="39"/>
      <c r="S22" s="39"/>
    </row>
    <row r="23">
      <c r="E23" s="7" t="s">
        <v>17</v>
      </c>
      <c r="F23" s="30"/>
      <c r="G23" s="21"/>
      <c r="H23" s="21"/>
      <c r="I23" s="21"/>
      <c r="J23" s="22"/>
      <c r="K23" s="31"/>
    </row>
    <row r="24">
      <c r="A24" s="10" t="s">
        <v>24</v>
      </c>
      <c r="B24" s="5"/>
      <c r="E24" s="34" t="s">
        <v>42</v>
      </c>
      <c r="F24" s="32">
        <f> B42 / 1.7</f>
        <v>8.359387591</v>
      </c>
      <c r="G24" s="33"/>
      <c r="H24" s="34">
        <v>150.0</v>
      </c>
      <c r="I24" s="33"/>
      <c r="J24" s="33">
        <f>IF(F24/N7 &gt; 1, ((F24/N7)*N3)+((H24/N11)*(F24/N7))+(N15*((F24/N7)-1)), ((F24/N7)*N3)+((H24/N11)*(F24/N7))+(N15*(F24/N7)))</f>
        <v>0.6130774859</v>
      </c>
      <c r="K24" s="24" t="str">
        <f>INT(J24) &amp; " hours " &amp; ROUND((J24-INT(J24))*60, 0) &amp; " minutes"</f>
        <v>0 hours 37 minutes</v>
      </c>
      <c r="M24" s="74"/>
      <c r="O24" s="74"/>
    </row>
    <row r="25">
      <c r="A25" s="8" t="s">
        <v>4</v>
      </c>
      <c r="B25" s="9"/>
      <c r="M25" s="74"/>
      <c r="O25" s="74"/>
    </row>
    <row r="26">
      <c r="A26" s="23" t="s">
        <v>40</v>
      </c>
      <c r="B26" s="13">
        <f t="shared" ref="B26:B27" si="9"> B5/365</f>
        <v>298.4520548</v>
      </c>
      <c r="M26" s="74"/>
      <c r="O26" s="74"/>
    </row>
    <row r="27">
      <c r="A27" s="66" t="s">
        <v>42</v>
      </c>
      <c r="B27" s="36">
        <f t="shared" si="9"/>
        <v>33.16164384</v>
      </c>
      <c r="E27" s="10" t="s">
        <v>43</v>
      </c>
      <c r="F27" s="5"/>
      <c r="H27" s="42" t="s">
        <v>27</v>
      </c>
      <c r="I27" s="11"/>
      <c r="J27" s="11"/>
      <c r="K27" s="5"/>
      <c r="M27" s="74"/>
      <c r="N27" s="74"/>
      <c r="O27" s="74"/>
    </row>
    <row r="28">
      <c r="A28" s="72"/>
      <c r="B28" s="82"/>
      <c r="E28" s="41" t="s">
        <v>26</v>
      </c>
      <c r="F28" s="17"/>
      <c r="H28" s="44" t="s">
        <v>29</v>
      </c>
      <c r="I28" s="11"/>
      <c r="J28" s="5"/>
      <c r="K28" s="45">
        <f>SUM(J8,J12,J16,J20,J24,F33)</f>
        <v>26.71164844</v>
      </c>
    </row>
    <row r="29">
      <c r="A29" s="75" t="s">
        <v>16</v>
      </c>
      <c r="B29" s="32"/>
      <c r="E29" s="43" t="s">
        <v>44</v>
      </c>
      <c r="F29" s="83">
        <v>8645.0</v>
      </c>
      <c r="H29" s="46" t="s">
        <v>31</v>
      </c>
      <c r="I29" s="47"/>
      <c r="J29" s="48"/>
      <c r="K29" s="49">
        <f>SUM(J9,J13,J17,J21)</f>
        <v>27.31514891</v>
      </c>
    </row>
    <row r="30">
      <c r="A30" s="23" t="s">
        <v>40</v>
      </c>
      <c r="B30" s="13">
        <f t="shared" ref="B30:B31" si="10"> B9/365</f>
        <v>405.0410959</v>
      </c>
      <c r="E30" s="43" t="s">
        <v>45</v>
      </c>
      <c r="F30" s="17">
        <f>ROUND(F29/365,0)</f>
        <v>24</v>
      </c>
      <c r="H30" s="50"/>
      <c r="I30" s="51"/>
      <c r="J30" s="51"/>
      <c r="K30" s="52"/>
    </row>
    <row r="31">
      <c r="A31" s="66" t="s">
        <v>42</v>
      </c>
      <c r="B31" s="36">
        <f t="shared" si="10"/>
        <v>45.00547945</v>
      </c>
      <c r="E31" s="43" t="s">
        <v>32</v>
      </c>
      <c r="F31" s="17">
        <f>ROUND(F30/1.7,0)</f>
        <v>14</v>
      </c>
      <c r="H31" s="53"/>
      <c r="I31" s="54"/>
      <c r="J31" s="54"/>
      <c r="K31" s="55"/>
    </row>
    <row r="32">
      <c r="A32" s="72"/>
      <c r="B32" s="82"/>
      <c r="E32" s="43" t="s">
        <v>33</v>
      </c>
      <c r="F32" s="12">
        <v>105.0</v>
      </c>
      <c r="H32" s="56"/>
      <c r="I32" s="57"/>
      <c r="J32" s="57"/>
      <c r="K32" s="55"/>
    </row>
    <row r="33">
      <c r="A33" s="75" t="s">
        <v>18</v>
      </c>
      <c r="B33" s="32"/>
      <c r="E33" s="43" t="s">
        <v>34</v>
      </c>
      <c r="F33" s="17">
        <f>IF(F31/N7 &gt; 1, ((F31/N7)*N3)+((F32/N11)*(F31/N7))+(N15*((F31/N7)-1)), ((F31/N7)*N3)+((F32/N11)*(F31/N7))+(N3*(F31/N7)))</f>
        <v>0.868</v>
      </c>
      <c r="G33" s="17" t="str">
        <f>INT(F33) &amp; " hours " &amp; ROUND((F33-INT(F33))*60, 0) &amp; " minutes"</f>
        <v>0 hours 52 minutes</v>
      </c>
      <c r="H33" s="59" t="s">
        <v>46</v>
      </c>
      <c r="I33" s="60"/>
      <c r="J33" s="56">
        <f>SUM(MULTIPLY(F8,H8),MULTIPLY(F9,H9),MULTIPLY(F12,H12),MULTIPLY(F13,H13),MULTIPLY(F16,H16),MULTIPLY(F17,H17),MULTIPLY(F20,H20),MULTIPLY(F21,H21),MULTIPLY(F24,H24),MULTIPLY(F31,F32))</f>
        <v>54925.17325</v>
      </c>
      <c r="K33" s="84"/>
    </row>
    <row r="34">
      <c r="A34" s="23" t="s">
        <v>40</v>
      </c>
      <c r="B34" s="13">
        <f t="shared" ref="B34:B35" si="11"> B13/365</f>
        <v>181.2027397</v>
      </c>
      <c r="G34" s="85"/>
      <c r="H34" s="46" t="s">
        <v>47</v>
      </c>
      <c r="I34" s="48"/>
      <c r="J34" s="62">
        <f>SUM(F8,F9,F12,F13,F16,F17,F20,F21,F24,F31)</f>
        <v>635.4262691</v>
      </c>
      <c r="K34" s="55"/>
    </row>
    <row r="35">
      <c r="A35" s="66" t="s">
        <v>42</v>
      </c>
      <c r="B35" s="36">
        <f t="shared" si="11"/>
        <v>20.13424658</v>
      </c>
      <c r="H35" s="86"/>
      <c r="I35" s="87"/>
      <c r="J35" s="87"/>
      <c r="K35" s="58"/>
    </row>
    <row r="36">
      <c r="A36" s="72"/>
      <c r="B36" s="82"/>
      <c r="H36" s="59" t="s">
        <v>48</v>
      </c>
      <c r="I36" s="88"/>
      <c r="J36" s="60"/>
      <c r="K36" s="61">
        <f>DIVIDE(J33,J34)</f>
        <v>86.43831065</v>
      </c>
    </row>
    <row r="37">
      <c r="A37" s="75" t="s">
        <v>20</v>
      </c>
      <c r="B37" s="32"/>
    </row>
    <row r="38">
      <c r="A38" s="23" t="s">
        <v>40</v>
      </c>
      <c r="B38" s="13">
        <f t="shared" ref="B38:B39" si="12"> B17/365</f>
        <v>53.29589041</v>
      </c>
      <c r="H38" s="42" t="s">
        <v>49</v>
      </c>
      <c r="I38" s="11"/>
      <c r="J38" s="11"/>
      <c r="K38" s="5"/>
    </row>
    <row r="39">
      <c r="A39" s="66" t="s">
        <v>42</v>
      </c>
      <c r="B39" s="36">
        <f t="shared" si="12"/>
        <v>5.920547945</v>
      </c>
      <c r="H39" s="44" t="s">
        <v>29</v>
      </c>
      <c r="I39" s="11"/>
      <c r="J39" s="5"/>
      <c r="K39" s="45">
        <f>SUM(
    IF(F8/N7 &gt; 1, ((F8/N7)*N3)+(N15*((F8/N7)-1)), ((F8/N7)*N3)+(N15*((F8/N7)))),
    IF(F12/N7 &gt; 1, ((F12/N7)*N3)+(N15*((F12/N7)-1)), ((F12/N7)*N3)+(N15*((F12/N7)))),
    IF(F16/N7 &gt; 1, ((F16/N7)*N3)+(N15*((F16/N7)-1)), ((F16/N7)*N3)+(N15*((F16/N7)))),
    IF(F20/N7 &gt; 1, ((F20/N7)*N3)+(N15*((F20/N7)-1)), ((F20/N7)*N3)+(N15*((F20/N7)))),
IF(F31/N7 &gt; 1, ((F31/N7)*N3)+(N15*((F31/N7)-1)) , ((F31/N7)*N3)+(N15*((F31/N7))) )
)</f>
        <v>7.04623668</v>
      </c>
      <c r="L39" s="45" t="str">
        <f t="shared" ref="L39:L40" si="13">INT(K39) &amp; " hours " &amp; ROUND((K39-INT(K39))*60, 0) &amp; " minutes"</f>
        <v>7 hours 3 minutes</v>
      </c>
    </row>
    <row r="40">
      <c r="A40" s="77"/>
      <c r="B40" s="82"/>
      <c r="H40" s="44" t="s">
        <v>31</v>
      </c>
      <c r="I40" s="11"/>
      <c r="J40" s="5"/>
      <c r="K40" s="45">
        <f>SUM(
IF(F9/N8 &gt; 1,((F9/N8)*N4)+(N15*((F9/N8)-1)),((F9/N8)*N4)+(N15*((F9/N8)))),
IF(F13/N8 &gt; 1, ((F13/N8)*N4)+(N15*((F13/N8)-1)), ((F13/N8)*N4)+(N15*((F13/N8)))),
IF(F17/N8 &gt; 1, ((F17/N8)*N4)+(N15*((F17/N8)-1)), ((F17/N8)*N4)+(N15*((F17/N8)))),
IF(F21/N8 &gt; 1, ((F21/N8)*N4)+(N15*((F21/N8)-1)), ((F21/N8)*N4)+(N15*(F21/N8))),
IF(F24/N8&gt;  1, ((F24/N8)*N4)+(N15*((F24/N8)-1)), ((F24/N8)*N4)++(N15*(F24/N8)))
)</f>
        <v>2.425188074</v>
      </c>
      <c r="L40" s="45" t="str">
        <f t="shared" si="13"/>
        <v>2 hours 26 minutes</v>
      </c>
    </row>
    <row r="41">
      <c r="A41" s="81" t="s">
        <v>17</v>
      </c>
      <c r="B41" s="32"/>
    </row>
    <row r="42">
      <c r="A42" s="12" t="s">
        <v>42</v>
      </c>
      <c r="B42" s="13">
        <f> B21/365</f>
        <v>14.2109589</v>
      </c>
    </row>
  </sheetData>
  <mergeCells count="17">
    <mergeCell ref="M2:N2"/>
    <mergeCell ref="A3:B3"/>
    <mergeCell ref="E3:G3"/>
    <mergeCell ref="E4:G4"/>
    <mergeCell ref="E5:G5"/>
    <mergeCell ref="P19:P26"/>
    <mergeCell ref="A24:B24"/>
    <mergeCell ref="H38:K38"/>
    <mergeCell ref="H39:J39"/>
    <mergeCell ref="H40:J40"/>
    <mergeCell ref="E27:F27"/>
    <mergeCell ref="H27:K27"/>
    <mergeCell ref="H28:J28"/>
    <mergeCell ref="H29:J29"/>
    <mergeCell ref="H33:I33"/>
    <mergeCell ref="H34:I34"/>
    <mergeCell ref="H36:J36"/>
  </mergeCells>
  <conditionalFormatting sqref="H5:J5">
    <cfRule type="notContainsBlanks" dxfId="0" priority="1">
      <formula>LEN(TRIM(H5))&gt;0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75"/>
    <col customWidth="1" min="2" max="2" width="20.88"/>
    <col customWidth="1" min="3" max="3" width="18.0"/>
    <col customWidth="1" min="4" max="4" width="17.13"/>
    <col customWidth="1" min="5" max="5" width="43.75"/>
    <col customWidth="1" min="6" max="6" width="126.0"/>
  </cols>
  <sheetData>
    <row r="1">
      <c r="B1" s="74" t="s">
        <v>50</v>
      </c>
      <c r="C1" s="74" t="s">
        <v>51</v>
      </c>
      <c r="D1" s="74" t="s">
        <v>52</v>
      </c>
      <c r="E1" s="74" t="s">
        <v>53</v>
      </c>
    </row>
    <row r="2">
      <c r="A2" s="74" t="s">
        <v>54</v>
      </c>
      <c r="B2" s="74">
        <v>3.9</v>
      </c>
      <c r="C2" s="89">
        <v>0.8</v>
      </c>
      <c r="D2" s="74">
        <v>17.0</v>
      </c>
      <c r="E2" s="74">
        <v>2600.0</v>
      </c>
    </row>
    <row r="3">
      <c r="A3" s="90" t="s">
        <v>55</v>
      </c>
      <c r="B3" s="74">
        <v>1.0</v>
      </c>
      <c r="C3" s="89">
        <v>0.04</v>
      </c>
      <c r="D3" s="74">
        <v>13.0</v>
      </c>
      <c r="E3" s="74">
        <v>2600.0</v>
      </c>
    </row>
    <row r="4">
      <c r="A4" s="74" t="s">
        <v>56</v>
      </c>
      <c r="B4" s="74">
        <v>1.2</v>
      </c>
      <c r="C4" s="74">
        <v>0.0</v>
      </c>
      <c r="D4" s="74">
        <v>7.0</v>
      </c>
      <c r="E4" s="74">
        <v>2600.0</v>
      </c>
      <c r="F4" s="74" t="s">
        <v>57</v>
      </c>
    </row>
    <row r="5">
      <c r="A5" s="74" t="s">
        <v>58</v>
      </c>
      <c r="B5" s="74">
        <v>0.13</v>
      </c>
      <c r="C5" s="74">
        <v>0.06</v>
      </c>
      <c r="D5" s="74">
        <v>0.9</v>
      </c>
      <c r="E5" s="74">
        <v>2600.0</v>
      </c>
      <c r="F5" s="74" t="s">
        <v>59</v>
      </c>
    </row>
    <row r="6">
      <c r="A6" s="74"/>
      <c r="B6" s="74"/>
      <c r="C6" s="74"/>
      <c r="D6" s="74"/>
      <c r="F6" s="74" t="s">
        <v>60</v>
      </c>
    </row>
    <row r="7">
      <c r="A7" s="90" t="s">
        <v>61</v>
      </c>
      <c r="B7" s="74">
        <f t="shared" ref="B7:B10" si="1"> ROUND((0.32 * B2) / 26, 1-INT(LOG10(ABS(0.32 * B2 / 26))))</f>
        <v>0.048</v>
      </c>
      <c r="C7" s="74">
        <f t="shared" ref="C7:C8" si="2"> ROUND(0.32 * C2/26, 1-INT(LOG10(ABS(0.32 * C2 /26))))</f>
        <v>0.0098</v>
      </c>
      <c r="D7" s="74">
        <f t="shared" ref="D7:D10" si="3"> ROUND(0.32 * D2/ 26, 1-INT(LOG10(ABS(0.32 * D2 /26))))</f>
        <v>0.21</v>
      </c>
      <c r="E7" s="74">
        <v>32.0</v>
      </c>
      <c r="F7" s="74" t="s">
        <v>62</v>
      </c>
    </row>
    <row r="8">
      <c r="A8" s="90" t="s">
        <v>63</v>
      </c>
      <c r="B8" s="74">
        <f t="shared" si="1"/>
        <v>0.012</v>
      </c>
      <c r="C8" s="74">
        <f t="shared" si="2"/>
        <v>0.00049</v>
      </c>
      <c r="D8" s="74">
        <f t="shared" si="3"/>
        <v>0.16</v>
      </c>
      <c r="E8" s="74">
        <v>32.0</v>
      </c>
      <c r="F8" s="74" t="s">
        <v>64</v>
      </c>
    </row>
    <row r="9">
      <c r="A9" s="90" t="s">
        <v>65</v>
      </c>
      <c r="B9" s="74">
        <f t="shared" si="1"/>
        <v>0.015</v>
      </c>
      <c r="C9" s="74">
        <v>0.0</v>
      </c>
      <c r="D9" s="74">
        <f t="shared" si="3"/>
        <v>0.086</v>
      </c>
      <c r="E9" s="74">
        <v>32.0</v>
      </c>
      <c r="F9" s="74" t="s">
        <v>66</v>
      </c>
    </row>
    <row r="10">
      <c r="A10" s="90" t="s">
        <v>67</v>
      </c>
      <c r="B10" s="74">
        <f t="shared" si="1"/>
        <v>0.0016</v>
      </c>
      <c r="C10" s="74">
        <f> ROUND(0.32 * C5/26, 1-INT(LOG10(ABS(0.32 * C5 /26))))</f>
        <v>0.00074</v>
      </c>
      <c r="D10" s="74">
        <f t="shared" si="3"/>
        <v>0.011</v>
      </c>
      <c r="E10" s="74">
        <v>32.0</v>
      </c>
      <c r="F10" s="74" t="s">
        <v>68</v>
      </c>
    </row>
    <row r="11">
      <c r="A11" s="74"/>
      <c r="E11" s="74"/>
      <c r="F11" s="90" t="s">
        <v>69</v>
      </c>
    </row>
    <row r="12">
      <c r="A12" s="74" t="s">
        <v>70</v>
      </c>
      <c r="B12" s="91">
        <f> ROUND( CO_EF() /26, 1-INT(LOG10(ABS( CO_EF() /26))))</f>
        <v>0.11</v>
      </c>
      <c r="C12" s="91">
        <f> ROUND( (1.45*10^-3*0+1.68*10^-1) / 26, 1-INT(LOG10(ABS((1.45*10^-3*0+1.68*10^-1) / 26))))</f>
        <v>0.0065</v>
      </c>
      <c r="D12" s="91">
        <f> ROUND(2.86*10^-3*0+0.43 / 26, 1-INT(LOG10(ABS( 2.86*10^-3*0+0.43 / 26)))) </f>
        <v>0.017</v>
      </c>
      <c r="E12" s="74">
        <v>32.0</v>
      </c>
      <c r="F12" s="74" t="s">
        <v>71</v>
      </c>
    </row>
    <row r="13">
      <c r="A13" s="74"/>
      <c r="F13" s="74" t="s">
        <v>72</v>
      </c>
    </row>
    <row r="14">
      <c r="A14" s="90" t="s">
        <v>73</v>
      </c>
      <c r="B14" s="92">
        <f> ROUND(CO_EF_20_YEARS()/26, 1-INT(LOG10(ABS(CO_EF_20_YEARS()/26)))) </f>
        <v>0.23</v>
      </c>
      <c r="C14" s="91">
        <f> ROUND((1.45*10^-3*233.2+1.68*10^-1)/26, 1-INT(LOG10(ABS((1.45*10^-3*233.2+1.68*10^-1)/26))))
</f>
        <v>0.019</v>
      </c>
      <c r="D14" s="91">
        <f>ROUND((2.86*10^-3*233.2+0.43)/26, 1-INT(LOG10(ABS((2.86*10^-3*233.2+0.43)/26))))
</f>
        <v>0.042</v>
      </c>
      <c r="F14" s="74" t="s">
        <v>74</v>
      </c>
    </row>
    <row r="15">
      <c r="A15" s="74"/>
      <c r="F15" s="74" t="s">
        <v>75</v>
      </c>
    </row>
    <row r="16">
      <c r="A16" s="74" t="s">
        <v>76</v>
      </c>
      <c r="B16" s="91">
        <f> ROUND( ((B14-B12)/B12)/ 20, 1-INT(LOG10(ABS( ((B14-B12)/B12)/ 20))))
</f>
        <v>0.055</v>
      </c>
      <c r="C16" s="91">
        <f>ROUND(((C14-C12)/C12)/ 20, 1-INT(LOG10(ABS(((C14-C12)/C12)/ 20))))
</f>
        <v>0.096</v>
      </c>
      <c r="D16" s="91">
        <f> ROUND(((D14-D12)/D12)/ 20, 1-INT(LOG10(ABS(((D14-D12)/D12)/ 20))))
</f>
        <v>0.074</v>
      </c>
      <c r="E16" s="93"/>
      <c r="F16" s="74" t="s">
        <v>72</v>
      </c>
    </row>
    <row r="17">
      <c r="F17" s="74" t="s">
        <v>77</v>
      </c>
    </row>
    <row r="18">
      <c r="A18" s="85" t="s">
        <v>78</v>
      </c>
      <c r="B18" s="74" t="s">
        <v>50</v>
      </c>
      <c r="C18" s="90" t="s">
        <v>51</v>
      </c>
      <c r="D18" s="74" t="s">
        <v>52</v>
      </c>
      <c r="F18" s="74"/>
    </row>
    <row r="19">
      <c r="A19" s="74" t="str">
        <f t="shared" ref="A19:A38" si="4"> "Emissions factor for a " &amp; F19 &amp; " year old truck"
</f>
        <v>Emissions factor for a 1 year old truck</v>
      </c>
      <c r="B19" s="91">
        <f t="shared" ref="B19:B38" si="5">ROUND(0.048 * (1 + 0.05527404844)^F19, 1-INT(LOG10(ABS(0.048 * (1 + 0.05527404844)^F19))))
</f>
        <v>0.051</v>
      </c>
      <c r="C19" s="91">
        <f t="shared" ref="C19:C38" si="6">ROUND(0.0098* (1 + 0.096)^F19, 1-INT(LOG10(ABS(0.0098* (1 + 0.096)^F19))))
</f>
        <v>0.011</v>
      </c>
      <c r="D19" s="94">
        <f t="shared" ref="D19:D38" si="7">ROUND(0.21* (1 + 0.074)^F19, 1-INT(LOG10(ABS(0.21* (1 + 0.074)^F19))))
</f>
        <v>0.23</v>
      </c>
      <c r="E19" s="74">
        <v>32.0</v>
      </c>
      <c r="F19" s="3">
        <v>1.0</v>
      </c>
    </row>
    <row r="20">
      <c r="A20" s="74" t="str">
        <f t="shared" si="4"/>
        <v>Emissions factor for a 2 year old truck</v>
      </c>
      <c r="B20" s="91">
        <f t="shared" si="5"/>
        <v>0.053</v>
      </c>
      <c r="C20" s="91">
        <f t="shared" si="6"/>
        <v>0.012</v>
      </c>
      <c r="D20" s="94">
        <f t="shared" si="7"/>
        <v>0.24</v>
      </c>
      <c r="E20" s="74">
        <v>32.0</v>
      </c>
      <c r="F20" s="3">
        <v>2.0</v>
      </c>
    </row>
    <row r="21">
      <c r="A21" s="74" t="str">
        <f t="shared" si="4"/>
        <v>Emissions factor for a 3 year old truck</v>
      </c>
      <c r="B21" s="91">
        <f t="shared" si="5"/>
        <v>0.056</v>
      </c>
      <c r="C21" s="91">
        <f t="shared" si="6"/>
        <v>0.013</v>
      </c>
      <c r="D21" s="94">
        <f t="shared" si="7"/>
        <v>0.26</v>
      </c>
      <c r="E21" s="74">
        <v>32.0</v>
      </c>
      <c r="F21" s="3">
        <v>3.0</v>
      </c>
    </row>
    <row r="22">
      <c r="A22" s="74" t="str">
        <f t="shared" si="4"/>
        <v>Emissions factor for a 4 year old truck</v>
      </c>
      <c r="B22" s="91">
        <f t="shared" si="5"/>
        <v>0.06</v>
      </c>
      <c r="C22" s="91">
        <f t="shared" si="6"/>
        <v>0.014</v>
      </c>
      <c r="D22" s="94">
        <f t="shared" si="7"/>
        <v>0.28</v>
      </c>
      <c r="E22" s="74">
        <v>32.0</v>
      </c>
      <c r="F22" s="3">
        <v>4.0</v>
      </c>
    </row>
    <row r="23">
      <c r="A23" s="74" t="str">
        <f t="shared" si="4"/>
        <v>Emissions factor for a 5 year old truck</v>
      </c>
      <c r="B23" s="91">
        <f t="shared" si="5"/>
        <v>0.063</v>
      </c>
      <c r="C23" s="91">
        <f t="shared" si="6"/>
        <v>0.015</v>
      </c>
      <c r="D23" s="94">
        <f t="shared" si="7"/>
        <v>0.3</v>
      </c>
      <c r="E23" s="74">
        <v>32.0</v>
      </c>
      <c r="F23" s="3">
        <v>5.0</v>
      </c>
    </row>
    <row r="24">
      <c r="A24" s="74" t="str">
        <f t="shared" si="4"/>
        <v>Emissions factor for a 6 year old truck</v>
      </c>
      <c r="B24" s="91">
        <f t="shared" si="5"/>
        <v>0.066</v>
      </c>
      <c r="C24" s="91">
        <f t="shared" si="6"/>
        <v>0.017</v>
      </c>
      <c r="D24" s="94">
        <f t="shared" si="7"/>
        <v>0.32</v>
      </c>
      <c r="E24" s="74">
        <v>32.0</v>
      </c>
      <c r="F24" s="64">
        <v>6.0</v>
      </c>
    </row>
    <row r="25">
      <c r="A25" s="74" t="str">
        <f t="shared" si="4"/>
        <v>Emissions factor for a 7 year old truck</v>
      </c>
      <c r="B25" s="91">
        <f t="shared" si="5"/>
        <v>0.07</v>
      </c>
      <c r="C25" s="91">
        <f t="shared" si="6"/>
        <v>0.019</v>
      </c>
      <c r="D25" s="94">
        <f t="shared" si="7"/>
        <v>0.35</v>
      </c>
      <c r="E25" s="74">
        <v>32.0</v>
      </c>
      <c r="F25" s="3">
        <v>7.0</v>
      </c>
    </row>
    <row r="26">
      <c r="A26" s="74" t="str">
        <f t="shared" si="4"/>
        <v>Emissions factor for a 8 year old truck</v>
      </c>
      <c r="B26" s="91">
        <f t="shared" si="5"/>
        <v>0.074</v>
      </c>
      <c r="C26" s="91">
        <f t="shared" si="6"/>
        <v>0.02</v>
      </c>
      <c r="D26" s="94">
        <f t="shared" si="7"/>
        <v>0.37</v>
      </c>
      <c r="E26" s="74">
        <v>32.0</v>
      </c>
      <c r="F26" s="3">
        <v>8.0</v>
      </c>
    </row>
    <row r="27">
      <c r="A27" s="74" t="str">
        <f t="shared" si="4"/>
        <v>Emissions factor for a 9 year old truck</v>
      </c>
      <c r="B27" s="91">
        <f t="shared" si="5"/>
        <v>0.078</v>
      </c>
      <c r="C27" s="91">
        <f t="shared" si="6"/>
        <v>0.022</v>
      </c>
      <c r="D27" s="94">
        <f t="shared" si="7"/>
        <v>0.4</v>
      </c>
      <c r="E27" s="74">
        <v>32.0</v>
      </c>
      <c r="F27" s="3">
        <v>9.0</v>
      </c>
    </row>
    <row r="28">
      <c r="A28" s="74" t="str">
        <f t="shared" si="4"/>
        <v>Emissions factor for a 10 year old truck</v>
      </c>
      <c r="B28" s="91">
        <f t="shared" si="5"/>
        <v>0.082</v>
      </c>
      <c r="C28" s="91">
        <f t="shared" si="6"/>
        <v>0.025</v>
      </c>
      <c r="D28" s="94">
        <f t="shared" si="7"/>
        <v>0.43</v>
      </c>
      <c r="E28" s="74">
        <v>32.0</v>
      </c>
      <c r="F28" s="3">
        <v>10.0</v>
      </c>
    </row>
    <row r="29">
      <c r="A29" s="74" t="str">
        <f t="shared" si="4"/>
        <v>Emissions factor for a 11 year old truck</v>
      </c>
      <c r="B29" s="91">
        <f t="shared" si="5"/>
        <v>0.087</v>
      </c>
      <c r="C29" s="91">
        <f t="shared" si="6"/>
        <v>0.027</v>
      </c>
      <c r="D29" s="94">
        <f t="shared" si="7"/>
        <v>0.46</v>
      </c>
      <c r="E29" s="74">
        <v>32.0</v>
      </c>
      <c r="F29" s="3">
        <v>11.0</v>
      </c>
    </row>
    <row r="30">
      <c r="A30" s="74" t="str">
        <f t="shared" si="4"/>
        <v>Emissions factor for a 12 year old truck</v>
      </c>
      <c r="B30" s="91">
        <f t="shared" si="5"/>
        <v>0.092</v>
      </c>
      <c r="C30" s="91">
        <f t="shared" si="6"/>
        <v>0.029</v>
      </c>
      <c r="D30" s="94">
        <f t="shared" si="7"/>
        <v>0.49</v>
      </c>
      <c r="E30" s="74">
        <v>32.0</v>
      </c>
      <c r="F30" s="3">
        <v>12.0</v>
      </c>
    </row>
    <row r="31">
      <c r="A31" s="74" t="str">
        <f t="shared" si="4"/>
        <v>Emissions factor for a 13 year old truck</v>
      </c>
      <c r="B31" s="91">
        <f t="shared" si="5"/>
        <v>0.097</v>
      </c>
      <c r="C31" s="91">
        <f t="shared" si="6"/>
        <v>0.032</v>
      </c>
      <c r="D31" s="94">
        <f t="shared" si="7"/>
        <v>0.53</v>
      </c>
      <c r="E31" s="74">
        <v>32.0</v>
      </c>
      <c r="F31" s="3">
        <v>13.0</v>
      </c>
    </row>
    <row r="32">
      <c r="A32" s="74" t="str">
        <f t="shared" si="4"/>
        <v>Emissions factor for a 14 year old truck</v>
      </c>
      <c r="B32" s="91">
        <f t="shared" si="5"/>
        <v>0.1</v>
      </c>
      <c r="C32" s="91">
        <f t="shared" si="6"/>
        <v>0.035</v>
      </c>
      <c r="D32" s="94">
        <f t="shared" si="7"/>
        <v>0.57</v>
      </c>
      <c r="E32" s="74">
        <v>32.0</v>
      </c>
      <c r="F32" s="3">
        <v>14.0</v>
      </c>
    </row>
    <row r="33">
      <c r="A33" s="74" t="str">
        <f t="shared" si="4"/>
        <v>Emissions factor for a 15 year old truck</v>
      </c>
      <c r="B33" s="91">
        <f t="shared" si="5"/>
        <v>0.11</v>
      </c>
      <c r="C33" s="91">
        <f t="shared" si="6"/>
        <v>0.039</v>
      </c>
      <c r="D33" s="94">
        <f t="shared" si="7"/>
        <v>0.61</v>
      </c>
      <c r="E33" s="74">
        <v>32.0</v>
      </c>
      <c r="F33" s="3">
        <v>15.0</v>
      </c>
    </row>
    <row r="34">
      <c r="A34" s="74" t="str">
        <f t="shared" si="4"/>
        <v>Emissions factor for a 16 year old truck</v>
      </c>
      <c r="B34" s="91">
        <f t="shared" si="5"/>
        <v>0.11</v>
      </c>
      <c r="C34" s="91">
        <f t="shared" si="6"/>
        <v>0.042</v>
      </c>
      <c r="D34" s="94">
        <f t="shared" si="7"/>
        <v>0.66</v>
      </c>
      <c r="E34" s="74">
        <v>32.0</v>
      </c>
      <c r="F34" s="3">
        <v>16.0</v>
      </c>
    </row>
    <row r="35">
      <c r="A35" s="74" t="str">
        <f t="shared" si="4"/>
        <v>Emissions factor for a 17 year old truck</v>
      </c>
      <c r="B35" s="91">
        <f t="shared" si="5"/>
        <v>0.12</v>
      </c>
      <c r="C35" s="91">
        <f t="shared" si="6"/>
        <v>0.047</v>
      </c>
      <c r="D35" s="94">
        <f t="shared" si="7"/>
        <v>0.71</v>
      </c>
      <c r="E35" s="74">
        <v>32.0</v>
      </c>
      <c r="F35" s="3">
        <v>17.0</v>
      </c>
    </row>
    <row r="36">
      <c r="A36" s="74" t="str">
        <f t="shared" si="4"/>
        <v>Emissions factor for a 18 year old truck</v>
      </c>
      <c r="B36" s="91">
        <f t="shared" si="5"/>
        <v>0.13</v>
      </c>
      <c r="C36" s="91">
        <f t="shared" si="6"/>
        <v>0.051</v>
      </c>
      <c r="D36" s="94">
        <f t="shared" si="7"/>
        <v>0.76</v>
      </c>
      <c r="E36" s="74">
        <v>32.0</v>
      </c>
      <c r="F36" s="3">
        <v>18.0</v>
      </c>
    </row>
    <row r="37">
      <c r="A37" s="74" t="str">
        <f t="shared" si="4"/>
        <v>Emissions factor for a 19 year old truck</v>
      </c>
      <c r="B37" s="91">
        <f t="shared" si="5"/>
        <v>0.13</v>
      </c>
      <c r="C37" s="91">
        <f t="shared" si="6"/>
        <v>0.056</v>
      </c>
      <c r="D37" s="94">
        <f t="shared" si="7"/>
        <v>0.82</v>
      </c>
      <c r="E37" s="74">
        <v>32.0</v>
      </c>
      <c r="F37" s="3">
        <v>19.0</v>
      </c>
    </row>
    <row r="38">
      <c r="A38" s="74" t="str">
        <f t="shared" si="4"/>
        <v>Emissions factor for a 20 year old truck</v>
      </c>
      <c r="B38" s="91">
        <f t="shared" si="5"/>
        <v>0.14</v>
      </c>
      <c r="C38" s="91">
        <f t="shared" si="6"/>
        <v>0.061</v>
      </c>
      <c r="D38" s="94">
        <f t="shared" si="7"/>
        <v>0.88</v>
      </c>
      <c r="E38" s="74">
        <v>32.0</v>
      </c>
      <c r="F38" s="3">
        <v>20.0</v>
      </c>
    </row>
    <row r="39">
      <c r="F39" s="3"/>
    </row>
    <row r="40">
      <c r="A40" s="85" t="s">
        <v>79</v>
      </c>
      <c r="B40" s="74" t="s">
        <v>50</v>
      </c>
      <c r="C40" s="90" t="s">
        <v>51</v>
      </c>
      <c r="D40" s="74" t="s">
        <v>52</v>
      </c>
    </row>
    <row r="41">
      <c r="A41" s="74" t="str">
        <f t="shared" ref="A41:A60" si="8"> "Emissions factor for a " &amp;F19  &amp; " year old truck"
</f>
        <v>Emissions factor for a 1 year old truck</v>
      </c>
      <c r="B41" s="91">
        <f t="shared" ref="B41:B60" si="9">ROUND(0.012 * (1 +0.055 )^F19, 1-INT(LOG10(ABS(0.012 * (1 + 0.055)^F19))))
</f>
        <v>0.013</v>
      </c>
      <c r="C41" s="74">
        <f t="shared" ref="C41:C60" si="10">ROUND(0.00049 * (1 +0.096 )^F19, 1-INT(LOG10(ABS(0.00049 * (1 + 0.096)^F19))))
</f>
        <v>0.00054</v>
      </c>
      <c r="D41" s="95">
        <f t="shared" ref="D41:D60" si="11">ROUND(0.16 * (1 + 0.074)^F19, 1-INT(LOG10(ABS(0.16 * (1 + 0.074)^F19))))
</f>
        <v>0.17</v>
      </c>
      <c r="E41" s="74">
        <v>32.0</v>
      </c>
    </row>
    <row r="42">
      <c r="A42" s="74" t="str">
        <f t="shared" si="8"/>
        <v>Emissions factor for a 2 year old truck</v>
      </c>
      <c r="B42" s="91">
        <f t="shared" si="9"/>
        <v>0.013</v>
      </c>
      <c r="C42" s="74">
        <f t="shared" si="10"/>
        <v>0.00059</v>
      </c>
      <c r="D42" s="95">
        <f t="shared" si="11"/>
        <v>0.18</v>
      </c>
      <c r="E42" s="74">
        <v>32.0</v>
      </c>
    </row>
    <row r="43">
      <c r="A43" s="74" t="str">
        <f t="shared" si="8"/>
        <v>Emissions factor for a 3 year old truck</v>
      </c>
      <c r="B43" s="91">
        <f t="shared" si="9"/>
        <v>0.014</v>
      </c>
      <c r="C43" s="74">
        <f t="shared" si="10"/>
        <v>0.00065</v>
      </c>
      <c r="D43" s="95">
        <f t="shared" si="11"/>
        <v>0.2</v>
      </c>
      <c r="E43" s="74">
        <v>32.0</v>
      </c>
    </row>
    <row r="44">
      <c r="A44" s="74" t="str">
        <f t="shared" si="8"/>
        <v>Emissions factor for a 4 year old truck</v>
      </c>
      <c r="B44" s="91">
        <f t="shared" si="9"/>
        <v>0.015</v>
      </c>
      <c r="C44" s="74">
        <f t="shared" si="10"/>
        <v>0.00071</v>
      </c>
      <c r="D44" s="95">
        <f t="shared" si="11"/>
        <v>0.21</v>
      </c>
      <c r="E44" s="74">
        <v>32.0</v>
      </c>
    </row>
    <row r="45">
      <c r="A45" s="74" t="str">
        <f t="shared" si="8"/>
        <v>Emissions factor for a 5 year old truck</v>
      </c>
      <c r="B45" s="91">
        <f t="shared" si="9"/>
        <v>0.016</v>
      </c>
      <c r="C45" s="74">
        <f t="shared" si="10"/>
        <v>0.00077</v>
      </c>
      <c r="D45" s="95">
        <f t="shared" si="11"/>
        <v>0.23</v>
      </c>
      <c r="E45" s="74">
        <v>32.0</v>
      </c>
    </row>
    <row r="46">
      <c r="A46" s="74" t="str">
        <f t="shared" si="8"/>
        <v>Emissions factor for a 6 year old truck</v>
      </c>
      <c r="B46" s="91">
        <f t="shared" si="9"/>
        <v>0.017</v>
      </c>
      <c r="C46" s="74">
        <f t="shared" si="10"/>
        <v>0.00085</v>
      </c>
      <c r="D46" s="95">
        <f t="shared" si="11"/>
        <v>0.25</v>
      </c>
      <c r="E46" s="74">
        <v>32.0</v>
      </c>
    </row>
    <row r="47">
      <c r="A47" s="74" t="str">
        <f t="shared" si="8"/>
        <v>Emissions factor for a 7 year old truck</v>
      </c>
      <c r="B47" s="91">
        <f t="shared" si="9"/>
        <v>0.017</v>
      </c>
      <c r="C47" s="74">
        <f t="shared" si="10"/>
        <v>0.00093</v>
      </c>
      <c r="D47" s="95">
        <f t="shared" si="11"/>
        <v>0.26</v>
      </c>
      <c r="E47" s="74">
        <v>32.0</v>
      </c>
    </row>
    <row r="48">
      <c r="A48" s="74" t="str">
        <f t="shared" si="8"/>
        <v>Emissions factor for a 8 year old truck</v>
      </c>
      <c r="B48" s="91">
        <f t="shared" si="9"/>
        <v>0.018</v>
      </c>
      <c r="C48" s="74">
        <f t="shared" si="10"/>
        <v>0.001</v>
      </c>
      <c r="D48" s="95">
        <f t="shared" si="11"/>
        <v>0.28</v>
      </c>
      <c r="E48" s="74">
        <v>32.0</v>
      </c>
    </row>
    <row r="49">
      <c r="A49" s="74" t="str">
        <f t="shared" si="8"/>
        <v>Emissions factor for a 9 year old truck</v>
      </c>
      <c r="B49" s="91">
        <f t="shared" si="9"/>
        <v>0.019</v>
      </c>
      <c r="C49" s="74">
        <f t="shared" si="10"/>
        <v>0.0011</v>
      </c>
      <c r="D49" s="95">
        <f t="shared" si="11"/>
        <v>0.3</v>
      </c>
      <c r="E49" s="74">
        <v>32.0</v>
      </c>
    </row>
    <row r="50">
      <c r="A50" s="74" t="str">
        <f t="shared" si="8"/>
        <v>Emissions factor for a 10 year old truck</v>
      </c>
      <c r="B50" s="91">
        <f t="shared" si="9"/>
        <v>0.02</v>
      </c>
      <c r="C50" s="74">
        <f t="shared" si="10"/>
        <v>0.0012</v>
      </c>
      <c r="D50" s="95">
        <f t="shared" si="11"/>
        <v>0.33</v>
      </c>
      <c r="E50" s="74">
        <v>32.0</v>
      </c>
    </row>
    <row r="51">
      <c r="A51" s="74" t="str">
        <f t="shared" si="8"/>
        <v>Emissions factor for a 11 year old truck</v>
      </c>
      <c r="B51" s="91">
        <f t="shared" si="9"/>
        <v>0.022</v>
      </c>
      <c r="C51" s="74">
        <f t="shared" si="10"/>
        <v>0.0013</v>
      </c>
      <c r="D51" s="95">
        <f t="shared" si="11"/>
        <v>0.35</v>
      </c>
      <c r="E51" s="74">
        <v>32.0</v>
      </c>
    </row>
    <row r="52">
      <c r="A52" s="74" t="str">
        <f t="shared" si="8"/>
        <v>Emissions factor for a 12 year old truck</v>
      </c>
      <c r="B52" s="91">
        <f t="shared" si="9"/>
        <v>0.023</v>
      </c>
      <c r="C52" s="74">
        <f t="shared" si="10"/>
        <v>0.0015</v>
      </c>
      <c r="D52" s="95">
        <f t="shared" si="11"/>
        <v>0.38</v>
      </c>
      <c r="E52" s="74">
        <v>32.0</v>
      </c>
    </row>
    <row r="53">
      <c r="A53" s="74" t="str">
        <f t="shared" si="8"/>
        <v>Emissions factor for a 13 year old truck</v>
      </c>
      <c r="B53" s="91">
        <f t="shared" si="9"/>
        <v>0.024</v>
      </c>
      <c r="C53" s="74">
        <f t="shared" si="10"/>
        <v>0.0016</v>
      </c>
      <c r="D53" s="95">
        <f t="shared" si="11"/>
        <v>0.4</v>
      </c>
      <c r="E53" s="74">
        <v>32.0</v>
      </c>
    </row>
    <row r="54">
      <c r="A54" s="74" t="str">
        <f t="shared" si="8"/>
        <v>Emissions factor for a 14 year old truck</v>
      </c>
      <c r="B54" s="91">
        <f t="shared" si="9"/>
        <v>0.025</v>
      </c>
      <c r="C54" s="74">
        <f t="shared" si="10"/>
        <v>0.0018</v>
      </c>
      <c r="D54" s="95">
        <f t="shared" si="11"/>
        <v>0.43</v>
      </c>
      <c r="E54" s="74">
        <v>32.0</v>
      </c>
    </row>
    <row r="55">
      <c r="A55" s="74" t="str">
        <f t="shared" si="8"/>
        <v>Emissions factor for a 15 year old truck</v>
      </c>
      <c r="B55" s="91">
        <f t="shared" si="9"/>
        <v>0.027</v>
      </c>
      <c r="C55" s="74">
        <f t="shared" si="10"/>
        <v>0.0019</v>
      </c>
      <c r="D55" s="95">
        <f t="shared" si="11"/>
        <v>0.47</v>
      </c>
      <c r="E55" s="74">
        <v>32.0</v>
      </c>
    </row>
    <row r="56">
      <c r="A56" s="74" t="str">
        <f t="shared" si="8"/>
        <v>Emissions factor for a 16 year old truck</v>
      </c>
      <c r="B56" s="91">
        <f t="shared" si="9"/>
        <v>0.028</v>
      </c>
      <c r="C56" s="74">
        <f t="shared" si="10"/>
        <v>0.0021</v>
      </c>
      <c r="D56" s="95">
        <f t="shared" si="11"/>
        <v>0.5</v>
      </c>
      <c r="E56" s="74">
        <v>32.0</v>
      </c>
    </row>
    <row r="57">
      <c r="A57" s="74" t="str">
        <f t="shared" si="8"/>
        <v>Emissions factor for a 17 year old truck</v>
      </c>
      <c r="B57" s="91">
        <f t="shared" si="9"/>
        <v>0.03</v>
      </c>
      <c r="C57" s="74">
        <f t="shared" si="10"/>
        <v>0.0023</v>
      </c>
      <c r="D57" s="95">
        <f t="shared" si="11"/>
        <v>0.54</v>
      </c>
      <c r="E57" s="74">
        <v>32.0</v>
      </c>
    </row>
    <row r="58">
      <c r="A58" s="74" t="str">
        <f t="shared" si="8"/>
        <v>Emissions factor for a 18 year old truck</v>
      </c>
      <c r="B58" s="91">
        <f t="shared" si="9"/>
        <v>0.031</v>
      </c>
      <c r="C58" s="74">
        <f t="shared" si="10"/>
        <v>0.0026</v>
      </c>
      <c r="D58" s="95">
        <f t="shared" si="11"/>
        <v>0.58</v>
      </c>
      <c r="E58" s="74">
        <v>32.0</v>
      </c>
    </row>
    <row r="59">
      <c r="A59" s="74" t="str">
        <f t="shared" si="8"/>
        <v>Emissions factor for a 19 year old truck</v>
      </c>
      <c r="B59" s="91">
        <f t="shared" si="9"/>
        <v>0.033</v>
      </c>
      <c r="C59" s="74">
        <f t="shared" si="10"/>
        <v>0.0028</v>
      </c>
      <c r="D59" s="95">
        <f t="shared" si="11"/>
        <v>0.62</v>
      </c>
      <c r="E59" s="74">
        <v>32.0</v>
      </c>
    </row>
    <row r="60">
      <c r="A60" s="74" t="str">
        <f t="shared" si="8"/>
        <v>Emissions factor for a 20 year old truck</v>
      </c>
      <c r="B60" s="91">
        <f t="shared" si="9"/>
        <v>0.035</v>
      </c>
      <c r="C60" s="74">
        <f t="shared" si="10"/>
        <v>0.0031</v>
      </c>
      <c r="D60" s="95">
        <f t="shared" si="11"/>
        <v>0.67</v>
      </c>
      <c r="E60" s="74">
        <v>32.0</v>
      </c>
    </row>
    <row r="62">
      <c r="A62" s="96" t="s">
        <v>80</v>
      </c>
      <c r="B62" s="74" t="s">
        <v>50</v>
      </c>
      <c r="C62" s="90" t="s">
        <v>51</v>
      </c>
      <c r="D62" s="74" t="s">
        <v>52</v>
      </c>
    </row>
    <row r="63">
      <c r="A63" s="91" t="str">
        <f t="shared" ref="A63:A82" si="12"> "Emissions factor for a " &amp;F19  &amp; " year old truck"
</f>
        <v>Emissions factor for a 1 year old truck</v>
      </c>
      <c r="B63" s="91">
        <f t="shared" ref="B63:B82" si="13">ROUND(0.015 * (1 +0.055 )^F19, 1-INT(LOG10(ABS(0.015 * (1 + 0.055)^F19))))
</f>
        <v>0.016</v>
      </c>
      <c r="C63" s="91">
        <f t="shared" ref="C63:C82" si="14">0* (1 + 0.1006369048)^F19</f>
        <v>0</v>
      </c>
      <c r="D63" s="94">
        <f t="shared" ref="D63:D82" si="15">ROUND(0.086 * (1 + 0.074)^F19, 1-INT(LOG10(ABS(0.086 * (1 + 0.074)^F19))))
</f>
        <v>0.092</v>
      </c>
      <c r="E63" s="74">
        <v>32.0</v>
      </c>
    </row>
    <row r="64">
      <c r="A64" s="91" t="str">
        <f t="shared" si="12"/>
        <v>Emissions factor for a 2 year old truck</v>
      </c>
      <c r="B64" s="91">
        <f t="shared" si="13"/>
        <v>0.017</v>
      </c>
      <c r="C64" s="91">
        <f t="shared" si="14"/>
        <v>0</v>
      </c>
      <c r="D64" s="94">
        <f t="shared" si="15"/>
        <v>0.099</v>
      </c>
      <c r="E64" s="74">
        <v>32.0</v>
      </c>
    </row>
    <row r="65">
      <c r="A65" s="91" t="str">
        <f t="shared" si="12"/>
        <v>Emissions factor for a 3 year old truck</v>
      </c>
      <c r="B65" s="91">
        <f t="shared" si="13"/>
        <v>0.018</v>
      </c>
      <c r="C65" s="91">
        <f t="shared" si="14"/>
        <v>0</v>
      </c>
      <c r="D65" s="94">
        <f t="shared" si="15"/>
        <v>0.11</v>
      </c>
      <c r="E65" s="74">
        <v>32.0</v>
      </c>
    </row>
    <row r="66">
      <c r="A66" s="91" t="str">
        <f t="shared" si="12"/>
        <v>Emissions factor for a 4 year old truck</v>
      </c>
      <c r="B66" s="91">
        <f t="shared" si="13"/>
        <v>0.019</v>
      </c>
      <c r="C66" s="91">
        <f t="shared" si="14"/>
        <v>0</v>
      </c>
      <c r="D66" s="94">
        <f t="shared" si="15"/>
        <v>0.11</v>
      </c>
      <c r="E66" s="74">
        <v>32.0</v>
      </c>
    </row>
    <row r="67">
      <c r="A67" s="91" t="str">
        <f t="shared" si="12"/>
        <v>Emissions factor for a 5 year old truck</v>
      </c>
      <c r="B67" s="91">
        <f t="shared" si="13"/>
        <v>0.02</v>
      </c>
      <c r="C67" s="91">
        <f t="shared" si="14"/>
        <v>0</v>
      </c>
      <c r="D67" s="94">
        <f t="shared" si="15"/>
        <v>0.12</v>
      </c>
      <c r="E67" s="74">
        <v>32.0</v>
      </c>
    </row>
    <row r="68">
      <c r="A68" s="91" t="str">
        <f t="shared" si="12"/>
        <v>Emissions factor for a 6 year old truck</v>
      </c>
      <c r="B68" s="91">
        <f t="shared" si="13"/>
        <v>0.021</v>
      </c>
      <c r="C68" s="91">
        <f t="shared" si="14"/>
        <v>0</v>
      </c>
      <c r="D68" s="94">
        <f t="shared" si="15"/>
        <v>0.13</v>
      </c>
      <c r="E68" s="74">
        <v>32.0</v>
      </c>
    </row>
    <row r="69">
      <c r="A69" s="91" t="str">
        <f t="shared" si="12"/>
        <v>Emissions factor for a 7 year old truck</v>
      </c>
      <c r="B69" s="91">
        <f t="shared" si="13"/>
        <v>0.022</v>
      </c>
      <c r="C69" s="91">
        <f t="shared" si="14"/>
        <v>0</v>
      </c>
      <c r="D69" s="94">
        <f t="shared" si="15"/>
        <v>0.14</v>
      </c>
      <c r="E69" s="74">
        <v>32.0</v>
      </c>
    </row>
    <row r="70">
      <c r="A70" s="91" t="str">
        <f t="shared" si="12"/>
        <v>Emissions factor for a 8 year old truck</v>
      </c>
      <c r="B70" s="91">
        <f t="shared" si="13"/>
        <v>0.023</v>
      </c>
      <c r="C70" s="91">
        <f t="shared" si="14"/>
        <v>0</v>
      </c>
      <c r="D70" s="94">
        <f t="shared" si="15"/>
        <v>0.15</v>
      </c>
      <c r="E70" s="74">
        <v>32.0</v>
      </c>
    </row>
    <row r="71">
      <c r="A71" s="91" t="str">
        <f t="shared" si="12"/>
        <v>Emissions factor for a 9 year old truck</v>
      </c>
      <c r="B71" s="91">
        <f t="shared" si="13"/>
        <v>0.024</v>
      </c>
      <c r="C71" s="91">
        <f t="shared" si="14"/>
        <v>0</v>
      </c>
      <c r="D71" s="94">
        <f t="shared" si="15"/>
        <v>0.16</v>
      </c>
      <c r="E71" s="74">
        <v>32.0</v>
      </c>
    </row>
    <row r="72">
      <c r="A72" s="91" t="str">
        <f t="shared" si="12"/>
        <v>Emissions factor for a 10 year old truck</v>
      </c>
      <c r="B72" s="91">
        <f t="shared" si="13"/>
        <v>0.026</v>
      </c>
      <c r="C72" s="91">
        <f t="shared" si="14"/>
        <v>0</v>
      </c>
      <c r="D72" s="94">
        <f t="shared" si="15"/>
        <v>0.18</v>
      </c>
      <c r="E72" s="74">
        <v>32.0</v>
      </c>
    </row>
    <row r="73">
      <c r="A73" s="91" t="str">
        <f t="shared" si="12"/>
        <v>Emissions factor for a 11 year old truck</v>
      </c>
      <c r="B73" s="91">
        <f t="shared" si="13"/>
        <v>0.027</v>
      </c>
      <c r="C73" s="91">
        <f t="shared" si="14"/>
        <v>0</v>
      </c>
      <c r="D73" s="94">
        <f t="shared" si="15"/>
        <v>0.19</v>
      </c>
      <c r="E73" s="74">
        <v>32.0</v>
      </c>
    </row>
    <row r="74">
      <c r="A74" s="91" t="str">
        <f t="shared" si="12"/>
        <v>Emissions factor for a 12 year old truck</v>
      </c>
      <c r="B74" s="91">
        <f t="shared" si="13"/>
        <v>0.029</v>
      </c>
      <c r="C74" s="91">
        <f t="shared" si="14"/>
        <v>0</v>
      </c>
      <c r="D74" s="94">
        <f t="shared" si="15"/>
        <v>0.2</v>
      </c>
      <c r="E74" s="74">
        <v>32.0</v>
      </c>
    </row>
    <row r="75">
      <c r="A75" s="91" t="str">
        <f t="shared" si="12"/>
        <v>Emissions factor for a 13 year old truck</v>
      </c>
      <c r="B75" s="91">
        <f t="shared" si="13"/>
        <v>0.03</v>
      </c>
      <c r="C75" s="91">
        <f t="shared" si="14"/>
        <v>0</v>
      </c>
      <c r="D75" s="94">
        <f t="shared" si="15"/>
        <v>0.22</v>
      </c>
      <c r="E75" s="74">
        <v>32.0</v>
      </c>
    </row>
    <row r="76">
      <c r="A76" s="91" t="str">
        <f t="shared" si="12"/>
        <v>Emissions factor for a 14 year old truck</v>
      </c>
      <c r="B76" s="91">
        <f t="shared" si="13"/>
        <v>0.032</v>
      </c>
      <c r="C76" s="91">
        <f t="shared" si="14"/>
        <v>0</v>
      </c>
      <c r="D76" s="94">
        <f t="shared" si="15"/>
        <v>0.23</v>
      </c>
      <c r="E76" s="74">
        <v>32.0</v>
      </c>
    </row>
    <row r="77">
      <c r="A77" s="91" t="str">
        <f t="shared" si="12"/>
        <v>Emissions factor for a 15 year old truck</v>
      </c>
      <c r="B77" s="91">
        <f t="shared" si="13"/>
        <v>0.033</v>
      </c>
      <c r="C77" s="91">
        <f t="shared" si="14"/>
        <v>0</v>
      </c>
      <c r="D77" s="94">
        <f t="shared" si="15"/>
        <v>0.25</v>
      </c>
      <c r="E77" s="74">
        <v>32.0</v>
      </c>
    </row>
    <row r="78">
      <c r="A78" s="91" t="str">
        <f t="shared" si="12"/>
        <v>Emissions factor for a 16 year old truck</v>
      </c>
      <c r="B78" s="91">
        <f t="shared" si="13"/>
        <v>0.035</v>
      </c>
      <c r="C78" s="91">
        <f t="shared" si="14"/>
        <v>0</v>
      </c>
      <c r="D78" s="94">
        <f t="shared" si="15"/>
        <v>0.27</v>
      </c>
      <c r="E78" s="74">
        <v>32.0</v>
      </c>
    </row>
    <row r="79">
      <c r="A79" s="91" t="str">
        <f t="shared" si="12"/>
        <v>Emissions factor for a 17 year old truck</v>
      </c>
      <c r="B79" s="91">
        <f t="shared" si="13"/>
        <v>0.037</v>
      </c>
      <c r="C79" s="91">
        <f t="shared" si="14"/>
        <v>0</v>
      </c>
      <c r="D79" s="94">
        <f t="shared" si="15"/>
        <v>0.29</v>
      </c>
      <c r="E79" s="74">
        <v>32.0</v>
      </c>
    </row>
    <row r="80">
      <c r="A80" s="91" t="str">
        <f t="shared" si="12"/>
        <v>Emissions factor for a 18 year old truck</v>
      </c>
      <c r="B80" s="91">
        <f t="shared" si="13"/>
        <v>0.039</v>
      </c>
      <c r="C80" s="91">
        <f t="shared" si="14"/>
        <v>0</v>
      </c>
      <c r="D80" s="94">
        <f t="shared" si="15"/>
        <v>0.31</v>
      </c>
      <c r="E80" s="74">
        <v>32.0</v>
      </c>
    </row>
    <row r="81">
      <c r="A81" s="91" t="str">
        <f t="shared" si="12"/>
        <v>Emissions factor for a 19 year old truck</v>
      </c>
      <c r="B81" s="91">
        <f t="shared" si="13"/>
        <v>0.041</v>
      </c>
      <c r="C81" s="91">
        <f t="shared" si="14"/>
        <v>0</v>
      </c>
      <c r="D81" s="94">
        <f t="shared" si="15"/>
        <v>0.33</v>
      </c>
      <c r="E81" s="74">
        <v>32.0</v>
      </c>
    </row>
    <row r="82">
      <c r="A82" s="91" t="str">
        <f t="shared" si="12"/>
        <v>Emissions factor for a 20 year old truck</v>
      </c>
      <c r="B82" s="91">
        <f t="shared" si="13"/>
        <v>0.044</v>
      </c>
      <c r="C82" s="91">
        <f t="shared" si="14"/>
        <v>0</v>
      </c>
      <c r="D82" s="94">
        <f t="shared" si="15"/>
        <v>0.36</v>
      </c>
      <c r="E82" s="74">
        <v>32.0</v>
      </c>
    </row>
    <row r="84">
      <c r="A84" s="96" t="s">
        <v>81</v>
      </c>
    </row>
    <row r="85">
      <c r="A85" s="90" t="str">
        <f t="shared" ref="A85:A104" si="16"> "Emissions factor for a " &amp;F19  &amp; " year old truck"
</f>
        <v>Emissions factor for a 1 year old truck</v>
      </c>
      <c r="B85" s="91">
        <f t="shared" ref="B85:B104" si="17">ROUND( 0.0016 * (1 + 0.05527404844)^F19, 1-INT(LOG10(ABS( 0.0016 * (1 + 0.05527404844)^F19))))
</f>
        <v>0.0017</v>
      </c>
      <c r="C85" s="91">
        <f t="shared" ref="C85:C104" si="18">ROUND(0.00074* (1 + 0.096)^F19, 1-INT(LOG10(ABS(0.00074* (1 + 0.096)^F19))))
</f>
        <v>0.00081</v>
      </c>
      <c r="D85" s="91">
        <f t="shared" ref="D85:D104" si="19">ROUND(0.011 * (1 + 0.074)^F19, 1-INT(LOG10(ABS(0.011 * (1 + 0.074)^F19))))
</f>
        <v>0.012</v>
      </c>
      <c r="E85" s="74">
        <v>32.0</v>
      </c>
    </row>
    <row r="86">
      <c r="A86" s="90" t="str">
        <f t="shared" si="16"/>
        <v>Emissions factor for a 2 year old truck</v>
      </c>
      <c r="B86" s="91">
        <f t="shared" si="17"/>
        <v>0.0018</v>
      </c>
      <c r="C86" s="91">
        <f t="shared" si="18"/>
        <v>0.00089</v>
      </c>
      <c r="D86" s="91">
        <f t="shared" si="19"/>
        <v>0.013</v>
      </c>
      <c r="E86" s="74">
        <v>32.0</v>
      </c>
    </row>
    <row r="87">
      <c r="A87" s="90" t="str">
        <f t="shared" si="16"/>
        <v>Emissions factor for a 3 year old truck</v>
      </c>
      <c r="B87" s="91">
        <f t="shared" si="17"/>
        <v>0.0019</v>
      </c>
      <c r="C87" s="91">
        <f t="shared" si="18"/>
        <v>0.00097</v>
      </c>
      <c r="D87" s="91">
        <f t="shared" si="19"/>
        <v>0.014</v>
      </c>
      <c r="E87" s="74">
        <v>32.0</v>
      </c>
    </row>
    <row r="88">
      <c r="A88" s="90" t="str">
        <f t="shared" si="16"/>
        <v>Emissions factor for a 4 year old truck</v>
      </c>
      <c r="B88" s="91">
        <f t="shared" si="17"/>
        <v>0.002</v>
      </c>
      <c r="C88" s="91">
        <f t="shared" si="18"/>
        <v>0.0011</v>
      </c>
      <c r="D88" s="91">
        <f t="shared" si="19"/>
        <v>0.015</v>
      </c>
      <c r="E88" s="74">
        <v>32.0</v>
      </c>
    </row>
    <row r="89">
      <c r="A89" s="90" t="str">
        <f t="shared" si="16"/>
        <v>Emissions factor for a 5 year old truck</v>
      </c>
      <c r="B89" s="91">
        <f t="shared" si="17"/>
        <v>0.0021</v>
      </c>
      <c r="C89" s="91">
        <f t="shared" si="18"/>
        <v>0.0012</v>
      </c>
      <c r="D89" s="91">
        <f t="shared" si="19"/>
        <v>0.016</v>
      </c>
      <c r="E89" s="74">
        <v>32.0</v>
      </c>
    </row>
    <row r="90">
      <c r="A90" s="90" t="str">
        <f t="shared" si="16"/>
        <v>Emissions factor for a 6 year old truck</v>
      </c>
      <c r="B90" s="91">
        <f t="shared" si="17"/>
        <v>0.0022</v>
      </c>
      <c r="C90" s="91">
        <f t="shared" si="18"/>
        <v>0.0013</v>
      </c>
      <c r="D90" s="91">
        <f t="shared" si="19"/>
        <v>0.017</v>
      </c>
      <c r="E90" s="74">
        <v>32.0</v>
      </c>
    </row>
    <row r="91">
      <c r="A91" s="90" t="str">
        <f t="shared" si="16"/>
        <v>Emissions factor for a 7 year old truck</v>
      </c>
      <c r="B91" s="91">
        <f t="shared" si="17"/>
        <v>0.0023</v>
      </c>
      <c r="C91" s="91">
        <f t="shared" si="18"/>
        <v>0.0014</v>
      </c>
      <c r="D91" s="91">
        <f t="shared" si="19"/>
        <v>0.018</v>
      </c>
      <c r="E91" s="74">
        <v>32.0</v>
      </c>
    </row>
    <row r="92">
      <c r="A92" s="90" t="str">
        <f t="shared" si="16"/>
        <v>Emissions factor for a 8 year old truck</v>
      </c>
      <c r="B92" s="91">
        <f t="shared" si="17"/>
        <v>0.0025</v>
      </c>
      <c r="C92" s="91">
        <f t="shared" si="18"/>
        <v>0.0015</v>
      </c>
      <c r="D92" s="91">
        <f t="shared" si="19"/>
        <v>0.019</v>
      </c>
      <c r="E92" s="74">
        <v>32.0</v>
      </c>
    </row>
    <row r="93">
      <c r="A93" s="90" t="str">
        <f t="shared" si="16"/>
        <v>Emissions factor for a 9 year old truck</v>
      </c>
      <c r="B93" s="91">
        <f t="shared" si="17"/>
        <v>0.0026</v>
      </c>
      <c r="C93" s="91">
        <f t="shared" si="18"/>
        <v>0.0017</v>
      </c>
      <c r="D93" s="91">
        <f t="shared" si="19"/>
        <v>0.021</v>
      </c>
      <c r="E93" s="74">
        <v>32.0</v>
      </c>
    </row>
    <row r="94">
      <c r="A94" s="90" t="str">
        <f t="shared" si="16"/>
        <v>Emissions factor for a 10 year old truck</v>
      </c>
      <c r="B94" s="91">
        <f t="shared" si="17"/>
        <v>0.0027</v>
      </c>
      <c r="C94" s="91">
        <f t="shared" si="18"/>
        <v>0.0019</v>
      </c>
      <c r="D94" s="91">
        <f t="shared" si="19"/>
        <v>0.022</v>
      </c>
      <c r="E94" s="74">
        <v>32.0</v>
      </c>
    </row>
    <row r="95">
      <c r="A95" s="90" t="str">
        <f t="shared" si="16"/>
        <v>Emissions factor for a 11 year old truck</v>
      </c>
      <c r="B95" s="91">
        <f t="shared" si="17"/>
        <v>0.0029</v>
      </c>
      <c r="C95" s="91">
        <f t="shared" si="18"/>
        <v>0.002</v>
      </c>
      <c r="D95" s="91">
        <f t="shared" si="19"/>
        <v>0.024</v>
      </c>
      <c r="E95" s="74">
        <v>32.0</v>
      </c>
    </row>
    <row r="96">
      <c r="A96" s="90" t="str">
        <f t="shared" si="16"/>
        <v>Emissions factor for a 12 year old truck</v>
      </c>
      <c r="B96" s="91">
        <f t="shared" si="17"/>
        <v>0.0031</v>
      </c>
      <c r="C96" s="91">
        <f t="shared" si="18"/>
        <v>0.0022</v>
      </c>
      <c r="D96" s="91">
        <f t="shared" si="19"/>
        <v>0.026</v>
      </c>
      <c r="E96" s="74">
        <v>32.0</v>
      </c>
    </row>
    <row r="97">
      <c r="A97" s="90" t="str">
        <f t="shared" si="16"/>
        <v>Emissions factor for a 13 year old truck</v>
      </c>
      <c r="B97" s="91">
        <f t="shared" si="17"/>
        <v>0.0032</v>
      </c>
      <c r="C97" s="91">
        <f t="shared" si="18"/>
        <v>0.0024</v>
      </c>
      <c r="D97" s="91">
        <f t="shared" si="19"/>
        <v>0.028</v>
      </c>
      <c r="E97" s="74">
        <v>32.0</v>
      </c>
    </row>
    <row r="98">
      <c r="A98" s="90" t="str">
        <f t="shared" si="16"/>
        <v>Emissions factor for a 14 year old truck</v>
      </c>
      <c r="B98" s="91">
        <f t="shared" si="17"/>
        <v>0.0034</v>
      </c>
      <c r="C98" s="91">
        <f t="shared" si="18"/>
        <v>0.0027</v>
      </c>
      <c r="D98" s="91">
        <f t="shared" si="19"/>
        <v>0.03</v>
      </c>
      <c r="E98" s="74">
        <v>32.0</v>
      </c>
    </row>
    <row r="99">
      <c r="A99" s="90" t="str">
        <f t="shared" si="16"/>
        <v>Emissions factor for a 15 year old truck</v>
      </c>
      <c r="B99" s="91">
        <f t="shared" si="17"/>
        <v>0.0036</v>
      </c>
      <c r="C99" s="91">
        <f t="shared" si="18"/>
        <v>0.0029</v>
      </c>
      <c r="D99" s="91">
        <f t="shared" si="19"/>
        <v>0.032</v>
      </c>
      <c r="E99" s="74">
        <v>32.0</v>
      </c>
    </row>
    <row r="100">
      <c r="A100" s="90" t="str">
        <f t="shared" si="16"/>
        <v>Emissions factor for a 16 year old truck</v>
      </c>
      <c r="B100" s="91">
        <f t="shared" si="17"/>
        <v>0.0038</v>
      </c>
      <c r="C100" s="91">
        <f t="shared" si="18"/>
        <v>0.0032</v>
      </c>
      <c r="D100" s="91">
        <f t="shared" si="19"/>
        <v>0.034</v>
      </c>
      <c r="E100" s="74">
        <v>32.0</v>
      </c>
    </row>
    <row r="101">
      <c r="A101" s="90" t="str">
        <f t="shared" si="16"/>
        <v>Emissions factor for a 17 year old truck</v>
      </c>
      <c r="B101" s="91">
        <f t="shared" si="17"/>
        <v>0.004</v>
      </c>
      <c r="C101" s="91">
        <f t="shared" si="18"/>
        <v>0.0035</v>
      </c>
      <c r="D101" s="91">
        <f t="shared" si="19"/>
        <v>0.037</v>
      </c>
      <c r="E101" s="74">
        <v>32.0</v>
      </c>
    </row>
    <row r="102">
      <c r="A102" s="90" t="str">
        <f t="shared" si="16"/>
        <v>Emissions factor for a 18 year old truck</v>
      </c>
      <c r="B102" s="91">
        <f t="shared" si="17"/>
        <v>0.0042</v>
      </c>
      <c r="C102" s="91">
        <f t="shared" si="18"/>
        <v>0.0039</v>
      </c>
      <c r="D102" s="91">
        <f t="shared" si="19"/>
        <v>0.04</v>
      </c>
      <c r="E102" s="74">
        <v>32.0</v>
      </c>
    </row>
    <row r="103">
      <c r="A103" s="90" t="str">
        <f t="shared" si="16"/>
        <v>Emissions factor for a 19 year old truck</v>
      </c>
      <c r="B103" s="91">
        <f t="shared" si="17"/>
        <v>0.0044</v>
      </c>
      <c r="C103" s="91">
        <f t="shared" si="18"/>
        <v>0.0042</v>
      </c>
      <c r="D103" s="91">
        <f t="shared" si="19"/>
        <v>0.043</v>
      </c>
      <c r="E103" s="74">
        <v>32.0</v>
      </c>
    </row>
    <row r="104">
      <c r="A104" s="90" t="str">
        <f t="shared" si="16"/>
        <v>Emissions factor for a 20 year old truck</v>
      </c>
      <c r="B104" s="91">
        <f t="shared" si="17"/>
        <v>0.0047</v>
      </c>
      <c r="C104" s="91">
        <f t="shared" si="18"/>
        <v>0.0046</v>
      </c>
      <c r="D104" s="91">
        <f t="shared" si="19"/>
        <v>0.046</v>
      </c>
      <c r="E104" s="74">
        <v>32.0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18.25"/>
    <col customWidth="1" min="3" max="3" width="15.38"/>
    <col customWidth="1" min="4" max="4" width="17.0"/>
  </cols>
  <sheetData>
    <row r="1">
      <c r="A1" s="97" t="s">
        <v>78</v>
      </c>
      <c r="B1" s="98" t="s">
        <v>50</v>
      </c>
      <c r="C1" s="99" t="s">
        <v>51</v>
      </c>
      <c r="D1" s="98" t="s">
        <v>52</v>
      </c>
      <c r="E1" s="17"/>
      <c r="F1" s="17"/>
    </row>
    <row r="2">
      <c r="A2" s="100" t="str">
        <f t="shared" ref="A2:A21" si="1"> "Emissions factor for a " &amp; F2 &amp; " year old truck"
</f>
        <v>Emissions factor for a 1 year old truck</v>
      </c>
      <c r="B2" s="91">
        <f t="shared" ref="B2:B21" si="2">ROUND(0.048 * (1 + 0.05527404844)^F2, 1-INT(LOG10(ABS(0.048 * (1 + 0.05527404844)^F2))))
</f>
        <v>0.051</v>
      </c>
      <c r="C2" s="91">
        <f t="shared" ref="C2:C21" si="3">ROUND(0.0098* (1 + 0.096)^F2, 1-INT(LOG10(ABS(0.0098* (1 + 0.096)^F2))))
</f>
        <v>0.011</v>
      </c>
      <c r="D2" s="94">
        <f t="shared" ref="D2:D21" si="4">ROUND(0.21* (1 + 0.074)^F2, 1-INT(LOG10(ABS(0.21* (1 + 0.074)^F2))))
</f>
        <v>0.23</v>
      </c>
      <c r="E2" s="17"/>
      <c r="F2" s="12">
        <v>1.0</v>
      </c>
    </row>
    <row r="3">
      <c r="A3" s="100" t="str">
        <f t="shared" si="1"/>
        <v>Emissions factor for a 2 year old truck</v>
      </c>
      <c r="B3" s="91">
        <f t="shared" si="2"/>
        <v>0.053</v>
      </c>
      <c r="C3" s="91">
        <f t="shared" si="3"/>
        <v>0.012</v>
      </c>
      <c r="D3" s="94">
        <f t="shared" si="4"/>
        <v>0.24</v>
      </c>
      <c r="E3" s="17"/>
      <c r="F3" s="12">
        <v>2.0</v>
      </c>
    </row>
    <row r="4">
      <c r="A4" s="100" t="str">
        <f t="shared" si="1"/>
        <v>Emissions factor for a 3 year old truck</v>
      </c>
      <c r="B4" s="91">
        <f t="shared" si="2"/>
        <v>0.056</v>
      </c>
      <c r="C4" s="91">
        <f t="shared" si="3"/>
        <v>0.013</v>
      </c>
      <c r="D4" s="94">
        <f t="shared" si="4"/>
        <v>0.26</v>
      </c>
      <c r="E4" s="17"/>
      <c r="F4" s="12">
        <v>3.0</v>
      </c>
    </row>
    <row r="5">
      <c r="A5" s="100" t="str">
        <f t="shared" si="1"/>
        <v>Emissions factor for a 4 year old truck</v>
      </c>
      <c r="B5" s="91">
        <f t="shared" si="2"/>
        <v>0.06</v>
      </c>
      <c r="C5" s="91">
        <f t="shared" si="3"/>
        <v>0.014</v>
      </c>
      <c r="D5" s="94">
        <f t="shared" si="4"/>
        <v>0.28</v>
      </c>
      <c r="E5" s="17"/>
      <c r="F5" s="12">
        <v>4.0</v>
      </c>
    </row>
    <row r="6">
      <c r="A6" s="100" t="str">
        <f t="shared" si="1"/>
        <v>Emissions factor for a 5 year old truck</v>
      </c>
      <c r="B6" s="91">
        <f t="shared" si="2"/>
        <v>0.063</v>
      </c>
      <c r="C6" s="91">
        <f t="shared" si="3"/>
        <v>0.015</v>
      </c>
      <c r="D6" s="94">
        <f t="shared" si="4"/>
        <v>0.3</v>
      </c>
      <c r="E6" s="17"/>
      <c r="F6" s="12">
        <v>5.0</v>
      </c>
    </row>
    <row r="7">
      <c r="A7" s="100" t="str">
        <f t="shared" si="1"/>
        <v>Emissions factor for a 6 year old truck</v>
      </c>
      <c r="B7" s="91">
        <f t="shared" si="2"/>
        <v>0.066</v>
      </c>
      <c r="C7" s="91">
        <f t="shared" si="3"/>
        <v>0.017</v>
      </c>
      <c r="D7" s="94">
        <f t="shared" si="4"/>
        <v>0.32</v>
      </c>
      <c r="E7" s="17"/>
      <c r="F7" s="12">
        <v>6.0</v>
      </c>
    </row>
    <row r="8">
      <c r="A8" s="100" t="str">
        <f t="shared" si="1"/>
        <v>Emissions factor for a 7 year old truck</v>
      </c>
      <c r="B8" s="91">
        <f t="shared" si="2"/>
        <v>0.07</v>
      </c>
      <c r="C8" s="91">
        <f t="shared" si="3"/>
        <v>0.019</v>
      </c>
      <c r="D8" s="94">
        <f t="shared" si="4"/>
        <v>0.35</v>
      </c>
      <c r="E8" s="17"/>
      <c r="F8" s="12">
        <v>7.0</v>
      </c>
    </row>
    <row r="9">
      <c r="A9" s="100" t="str">
        <f t="shared" si="1"/>
        <v>Emissions factor for a 8 year old truck</v>
      </c>
      <c r="B9" s="91">
        <f t="shared" si="2"/>
        <v>0.074</v>
      </c>
      <c r="C9" s="91">
        <f t="shared" si="3"/>
        <v>0.02</v>
      </c>
      <c r="D9" s="94">
        <f t="shared" si="4"/>
        <v>0.37</v>
      </c>
      <c r="E9" s="17"/>
      <c r="F9" s="12">
        <v>8.0</v>
      </c>
    </row>
    <row r="10">
      <c r="A10" s="100" t="str">
        <f t="shared" si="1"/>
        <v>Emissions factor for a 9 year old truck</v>
      </c>
      <c r="B10" s="91">
        <f t="shared" si="2"/>
        <v>0.078</v>
      </c>
      <c r="C10" s="91">
        <f t="shared" si="3"/>
        <v>0.022</v>
      </c>
      <c r="D10" s="94">
        <f t="shared" si="4"/>
        <v>0.4</v>
      </c>
      <c r="E10" s="17"/>
      <c r="F10" s="12">
        <v>9.0</v>
      </c>
    </row>
    <row r="11">
      <c r="A11" s="100" t="str">
        <f t="shared" si="1"/>
        <v>Emissions factor for a 10 year old truck</v>
      </c>
      <c r="B11" s="91">
        <f t="shared" si="2"/>
        <v>0.082</v>
      </c>
      <c r="C11" s="91">
        <f t="shared" si="3"/>
        <v>0.025</v>
      </c>
      <c r="D11" s="94">
        <f t="shared" si="4"/>
        <v>0.43</v>
      </c>
      <c r="E11" s="17"/>
      <c r="F11" s="12">
        <v>10.0</v>
      </c>
    </row>
    <row r="12">
      <c r="A12" s="100" t="str">
        <f t="shared" si="1"/>
        <v>Emissions factor for a 11 year old truck</v>
      </c>
      <c r="B12" s="91">
        <f t="shared" si="2"/>
        <v>0.087</v>
      </c>
      <c r="C12" s="91">
        <f t="shared" si="3"/>
        <v>0.027</v>
      </c>
      <c r="D12" s="94">
        <f t="shared" si="4"/>
        <v>0.46</v>
      </c>
      <c r="E12" s="17"/>
      <c r="F12" s="12">
        <v>11.0</v>
      </c>
    </row>
    <row r="13">
      <c r="A13" s="100" t="str">
        <f t="shared" si="1"/>
        <v>Emissions factor for a 12 year old truck</v>
      </c>
      <c r="B13" s="91">
        <f t="shared" si="2"/>
        <v>0.092</v>
      </c>
      <c r="C13" s="91">
        <f t="shared" si="3"/>
        <v>0.029</v>
      </c>
      <c r="D13" s="94">
        <f t="shared" si="4"/>
        <v>0.49</v>
      </c>
      <c r="E13" s="17"/>
      <c r="F13" s="12">
        <v>12.0</v>
      </c>
    </row>
    <row r="14">
      <c r="A14" s="100" t="str">
        <f t="shared" si="1"/>
        <v>Emissions factor for a 13 year old truck</v>
      </c>
      <c r="B14" s="91">
        <f t="shared" si="2"/>
        <v>0.097</v>
      </c>
      <c r="C14" s="91">
        <f t="shared" si="3"/>
        <v>0.032</v>
      </c>
      <c r="D14" s="94">
        <f t="shared" si="4"/>
        <v>0.53</v>
      </c>
      <c r="E14" s="17"/>
      <c r="F14" s="12">
        <v>13.0</v>
      </c>
    </row>
    <row r="15">
      <c r="A15" s="100" t="str">
        <f t="shared" si="1"/>
        <v>Emissions factor for a 14 year old truck</v>
      </c>
      <c r="B15" s="91">
        <f t="shared" si="2"/>
        <v>0.1</v>
      </c>
      <c r="C15" s="91">
        <f t="shared" si="3"/>
        <v>0.035</v>
      </c>
      <c r="D15" s="94">
        <f t="shared" si="4"/>
        <v>0.57</v>
      </c>
      <c r="E15" s="17"/>
      <c r="F15" s="12">
        <v>14.0</v>
      </c>
    </row>
    <row r="16">
      <c r="A16" s="100" t="str">
        <f t="shared" si="1"/>
        <v>Emissions factor for a 15 year old truck</v>
      </c>
      <c r="B16" s="91">
        <f t="shared" si="2"/>
        <v>0.11</v>
      </c>
      <c r="C16" s="91">
        <f t="shared" si="3"/>
        <v>0.039</v>
      </c>
      <c r="D16" s="94">
        <f t="shared" si="4"/>
        <v>0.61</v>
      </c>
      <c r="E16" s="17"/>
      <c r="F16" s="12">
        <v>15.0</v>
      </c>
    </row>
    <row r="17">
      <c r="A17" s="100" t="str">
        <f t="shared" si="1"/>
        <v>Emissions factor for a 16 year old truck</v>
      </c>
      <c r="B17" s="91">
        <f t="shared" si="2"/>
        <v>0.11</v>
      </c>
      <c r="C17" s="91">
        <f t="shared" si="3"/>
        <v>0.042</v>
      </c>
      <c r="D17" s="94">
        <f t="shared" si="4"/>
        <v>0.66</v>
      </c>
      <c r="E17" s="17"/>
      <c r="F17" s="12">
        <v>16.0</v>
      </c>
    </row>
    <row r="18">
      <c r="A18" s="100" t="str">
        <f t="shared" si="1"/>
        <v>Emissions factor for a 17 year old truck</v>
      </c>
      <c r="B18" s="91">
        <f t="shared" si="2"/>
        <v>0.12</v>
      </c>
      <c r="C18" s="91">
        <f t="shared" si="3"/>
        <v>0.047</v>
      </c>
      <c r="D18" s="94">
        <f t="shared" si="4"/>
        <v>0.71</v>
      </c>
      <c r="E18" s="17"/>
      <c r="F18" s="12">
        <v>17.0</v>
      </c>
    </row>
    <row r="19">
      <c r="A19" s="100" t="str">
        <f t="shared" si="1"/>
        <v>Emissions factor for a 18 year old truck</v>
      </c>
      <c r="B19" s="91">
        <f t="shared" si="2"/>
        <v>0.13</v>
      </c>
      <c r="C19" s="91">
        <f t="shared" si="3"/>
        <v>0.051</v>
      </c>
      <c r="D19" s="94">
        <f t="shared" si="4"/>
        <v>0.76</v>
      </c>
      <c r="E19" s="17"/>
      <c r="F19" s="12">
        <v>18.0</v>
      </c>
    </row>
    <row r="20">
      <c r="A20" s="100" t="str">
        <f t="shared" si="1"/>
        <v>Emissions factor for a 19 year old truck</v>
      </c>
      <c r="B20" s="91">
        <f t="shared" si="2"/>
        <v>0.13</v>
      </c>
      <c r="C20" s="91">
        <f t="shared" si="3"/>
        <v>0.056</v>
      </c>
      <c r="D20" s="94">
        <f t="shared" si="4"/>
        <v>0.82</v>
      </c>
      <c r="E20" s="17"/>
      <c r="F20" s="12">
        <v>19.0</v>
      </c>
    </row>
    <row r="21">
      <c r="A21" s="100" t="str">
        <f t="shared" si="1"/>
        <v>Emissions factor for a 20 year old truck</v>
      </c>
      <c r="B21" s="91">
        <f t="shared" si="2"/>
        <v>0.14</v>
      </c>
      <c r="C21" s="91">
        <f t="shared" si="3"/>
        <v>0.061</v>
      </c>
      <c r="D21" s="94">
        <f t="shared" si="4"/>
        <v>0.88</v>
      </c>
      <c r="E21" s="17"/>
      <c r="F21" s="12">
        <v>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18.25"/>
    <col customWidth="1" min="3" max="3" width="15.38"/>
    <col customWidth="1" min="4" max="4" width="17.0"/>
  </cols>
  <sheetData>
    <row r="1">
      <c r="A1" s="101" t="s">
        <v>79</v>
      </c>
      <c r="B1" s="102" t="s">
        <v>50</v>
      </c>
      <c r="C1" s="102" t="s">
        <v>51</v>
      </c>
      <c r="D1" s="102" t="s">
        <v>52</v>
      </c>
    </row>
    <row r="2">
      <c r="A2" s="103" t="s">
        <v>82</v>
      </c>
      <c r="B2" s="104">
        <v>0.013</v>
      </c>
      <c r="C2" s="101">
        <v>5.4E-4</v>
      </c>
      <c r="D2" s="104">
        <v>0.17</v>
      </c>
    </row>
    <row r="3">
      <c r="A3" s="103" t="s">
        <v>83</v>
      </c>
      <c r="B3" s="104">
        <v>0.013</v>
      </c>
      <c r="C3" s="101">
        <v>5.9E-4</v>
      </c>
      <c r="D3" s="104">
        <v>0.18</v>
      </c>
    </row>
    <row r="4">
      <c r="A4" s="103" t="s">
        <v>84</v>
      </c>
      <c r="B4" s="104">
        <v>0.014</v>
      </c>
      <c r="C4" s="101">
        <v>6.5E-4</v>
      </c>
      <c r="D4" s="104">
        <v>0.2</v>
      </c>
    </row>
    <row r="5">
      <c r="A5" s="103" t="s">
        <v>85</v>
      </c>
      <c r="B5" s="104">
        <v>0.015</v>
      </c>
      <c r="C5" s="101">
        <v>7.1E-4</v>
      </c>
      <c r="D5" s="104">
        <v>0.21</v>
      </c>
    </row>
    <row r="6">
      <c r="A6" s="103" t="s">
        <v>86</v>
      </c>
      <c r="B6" s="104">
        <v>0.016</v>
      </c>
      <c r="C6" s="101">
        <v>7.7E-4</v>
      </c>
      <c r="D6" s="104">
        <v>0.23</v>
      </c>
    </row>
    <row r="7">
      <c r="A7" s="103" t="s">
        <v>87</v>
      </c>
      <c r="B7" s="104">
        <v>0.017</v>
      </c>
      <c r="C7" s="101">
        <v>8.5E-4</v>
      </c>
      <c r="D7" s="104">
        <v>0.25</v>
      </c>
    </row>
    <row r="8">
      <c r="A8" s="103" t="s">
        <v>88</v>
      </c>
      <c r="B8" s="104">
        <v>0.017</v>
      </c>
      <c r="C8" s="101">
        <v>9.3E-4</v>
      </c>
      <c r="D8" s="104">
        <v>0.26</v>
      </c>
    </row>
    <row r="9">
      <c r="A9" s="103" t="s">
        <v>89</v>
      </c>
      <c r="B9" s="104">
        <v>0.018</v>
      </c>
      <c r="C9" s="101">
        <v>0.001</v>
      </c>
      <c r="D9" s="104">
        <v>0.28</v>
      </c>
    </row>
    <row r="10">
      <c r="A10" s="103" t="s">
        <v>90</v>
      </c>
      <c r="B10" s="104">
        <v>0.019</v>
      </c>
      <c r="C10" s="101">
        <v>0.0011</v>
      </c>
      <c r="D10" s="104">
        <v>0.3</v>
      </c>
    </row>
    <row r="11">
      <c r="A11" s="103" t="s">
        <v>91</v>
      </c>
      <c r="B11" s="104">
        <v>0.02</v>
      </c>
      <c r="C11" s="101">
        <v>0.0012</v>
      </c>
      <c r="D11" s="104">
        <v>0.33</v>
      </c>
    </row>
    <row r="12">
      <c r="A12" s="103" t="s">
        <v>92</v>
      </c>
      <c r="B12" s="104">
        <v>0.022</v>
      </c>
      <c r="C12" s="101">
        <v>0.0013</v>
      </c>
      <c r="D12" s="104">
        <v>0.35</v>
      </c>
    </row>
    <row r="13">
      <c r="A13" s="103" t="s">
        <v>93</v>
      </c>
      <c r="B13" s="104">
        <v>0.023</v>
      </c>
      <c r="C13" s="101">
        <v>0.0015</v>
      </c>
      <c r="D13" s="104">
        <v>0.38</v>
      </c>
    </row>
    <row r="14">
      <c r="A14" s="103" t="s">
        <v>94</v>
      </c>
      <c r="B14" s="104">
        <v>0.024</v>
      </c>
      <c r="C14" s="101">
        <v>0.0016</v>
      </c>
      <c r="D14" s="104">
        <v>0.4</v>
      </c>
    </row>
    <row r="15">
      <c r="A15" s="103" t="s">
        <v>95</v>
      </c>
      <c r="B15" s="104">
        <v>0.025</v>
      </c>
      <c r="C15" s="101">
        <v>0.0018</v>
      </c>
      <c r="D15" s="104">
        <v>0.43</v>
      </c>
    </row>
    <row r="16">
      <c r="A16" s="103" t="s">
        <v>96</v>
      </c>
      <c r="B16" s="104">
        <v>0.027</v>
      </c>
      <c r="C16" s="101">
        <v>0.0019</v>
      </c>
      <c r="D16" s="104">
        <v>0.47</v>
      </c>
    </row>
    <row r="17">
      <c r="A17" s="103" t="s">
        <v>97</v>
      </c>
      <c r="B17" s="104">
        <v>0.028</v>
      </c>
      <c r="C17" s="101">
        <v>0.0021</v>
      </c>
      <c r="D17" s="104">
        <v>0.5</v>
      </c>
    </row>
    <row r="18">
      <c r="A18" s="103" t="s">
        <v>98</v>
      </c>
      <c r="B18" s="104">
        <v>0.03</v>
      </c>
      <c r="C18" s="101">
        <v>0.0023</v>
      </c>
      <c r="D18" s="104">
        <v>0.54</v>
      </c>
    </row>
    <row r="19">
      <c r="A19" s="103" t="s">
        <v>99</v>
      </c>
      <c r="B19" s="104">
        <v>0.031</v>
      </c>
      <c r="C19" s="101">
        <v>0.0026</v>
      </c>
      <c r="D19" s="104">
        <v>0.58</v>
      </c>
    </row>
    <row r="20">
      <c r="A20" s="103" t="s">
        <v>100</v>
      </c>
      <c r="B20" s="104">
        <v>0.033</v>
      </c>
      <c r="C20" s="101">
        <v>0.0028</v>
      </c>
      <c r="D20" s="104">
        <v>0.62</v>
      </c>
    </row>
    <row r="21">
      <c r="A21" s="103" t="s">
        <v>101</v>
      </c>
      <c r="B21" s="104">
        <v>0.035</v>
      </c>
      <c r="C21" s="101">
        <v>0.0031</v>
      </c>
      <c r="D21" s="104">
        <v>0.67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4" max="4" width="17.0"/>
  </cols>
  <sheetData>
    <row r="1">
      <c r="A1" s="101" t="s">
        <v>80</v>
      </c>
      <c r="B1" s="102" t="s">
        <v>50</v>
      </c>
      <c r="C1" s="102" t="s">
        <v>51</v>
      </c>
      <c r="D1" s="102" t="s">
        <v>52</v>
      </c>
    </row>
    <row r="2">
      <c r="A2" s="103" t="s">
        <v>82</v>
      </c>
      <c r="B2" s="104">
        <v>0.017</v>
      </c>
      <c r="C2" s="104">
        <v>0.0</v>
      </c>
      <c r="D2" s="104">
        <v>0.092</v>
      </c>
    </row>
    <row r="3">
      <c r="A3" s="103" t="s">
        <v>83</v>
      </c>
      <c r="B3" s="104">
        <v>0.018</v>
      </c>
      <c r="C3" s="104">
        <v>0.0</v>
      </c>
      <c r="D3" s="104">
        <v>0.099</v>
      </c>
    </row>
    <row r="4">
      <c r="A4" s="103" t="s">
        <v>84</v>
      </c>
      <c r="B4" s="104">
        <v>0.019</v>
      </c>
      <c r="C4" s="104">
        <v>0.0</v>
      </c>
      <c r="D4" s="104">
        <v>0.11</v>
      </c>
    </row>
    <row r="5">
      <c r="A5" s="103" t="s">
        <v>85</v>
      </c>
      <c r="B5" s="104">
        <v>0.02</v>
      </c>
      <c r="C5" s="104">
        <v>0.0</v>
      </c>
      <c r="D5" s="104">
        <v>0.11</v>
      </c>
    </row>
    <row r="6">
      <c r="A6" s="103" t="s">
        <v>86</v>
      </c>
      <c r="B6" s="104">
        <v>0.021</v>
      </c>
      <c r="C6" s="104">
        <v>0.0</v>
      </c>
      <c r="D6" s="104">
        <v>0.12</v>
      </c>
    </row>
    <row r="7">
      <c r="A7" s="103" t="s">
        <v>87</v>
      </c>
      <c r="B7" s="104">
        <v>0.022</v>
      </c>
      <c r="C7" s="104">
        <v>0.0</v>
      </c>
      <c r="D7" s="104">
        <v>0.13</v>
      </c>
    </row>
    <row r="8">
      <c r="A8" s="103" t="s">
        <v>88</v>
      </c>
      <c r="B8" s="104">
        <v>0.023</v>
      </c>
      <c r="C8" s="104">
        <v>0.0</v>
      </c>
      <c r="D8" s="104">
        <v>0.14</v>
      </c>
    </row>
    <row r="9">
      <c r="A9" s="103" t="s">
        <v>89</v>
      </c>
      <c r="B9" s="104">
        <v>0.024</v>
      </c>
      <c r="C9" s="104">
        <v>0.0</v>
      </c>
      <c r="D9" s="104">
        <v>0.15</v>
      </c>
    </row>
    <row r="10">
      <c r="A10" s="103" t="s">
        <v>90</v>
      </c>
      <c r="B10" s="104">
        <v>0.026</v>
      </c>
      <c r="C10" s="104">
        <v>0.0</v>
      </c>
      <c r="D10" s="104">
        <v>0.16</v>
      </c>
    </row>
    <row r="11">
      <c r="A11" s="103" t="s">
        <v>91</v>
      </c>
      <c r="B11" s="104">
        <v>0.027</v>
      </c>
      <c r="C11" s="104">
        <v>0.0</v>
      </c>
      <c r="D11" s="104">
        <v>0.18</v>
      </c>
    </row>
    <row r="12">
      <c r="A12" s="103" t="s">
        <v>92</v>
      </c>
      <c r="B12" s="104">
        <v>0.029</v>
      </c>
      <c r="C12" s="104">
        <v>0.0</v>
      </c>
      <c r="D12" s="104">
        <v>0.19</v>
      </c>
    </row>
    <row r="13">
      <c r="A13" s="103" t="s">
        <v>93</v>
      </c>
      <c r="B13" s="104">
        <v>0.03</v>
      </c>
      <c r="C13" s="104">
        <v>0.0</v>
      </c>
      <c r="D13" s="104">
        <v>0.2</v>
      </c>
    </row>
    <row r="14">
      <c r="A14" s="103" t="s">
        <v>94</v>
      </c>
      <c r="B14" s="104">
        <v>0.032</v>
      </c>
      <c r="C14" s="104">
        <v>0.0</v>
      </c>
      <c r="D14" s="104">
        <v>0.22</v>
      </c>
    </row>
    <row r="15">
      <c r="A15" s="103" t="s">
        <v>95</v>
      </c>
      <c r="B15" s="104">
        <v>0.033</v>
      </c>
      <c r="C15" s="104">
        <v>0.0</v>
      </c>
      <c r="D15" s="104">
        <v>0.23</v>
      </c>
    </row>
    <row r="16">
      <c r="A16" s="103" t="s">
        <v>96</v>
      </c>
      <c r="B16" s="104">
        <v>0.035</v>
      </c>
      <c r="C16" s="104">
        <v>0.0</v>
      </c>
      <c r="D16" s="104">
        <v>0.25</v>
      </c>
    </row>
    <row r="17">
      <c r="A17" s="103" t="s">
        <v>97</v>
      </c>
      <c r="B17" s="104">
        <v>0.037</v>
      </c>
      <c r="C17" s="104">
        <v>0.0</v>
      </c>
      <c r="D17" s="104">
        <v>0.27</v>
      </c>
    </row>
    <row r="18">
      <c r="A18" s="103" t="s">
        <v>98</v>
      </c>
      <c r="B18" s="104">
        <v>0.039</v>
      </c>
      <c r="C18" s="104">
        <v>0.0</v>
      </c>
      <c r="D18" s="104">
        <v>0.29</v>
      </c>
    </row>
    <row r="19">
      <c r="A19" s="103" t="s">
        <v>99</v>
      </c>
      <c r="B19" s="104">
        <v>0.041</v>
      </c>
      <c r="C19" s="104">
        <v>0.0</v>
      </c>
      <c r="D19" s="104">
        <v>0.31</v>
      </c>
    </row>
    <row r="20">
      <c r="A20" s="103" t="s">
        <v>100</v>
      </c>
      <c r="B20" s="104">
        <v>0.044</v>
      </c>
      <c r="C20" s="104">
        <v>0.0</v>
      </c>
      <c r="D20" s="104">
        <v>0.33</v>
      </c>
    </row>
    <row r="21">
      <c r="A21" s="103" t="s">
        <v>101</v>
      </c>
      <c r="B21" s="104">
        <v>0.015</v>
      </c>
      <c r="C21" s="104">
        <v>0.0</v>
      </c>
      <c r="D21" s="104">
        <v>0.36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s>
  <sheetData>
    <row r="1">
      <c r="A1" s="101" t="s">
        <v>81</v>
      </c>
      <c r="B1" s="102" t="s">
        <v>50</v>
      </c>
      <c r="C1" s="102" t="s">
        <v>51</v>
      </c>
      <c r="D1" s="102" t="s">
        <v>52</v>
      </c>
    </row>
    <row r="2">
      <c r="A2" s="103" t="s">
        <v>82</v>
      </c>
      <c r="B2" s="104">
        <v>0.0017</v>
      </c>
      <c r="C2" s="104">
        <v>8.1E-4</v>
      </c>
      <c r="D2" s="104">
        <v>0.012</v>
      </c>
    </row>
    <row r="3">
      <c r="A3" s="103" t="s">
        <v>83</v>
      </c>
      <c r="B3" s="104">
        <v>0.0018</v>
      </c>
      <c r="C3" s="104">
        <v>8.9E-4</v>
      </c>
      <c r="D3" s="104">
        <v>0.013</v>
      </c>
    </row>
    <row r="4">
      <c r="A4" s="103" t="s">
        <v>84</v>
      </c>
      <c r="B4" s="104">
        <v>0.0019</v>
      </c>
      <c r="C4" s="104">
        <v>9.7E-4</v>
      </c>
      <c r="D4" s="104">
        <v>0.014</v>
      </c>
    </row>
    <row r="5">
      <c r="A5" s="103" t="s">
        <v>85</v>
      </c>
      <c r="B5" s="104">
        <v>0.002</v>
      </c>
      <c r="C5" s="104">
        <v>0.0011</v>
      </c>
      <c r="D5" s="104">
        <v>0.015</v>
      </c>
    </row>
    <row r="6">
      <c r="A6" s="103" t="s">
        <v>86</v>
      </c>
      <c r="B6" s="104">
        <v>0.0021</v>
      </c>
      <c r="C6" s="104">
        <v>0.0012</v>
      </c>
      <c r="D6" s="104">
        <v>0.016</v>
      </c>
    </row>
    <row r="7">
      <c r="A7" s="103" t="s">
        <v>87</v>
      </c>
      <c r="B7" s="104">
        <v>0.0022</v>
      </c>
      <c r="C7" s="104">
        <v>0.0013</v>
      </c>
      <c r="D7" s="104">
        <v>0.017</v>
      </c>
    </row>
    <row r="8">
      <c r="A8" s="103" t="s">
        <v>88</v>
      </c>
      <c r="B8" s="104">
        <v>0.0023</v>
      </c>
      <c r="C8" s="104">
        <v>0.0014</v>
      </c>
      <c r="D8" s="104">
        <v>0.018</v>
      </c>
    </row>
    <row r="9">
      <c r="A9" s="103" t="s">
        <v>89</v>
      </c>
      <c r="B9" s="104">
        <v>0.0025</v>
      </c>
      <c r="C9" s="104">
        <v>0.0015</v>
      </c>
      <c r="D9" s="104">
        <v>0.019</v>
      </c>
    </row>
    <row r="10">
      <c r="A10" s="103" t="s">
        <v>90</v>
      </c>
      <c r="B10" s="104">
        <v>0.0026</v>
      </c>
      <c r="C10" s="104">
        <v>0.0017</v>
      </c>
      <c r="D10" s="104">
        <v>0.021</v>
      </c>
    </row>
    <row r="11">
      <c r="A11" s="103" t="s">
        <v>91</v>
      </c>
      <c r="B11" s="104">
        <v>0.0027</v>
      </c>
      <c r="C11" s="104">
        <v>0.0019</v>
      </c>
      <c r="D11" s="104">
        <v>0.022</v>
      </c>
    </row>
    <row r="12">
      <c r="A12" s="103" t="s">
        <v>92</v>
      </c>
      <c r="B12" s="104">
        <v>0.0029</v>
      </c>
      <c r="C12" s="104">
        <v>0.002</v>
      </c>
      <c r="D12" s="104">
        <v>0.024</v>
      </c>
    </row>
    <row r="13">
      <c r="A13" s="103" t="s">
        <v>93</v>
      </c>
      <c r="B13" s="104">
        <v>0.0031</v>
      </c>
      <c r="C13" s="104">
        <v>0.0022</v>
      </c>
      <c r="D13" s="104">
        <v>0.026</v>
      </c>
    </row>
    <row r="14">
      <c r="A14" s="103" t="s">
        <v>94</v>
      </c>
      <c r="B14" s="104">
        <v>0.0032</v>
      </c>
      <c r="C14" s="104">
        <v>0.0024</v>
      </c>
      <c r="D14" s="104">
        <v>0.028</v>
      </c>
    </row>
    <row r="15">
      <c r="A15" s="103" t="s">
        <v>95</v>
      </c>
      <c r="B15" s="104">
        <v>0.0034</v>
      </c>
      <c r="C15" s="104">
        <v>0.0027</v>
      </c>
      <c r="D15" s="104">
        <v>0.03</v>
      </c>
    </row>
    <row r="16">
      <c r="A16" s="103" t="s">
        <v>96</v>
      </c>
      <c r="B16" s="104">
        <v>0.0036</v>
      </c>
      <c r="C16" s="104">
        <v>0.0029</v>
      </c>
      <c r="D16" s="104">
        <v>0.032</v>
      </c>
    </row>
    <row r="17">
      <c r="A17" s="103" t="s">
        <v>97</v>
      </c>
      <c r="B17" s="104">
        <v>0.0038</v>
      </c>
      <c r="C17" s="104">
        <v>0.0032</v>
      </c>
      <c r="D17" s="104">
        <v>0.034</v>
      </c>
    </row>
    <row r="18">
      <c r="A18" s="103" t="s">
        <v>98</v>
      </c>
      <c r="B18" s="104">
        <v>0.004</v>
      </c>
      <c r="C18" s="104">
        <v>0.0035</v>
      </c>
      <c r="D18" s="104">
        <v>0.037</v>
      </c>
    </row>
    <row r="19">
      <c r="A19" s="103" t="s">
        <v>99</v>
      </c>
      <c r="B19" s="104">
        <v>0.0042</v>
      </c>
      <c r="C19" s="104">
        <v>0.0039</v>
      </c>
      <c r="D19" s="104">
        <v>0.04</v>
      </c>
    </row>
    <row r="20">
      <c r="A20" s="103" t="s">
        <v>100</v>
      </c>
      <c r="B20" s="104">
        <v>0.0044</v>
      </c>
      <c r="C20" s="104">
        <v>0.0042</v>
      </c>
      <c r="D20" s="104">
        <v>0.043</v>
      </c>
    </row>
    <row r="21">
      <c r="A21" s="103" t="s">
        <v>101</v>
      </c>
      <c r="B21" s="104">
        <v>0.0047</v>
      </c>
      <c r="C21" s="104">
        <v>0.0046</v>
      </c>
      <c r="D21" s="104">
        <v>0.046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10.88"/>
    <col customWidth="1" min="3" max="3" width="32.5"/>
    <col customWidth="1" min="4" max="4" width="21.88"/>
    <col customWidth="1" min="5" max="5" width="17.0"/>
    <col customWidth="1" min="6" max="6" width="37.75"/>
    <col customWidth="1" min="7" max="7" width="29.0"/>
    <col customWidth="1" min="8" max="8" width="26.0"/>
    <col customWidth="1" min="9" max="9" width="30.0"/>
    <col customWidth="1" min="10" max="10" width="16.13"/>
    <col customWidth="1" min="12" max="13" width="24.38"/>
  </cols>
  <sheetData>
    <row r="1">
      <c r="A1" s="105" t="s">
        <v>102</v>
      </c>
    </row>
    <row r="2">
      <c r="B2" s="97" t="s">
        <v>103</v>
      </c>
      <c r="C2" s="106" t="s">
        <v>104</v>
      </c>
      <c r="D2" s="106" t="s">
        <v>105</v>
      </c>
      <c r="E2" s="106" t="s">
        <v>106</v>
      </c>
      <c r="F2" s="106" t="s">
        <v>107</v>
      </c>
      <c r="G2" s="106" t="s">
        <v>108</v>
      </c>
      <c r="H2" s="106" t="s">
        <v>109</v>
      </c>
      <c r="I2" s="107" t="s">
        <v>110</v>
      </c>
      <c r="J2" s="107" t="s">
        <v>111</v>
      </c>
      <c r="K2" s="108" t="s">
        <v>112</v>
      </c>
      <c r="L2" s="108" t="s">
        <v>113</v>
      </c>
      <c r="M2" s="108" t="s">
        <v>114</v>
      </c>
      <c r="N2" s="107" t="s">
        <v>115</v>
      </c>
      <c r="O2" s="108" t="s">
        <v>116</v>
      </c>
      <c r="P2" s="108" t="s">
        <v>117</v>
      </c>
      <c r="Q2" s="109" t="s">
        <v>118</v>
      </c>
    </row>
    <row r="3">
      <c r="B3" s="110" t="s">
        <v>119</v>
      </c>
      <c r="C3" s="111">
        <v>13.17</v>
      </c>
      <c r="D3" s="112">
        <f t="shared" ref="D3:D6" si="1">ROUND($E$17 * C3/100, 0)</f>
        <v>120</v>
      </c>
      <c r="E3" s="113">
        <v>20.0</v>
      </c>
      <c r="F3" s="112">
        <v>0.14</v>
      </c>
      <c r="G3" s="112">
        <v>0.061</v>
      </c>
      <c r="H3" s="114">
        <v>0.88</v>
      </c>
      <c r="I3" s="113">
        <v>32.0</v>
      </c>
      <c r="J3" s="112">
        <f t="shared" ref="J3:J6" si="2"> D3 *F3</f>
        <v>16.8</v>
      </c>
      <c r="K3" s="112">
        <f t="shared" ref="K3:K6" si="3"> D3 *G3</f>
        <v>7.32</v>
      </c>
      <c r="L3" s="112">
        <f t="shared" ref="L3:L6" si="4"> D3 *H3</f>
        <v>105.6</v>
      </c>
      <c r="M3" s="112">
        <f t="shared" ref="M3:M6" si="5">I3  * D3</f>
        <v>3840</v>
      </c>
      <c r="N3" s="112">
        <f t="shared" ref="N3:N6" si="6">ROUND(J3 * $E$18 *26, 2)</f>
        <v>36909.6</v>
      </c>
      <c r="O3" s="112">
        <f t="shared" ref="O3:O6" si="7"> ROUND(K3 * $E$18 * 26,0)</f>
        <v>16082</v>
      </c>
      <c r="P3" s="112">
        <f t="shared" ref="P3:P6" si="8">ROUND(L3 * $E$18 *26,0)</f>
        <v>232003</v>
      </c>
      <c r="Q3" s="112">
        <f t="shared" ref="Q3:Q6" si="9"> M3 * $E$18 *26</f>
        <v>8436480</v>
      </c>
    </row>
    <row r="4">
      <c r="B4" s="115" t="s">
        <v>120</v>
      </c>
      <c r="C4" s="111">
        <v>31.41</v>
      </c>
      <c r="D4" s="112">
        <f t="shared" si="1"/>
        <v>287</v>
      </c>
      <c r="E4" s="113">
        <v>17.0</v>
      </c>
      <c r="F4" s="112">
        <v>0.03</v>
      </c>
      <c r="G4" s="113">
        <v>0.0023</v>
      </c>
      <c r="H4" s="112">
        <v>0.54</v>
      </c>
      <c r="I4" s="113">
        <v>32.0</v>
      </c>
      <c r="J4" s="112">
        <f t="shared" si="2"/>
        <v>8.61</v>
      </c>
      <c r="K4" s="112">
        <f t="shared" si="3"/>
        <v>0.6601</v>
      </c>
      <c r="L4" s="112">
        <f t="shared" si="4"/>
        <v>154.98</v>
      </c>
      <c r="M4" s="112">
        <f t="shared" si="5"/>
        <v>9184</v>
      </c>
      <c r="N4" s="112">
        <f t="shared" si="6"/>
        <v>18916.17</v>
      </c>
      <c r="O4" s="112">
        <f t="shared" si="7"/>
        <v>1450</v>
      </c>
      <c r="P4" s="112">
        <f t="shared" si="8"/>
        <v>340491</v>
      </c>
      <c r="Q4" s="112">
        <f t="shared" si="9"/>
        <v>20177248</v>
      </c>
    </row>
    <row r="5">
      <c r="B5" s="115" t="s">
        <v>121</v>
      </c>
      <c r="C5" s="111">
        <v>15.76</v>
      </c>
      <c r="D5" s="112">
        <f t="shared" si="1"/>
        <v>144</v>
      </c>
      <c r="E5" s="113">
        <v>12.0</v>
      </c>
      <c r="F5" s="112">
        <v>0.03</v>
      </c>
      <c r="G5" s="112">
        <v>0.0</v>
      </c>
      <c r="H5" s="112">
        <v>0.2</v>
      </c>
      <c r="I5" s="113">
        <v>32.0</v>
      </c>
      <c r="J5" s="112">
        <f t="shared" si="2"/>
        <v>4.32</v>
      </c>
      <c r="K5" s="112">
        <f t="shared" si="3"/>
        <v>0</v>
      </c>
      <c r="L5" s="112">
        <f t="shared" si="4"/>
        <v>28.8</v>
      </c>
      <c r="M5" s="112">
        <f t="shared" si="5"/>
        <v>4608</v>
      </c>
      <c r="N5" s="112">
        <f t="shared" si="6"/>
        <v>9491.04</v>
      </c>
      <c r="O5" s="112">
        <f t="shared" si="7"/>
        <v>0</v>
      </c>
      <c r="P5" s="112">
        <f t="shared" si="8"/>
        <v>63274</v>
      </c>
      <c r="Q5" s="112">
        <f t="shared" si="9"/>
        <v>10123776</v>
      </c>
      <c r="R5" s="3"/>
    </row>
    <row r="6">
      <c r="B6" s="115" t="s">
        <v>122</v>
      </c>
      <c r="C6" s="111">
        <v>39.65</v>
      </c>
      <c r="D6" s="112">
        <f t="shared" si="1"/>
        <v>362</v>
      </c>
      <c r="E6" s="113">
        <v>5.0</v>
      </c>
      <c r="F6" s="112">
        <v>0.0021</v>
      </c>
      <c r="G6" s="112">
        <v>0.0012</v>
      </c>
      <c r="H6" s="112">
        <v>0.016</v>
      </c>
      <c r="I6" s="113">
        <v>32.0</v>
      </c>
      <c r="J6" s="112">
        <f t="shared" si="2"/>
        <v>0.7602</v>
      </c>
      <c r="K6" s="112">
        <f t="shared" si="3"/>
        <v>0.4344</v>
      </c>
      <c r="L6" s="112">
        <f t="shared" si="4"/>
        <v>5.792</v>
      </c>
      <c r="M6" s="112">
        <f t="shared" si="5"/>
        <v>11584</v>
      </c>
      <c r="N6" s="112">
        <f t="shared" si="6"/>
        <v>1670.16</v>
      </c>
      <c r="O6" s="112">
        <f t="shared" si="7"/>
        <v>954</v>
      </c>
      <c r="P6" s="112">
        <f t="shared" si="8"/>
        <v>12725</v>
      </c>
      <c r="Q6" s="112">
        <f t="shared" si="9"/>
        <v>25450048</v>
      </c>
    </row>
    <row r="7">
      <c r="B7" s="116"/>
    </row>
    <row r="8">
      <c r="A8" s="105" t="s">
        <v>123</v>
      </c>
      <c r="B8" s="116"/>
    </row>
    <row r="9">
      <c r="B9" s="97" t="s">
        <v>103</v>
      </c>
      <c r="C9" s="106" t="s">
        <v>104</v>
      </c>
      <c r="D9" s="106" t="s">
        <v>105</v>
      </c>
      <c r="E9" s="106" t="s">
        <v>106</v>
      </c>
      <c r="F9" s="106" t="s">
        <v>124</v>
      </c>
      <c r="G9" s="106" t="s">
        <v>125</v>
      </c>
      <c r="H9" s="106" t="s">
        <v>126</v>
      </c>
      <c r="I9" s="107" t="s">
        <v>127</v>
      </c>
      <c r="J9" s="107" t="s">
        <v>111</v>
      </c>
      <c r="K9" s="108" t="s">
        <v>128</v>
      </c>
      <c r="L9" s="108" t="s">
        <v>113</v>
      </c>
      <c r="M9" s="108" t="s">
        <v>114</v>
      </c>
      <c r="N9" s="107" t="s">
        <v>115</v>
      </c>
      <c r="O9" s="108" t="s">
        <v>116</v>
      </c>
      <c r="P9" s="108" t="s">
        <v>117</v>
      </c>
      <c r="Q9" s="109" t="s">
        <v>118</v>
      </c>
    </row>
    <row r="10">
      <c r="B10" s="110" t="s">
        <v>119</v>
      </c>
      <c r="C10" s="111">
        <v>13.17</v>
      </c>
      <c r="D10" s="112">
        <f t="shared" ref="D10:D13" si="10"> ROUND($E$15  * C10 / 100, 0)</f>
        <v>120</v>
      </c>
      <c r="E10" s="113">
        <v>20.0</v>
      </c>
      <c r="F10" s="112">
        <v>0.14</v>
      </c>
      <c r="G10" s="112">
        <v>0.061</v>
      </c>
      <c r="H10" s="114">
        <v>0.88</v>
      </c>
      <c r="I10" s="74">
        <v>32.0</v>
      </c>
      <c r="J10" s="112">
        <f t="shared" ref="J10:J13" si="11"> D10 *F10</f>
        <v>16.8</v>
      </c>
      <c r="K10" s="112">
        <f t="shared" ref="K10:K13" si="12"> D10 *G10</f>
        <v>7.32</v>
      </c>
      <c r="L10" s="112">
        <f t="shared" ref="L10:L13" si="13"> D10 *H10</f>
        <v>105.6</v>
      </c>
      <c r="M10" s="117">
        <f t="shared" ref="M10:M13" si="14">I10  * D3</f>
        <v>3840</v>
      </c>
      <c r="N10" s="112">
        <f t="shared" ref="N10:N13" si="15"> ROUND(J10 * $E$19 * 26,0)</f>
        <v>37740</v>
      </c>
      <c r="O10" s="112">
        <f t="shared" ref="O10:O13" si="16"> Round(K10 * $E$19*26,0)</f>
        <v>16444</v>
      </c>
      <c r="P10" s="112">
        <f t="shared" ref="P10:P13" si="17"> round(L10 * $E$19*26,0)</f>
        <v>237220</v>
      </c>
      <c r="Q10" s="112">
        <f t="shared" ref="Q10:Q13" si="18">M10  * $E$18 *26</f>
        <v>8436480</v>
      </c>
    </row>
    <row r="11">
      <c r="B11" s="115" t="s">
        <v>120</v>
      </c>
      <c r="C11" s="111">
        <v>31.41</v>
      </c>
      <c r="D11" s="112">
        <f t="shared" si="10"/>
        <v>287</v>
      </c>
      <c r="E11" s="113">
        <v>17.0</v>
      </c>
      <c r="F11" s="112">
        <v>0.03</v>
      </c>
      <c r="G11" s="113">
        <v>0.0023</v>
      </c>
      <c r="H11" s="112">
        <v>0.54</v>
      </c>
      <c r="I11" s="74">
        <v>32.0</v>
      </c>
      <c r="J11" s="112">
        <f t="shared" si="11"/>
        <v>8.61</v>
      </c>
      <c r="K11" s="112">
        <f t="shared" si="12"/>
        <v>0.6601</v>
      </c>
      <c r="L11" s="112">
        <f t="shared" si="13"/>
        <v>154.98</v>
      </c>
      <c r="M11" s="117">
        <f t="shared" si="14"/>
        <v>9184</v>
      </c>
      <c r="N11" s="112">
        <f t="shared" si="15"/>
        <v>19342</v>
      </c>
      <c r="O11" s="112">
        <f t="shared" si="16"/>
        <v>1483</v>
      </c>
      <c r="P11" s="112">
        <f t="shared" si="17"/>
        <v>348147</v>
      </c>
      <c r="Q11" s="112">
        <f t="shared" si="18"/>
        <v>20177248</v>
      </c>
    </row>
    <row r="12">
      <c r="B12" s="115" t="s">
        <v>121</v>
      </c>
      <c r="C12" s="111">
        <v>15.76</v>
      </c>
      <c r="D12" s="112">
        <f t="shared" si="10"/>
        <v>144</v>
      </c>
      <c r="E12" s="113">
        <v>12.0</v>
      </c>
      <c r="F12" s="112">
        <v>0.03</v>
      </c>
      <c r="G12" s="112">
        <v>0.0</v>
      </c>
      <c r="H12" s="112">
        <v>0.2</v>
      </c>
      <c r="I12" s="74">
        <v>32.0</v>
      </c>
      <c r="J12" s="112">
        <f t="shared" si="11"/>
        <v>4.32</v>
      </c>
      <c r="K12" s="112">
        <f t="shared" si="12"/>
        <v>0</v>
      </c>
      <c r="L12" s="112">
        <f t="shared" si="13"/>
        <v>28.8</v>
      </c>
      <c r="M12" s="117">
        <f t="shared" si="14"/>
        <v>4608</v>
      </c>
      <c r="N12" s="112">
        <f t="shared" si="15"/>
        <v>9704</v>
      </c>
      <c r="O12" s="112">
        <f t="shared" si="16"/>
        <v>0</v>
      </c>
      <c r="P12" s="112">
        <f t="shared" si="17"/>
        <v>64696</v>
      </c>
      <c r="Q12" s="112">
        <f t="shared" si="18"/>
        <v>10123776</v>
      </c>
    </row>
    <row r="13">
      <c r="B13" s="115" t="s">
        <v>122</v>
      </c>
      <c r="C13" s="111">
        <v>39.65</v>
      </c>
      <c r="D13" s="112">
        <f t="shared" si="10"/>
        <v>362</v>
      </c>
      <c r="E13" s="113">
        <v>5.0</v>
      </c>
      <c r="F13" s="112">
        <v>0.0021</v>
      </c>
      <c r="G13" s="112">
        <v>0.0012</v>
      </c>
      <c r="H13" s="112">
        <v>0.016</v>
      </c>
      <c r="I13" s="74">
        <v>32.0</v>
      </c>
      <c r="J13" s="112">
        <f t="shared" si="11"/>
        <v>0.7602</v>
      </c>
      <c r="K13" s="112">
        <f t="shared" si="12"/>
        <v>0.4344</v>
      </c>
      <c r="L13" s="112">
        <f t="shared" si="13"/>
        <v>5.792</v>
      </c>
      <c r="M13" s="117">
        <f t="shared" si="14"/>
        <v>11584</v>
      </c>
      <c r="N13" s="112">
        <f t="shared" si="15"/>
        <v>1708</v>
      </c>
      <c r="O13" s="112">
        <f t="shared" si="16"/>
        <v>976</v>
      </c>
      <c r="P13" s="112">
        <f t="shared" si="17"/>
        <v>13011</v>
      </c>
      <c r="Q13" s="112">
        <f t="shared" si="18"/>
        <v>25450048</v>
      </c>
    </row>
    <row r="15">
      <c r="C15" s="118" t="s">
        <v>129</v>
      </c>
      <c r="E15" s="119">
        <v>914.0</v>
      </c>
      <c r="L15" s="120"/>
      <c r="M15" s="121" t="s">
        <v>130</v>
      </c>
      <c r="N15" s="122" t="s">
        <v>131</v>
      </c>
      <c r="O15" s="122" t="s">
        <v>132</v>
      </c>
      <c r="P15" s="122" t="s">
        <v>133</v>
      </c>
      <c r="Q15" s="123" t="s">
        <v>134</v>
      </c>
    </row>
    <row r="16">
      <c r="C16" s="124" t="s">
        <v>135</v>
      </c>
      <c r="D16" s="125"/>
      <c r="E16" s="126">
        <v>635.0</v>
      </c>
      <c r="L16" s="127"/>
      <c r="M16" s="128" t="s">
        <v>136</v>
      </c>
      <c r="N16" s="129">
        <f t="shared" ref="N16:Q16" si="19"> sum(N3:N6,N10:N13)</f>
        <v>135480.97</v>
      </c>
      <c r="O16" s="129">
        <f t="shared" si="19"/>
        <v>37389</v>
      </c>
      <c r="P16" s="129">
        <f t="shared" si="19"/>
        <v>1311567</v>
      </c>
      <c r="Q16" s="129">
        <f t="shared" si="19"/>
        <v>128375104</v>
      </c>
    </row>
    <row r="17">
      <c r="C17" s="124" t="s">
        <v>129</v>
      </c>
      <c r="D17" s="125"/>
      <c r="E17" s="126">
        <v>914.0</v>
      </c>
      <c r="L17" s="127"/>
      <c r="M17" s="128" t="s">
        <v>137</v>
      </c>
      <c r="N17" s="129">
        <f t="shared" ref="N17:Q17" si="20">N16/1000</f>
        <v>135.48097</v>
      </c>
      <c r="O17" s="129">
        <f t="shared" si="20"/>
        <v>37.389</v>
      </c>
      <c r="P17" s="129">
        <f t="shared" si="20"/>
        <v>1311.567</v>
      </c>
      <c r="Q17" s="129">
        <f t="shared" si="20"/>
        <v>128375.104</v>
      </c>
    </row>
    <row r="18">
      <c r="C18" s="130" t="s">
        <v>138</v>
      </c>
      <c r="D18" s="125"/>
      <c r="E18" s="131">
        <v>84.5</v>
      </c>
      <c r="L18" s="127"/>
    </row>
    <row r="19">
      <c r="C19" s="130" t="s">
        <v>139</v>
      </c>
      <c r="D19" s="125"/>
      <c r="E19" s="131">
        <v>86.4</v>
      </c>
    </row>
    <row r="21">
      <c r="M21" s="74" t="s">
        <v>140</v>
      </c>
      <c r="N21" s="91">
        <f>N17*2</f>
        <v>270.96194</v>
      </c>
      <c r="O21" s="91">
        <f>O17*25</f>
        <v>934.725</v>
      </c>
      <c r="P21" s="91">
        <f>P17*128</f>
        <v>167880.576</v>
      </c>
      <c r="Q21" s="91">
        <f>Q17</f>
        <v>128375.104</v>
      </c>
      <c r="R21" s="91">
        <f>SUM(N21:Q21)</f>
        <v>297461.3669</v>
      </c>
    </row>
    <row r="22">
      <c r="M22" s="74" t="s">
        <v>141</v>
      </c>
      <c r="R22" s="91">
        <f>R21+B27</f>
        <v>378022.0434</v>
      </c>
    </row>
    <row r="23">
      <c r="A23" s="74" t="s">
        <v>142</v>
      </c>
      <c r="B23" s="74">
        <v>0.32</v>
      </c>
    </row>
    <row r="24">
      <c r="B24" s="91">
        <f>(E15*E18)+(E16*E19)</f>
        <v>132097</v>
      </c>
      <c r="E24" s="74" t="s">
        <v>143</v>
      </c>
    </row>
    <row r="26">
      <c r="A26" s="74" t="s">
        <v>144</v>
      </c>
      <c r="B26" s="74">
        <v>609.86</v>
      </c>
    </row>
    <row r="27">
      <c r="A27" s="74" t="s">
        <v>145</v>
      </c>
      <c r="B27" s="91">
        <f>B24*B26/1000</f>
        <v>80560.67642</v>
      </c>
    </row>
    <row r="33">
      <c r="K33" s="106" t="s">
        <v>104</v>
      </c>
    </row>
    <row r="34">
      <c r="E34" s="97"/>
      <c r="F34" s="110"/>
      <c r="G34" s="115"/>
      <c r="H34" s="115"/>
      <c r="I34" s="115"/>
      <c r="K34" s="106" t="s">
        <v>105</v>
      </c>
    </row>
    <row r="35">
      <c r="E35" s="106"/>
      <c r="F35" s="111"/>
      <c r="G35" s="111"/>
      <c r="H35" s="111"/>
      <c r="I35" s="111"/>
      <c r="K35" s="106" t="s">
        <v>106</v>
      </c>
    </row>
    <row r="36">
      <c r="E36" s="106"/>
      <c r="F36" s="112"/>
      <c r="G36" s="112"/>
      <c r="H36" s="112"/>
      <c r="I36" s="112"/>
      <c r="K36" s="106" t="s">
        <v>107</v>
      </c>
    </row>
    <row r="37">
      <c r="E37" s="106"/>
      <c r="F37" s="113"/>
      <c r="G37" s="113"/>
      <c r="H37" s="113"/>
      <c r="I37" s="113"/>
      <c r="K37" s="106" t="s">
        <v>108</v>
      </c>
    </row>
    <row r="38">
      <c r="E38" s="106"/>
      <c r="F38" s="112"/>
      <c r="G38" s="112"/>
      <c r="H38" s="112"/>
      <c r="I38" s="112"/>
      <c r="K38" s="106" t="s">
        <v>109</v>
      </c>
    </row>
    <row r="39">
      <c r="E39" s="106"/>
      <c r="F39" s="112"/>
      <c r="G39" s="113"/>
      <c r="H39" s="112"/>
      <c r="I39" s="112"/>
      <c r="K39" s="107" t="s">
        <v>110</v>
      </c>
    </row>
    <row r="40">
      <c r="E40" s="106"/>
      <c r="F40" s="114"/>
      <c r="G40" s="112"/>
      <c r="H40" s="112"/>
      <c r="I40" s="112"/>
      <c r="K40" s="107" t="s">
        <v>111</v>
      </c>
    </row>
    <row r="41">
      <c r="E41" s="107"/>
      <c r="F41" s="113"/>
      <c r="G41" s="113"/>
      <c r="H41" s="113"/>
      <c r="I41" s="113"/>
      <c r="K41" s="108" t="s">
        <v>112</v>
      </c>
    </row>
    <row r="42">
      <c r="E42" s="107"/>
      <c r="F42" s="112"/>
      <c r="G42" s="112"/>
      <c r="H42" s="112"/>
      <c r="I42" s="112"/>
      <c r="K42" s="108" t="s">
        <v>113</v>
      </c>
    </row>
    <row r="43">
      <c r="E43" s="108"/>
      <c r="F43" s="112"/>
      <c r="G43" s="112"/>
      <c r="H43" s="112"/>
      <c r="I43" s="112"/>
      <c r="K43" s="108" t="s">
        <v>114</v>
      </c>
    </row>
    <row r="44">
      <c r="E44" s="108"/>
      <c r="F44" s="112"/>
      <c r="G44" s="112"/>
      <c r="H44" s="112"/>
      <c r="I44" s="112"/>
      <c r="K44" s="107" t="s">
        <v>115</v>
      </c>
    </row>
    <row r="45">
      <c r="E45" s="108"/>
      <c r="F45" s="112"/>
      <c r="G45" s="112"/>
      <c r="H45" s="112"/>
      <c r="I45" s="112"/>
      <c r="K45" s="108" t="s">
        <v>116</v>
      </c>
    </row>
    <row r="46">
      <c r="E46" s="107"/>
      <c r="F46" s="112"/>
      <c r="G46" s="112"/>
      <c r="H46" s="112"/>
      <c r="I46" s="112"/>
      <c r="K46" s="108" t="s">
        <v>117</v>
      </c>
    </row>
    <row r="47">
      <c r="E47" s="108"/>
      <c r="F47" s="112"/>
      <c r="G47" s="112"/>
      <c r="H47" s="112"/>
      <c r="I47" s="112"/>
      <c r="K47" s="109" t="s">
        <v>118</v>
      </c>
    </row>
    <row r="48">
      <c r="E48" s="108"/>
      <c r="F48" s="112"/>
      <c r="G48" s="112"/>
      <c r="H48" s="112"/>
      <c r="I48" s="112"/>
    </row>
    <row r="49">
      <c r="E49" s="109"/>
      <c r="F49" s="112"/>
      <c r="G49" s="112"/>
      <c r="H49" s="112"/>
      <c r="I49" s="112"/>
    </row>
  </sheetData>
  <mergeCells count="1">
    <mergeCell ref="C15:D15"/>
  </mergeCells>
  <drawing r:id="rId1"/>
</worksheet>
</file>