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<sst xmlns="http://schemas.openxmlformats.org/spreadsheetml/2006/main" count="88" uniqueCount="86">
  <si>
    <t>HELE</t>
  </si>
  <si>
    <t>Y20</t>
  </si>
  <si>
    <t>Y21</t>
  </si>
  <si>
    <t>Y22</t>
  </si>
  <si>
    <t>Y23</t>
  </si>
  <si>
    <t>Note: Fiscal years ended last day of February. Data recorded in millions, exept per share data.</t>
  </si>
  <si>
    <t>Helen Of Troy Limited</t>
  </si>
  <si>
    <t>10-K SEC Filing</t>
  </si>
  <si>
    <t>Revenue</t>
  </si>
  <si>
    <t>Price</t>
  </si>
  <si>
    <t>Revenue Growth</t>
  </si>
  <si>
    <t>Shares Outstanding</t>
  </si>
  <si>
    <t>COGS</t>
  </si>
  <si>
    <t>Cash</t>
  </si>
  <si>
    <t>Profit Margin</t>
  </si>
  <si>
    <t>Debt</t>
  </si>
  <si>
    <t>Gross Profit</t>
  </si>
  <si>
    <t>Asset Impairment Charges</t>
  </si>
  <si>
    <t>Restructuring Charges</t>
  </si>
  <si>
    <t>Market Cap</t>
  </si>
  <si>
    <t>SG&amp;A</t>
  </si>
  <si>
    <t>EV</t>
  </si>
  <si>
    <t>Operating Expenses</t>
  </si>
  <si>
    <t>P/E</t>
  </si>
  <si>
    <t>Operating Income</t>
  </si>
  <si>
    <t>P/S</t>
  </si>
  <si>
    <t>Operating Margin</t>
  </si>
  <si>
    <t>P/B</t>
  </si>
  <si>
    <t>Interest Income</t>
  </si>
  <si>
    <t>Interest Expense</t>
  </si>
  <si>
    <t>Pretax Income</t>
  </si>
  <si>
    <t>EV / Revenue</t>
  </si>
  <si>
    <t>Taxes</t>
  </si>
  <si>
    <t>EV / Pretax Income</t>
  </si>
  <si>
    <t>Net Income</t>
  </si>
  <si>
    <t>Net Income Growth</t>
  </si>
  <si>
    <t>Discount (WAPM)</t>
  </si>
  <si>
    <t>EPS</t>
  </si>
  <si>
    <t>Terminal Growth Rate</t>
  </si>
  <si>
    <t>Shares</t>
  </si>
  <si>
    <t>NPV</t>
  </si>
  <si>
    <t>NPV + Cash - Debt</t>
  </si>
  <si>
    <t>Payments for Share Repurchases</t>
  </si>
  <si>
    <t>Proceeds from Share Issuances</t>
  </si>
  <si>
    <t>5</t>
  </si>
  <si>
    <t>Expected Price</t>
  </si>
  <si>
    <t>Stock Based Comp</t>
  </si>
  <si>
    <t>23</t>
  </si>
  <si>
    <t>26</t>
  </si>
  <si>
    <t>Debt Issued</t>
  </si>
  <si>
    <t>771</t>
  </si>
  <si>
    <t>937</t>
  </si>
  <si>
    <t>Price Margin</t>
  </si>
  <si>
    <t>Debt Repaid</t>
  </si>
  <si>
    <t>Terminal Income Margin</t>
  </si>
  <si>
    <t>Net Cash from Operating Activities</t>
  </si>
  <si>
    <t>Net Cash used by Investing Activities</t>
  </si>
  <si>
    <t>-98</t>
  </si>
  <si>
    <t>Net Cash used by Financing Activities</t>
  </si>
  <si>
    <t>-194</t>
  </si>
  <si>
    <t>Net Cash Increase (decrease)</t>
  </si>
  <si>
    <t>45</t>
  </si>
  <si>
    <t>Valueline (3-5 pt)</t>
  </si>
  <si>
    <t>$180 - $270</t>
  </si>
  <si>
    <t>Year</t>
  </si>
  <si>
    <t>Growth Rate</t>
  </si>
  <si>
    <t>Safety Margin</t>
  </si>
  <si>
    <t>Note: This is a rough estimate - margin of safety is estimated by using a lagged rate of revenue growth using measures of net income. This assumes operating efficiency tailwinds continue even if top-line growth slows.</t>
  </si>
  <si>
    <t>Notes</t>
  </si>
  <si>
    <t>1,903 Employees</t>
  </si>
  <si>
    <t>HQ: El Paso, TX</t>
  </si>
  <si>
    <t>Encorporated: 1968</t>
  </si>
  <si>
    <t>Industries: Home &amp; Outdoor, Beauty &amp; Wellness</t>
  </si>
  <si>
    <t>Brands: OXO, Hydro Flask, Soft Works, Osprey, Honeywell, Braun, Vicks, Drybar, Revlon, Curlsmith</t>
  </si>
  <si>
    <t>Notice: Very strong brand moats</t>
  </si>
  <si>
    <t>55.8% Beauty &amp; Wellness Y23</t>
  </si>
  <si>
    <t>44.2% Home &amp; Outdoor Y23</t>
  </si>
  <si>
    <t>Y23 launched Project Pegasus to restructure business to improve efficiencies.</t>
  </si>
  <si>
    <t>Questions</t>
  </si>
  <si>
    <t>What are you doing, that your competitors aren't doing yet?</t>
  </si>
  <si>
    <t>What are the insiders doing?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</si>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</sst>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b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vertical="top" wrapText="1"/>
    </xf>
    <xf borderId="0" fillId="0" fontId="2" numFmtId="0" xfId="0" applyFont="1"/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top" wrapText="1"/>
    </xf>
    <xf borderId="0" fillId="0" fontId="2" numFmtId="4" xfId="0" applyFont="1" applyNumberFormat="1"/>
    <xf borderId="0" fillId="0" fontId="3" numFmtId="0" xfId="0" applyAlignment="1" applyFont="1">
      <alignment shrinkToFit="0" vertical="bottom" wrapText="1"/>
    </xf>
    <xf borderId="0" fillId="3" fontId="5" numFmtId="0" xfId="0" applyAlignment="1" applyFill="1" applyFont="1">
      <alignment horizontal="left" readingOrder="0"/>
    </xf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4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2" xfId="0" applyFont="1" applyNumberFormat="1"/>
    <xf borderId="0" fillId="0" fontId="2" numFmtId="165" xfId="0" applyFont="1" applyNumberFormat="1"/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6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10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49" xfId="0" applyFont="1" applyNumberFormat="1"/>
    <xf borderId="0" fillId="0" fontId="3" numFmtId="10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4" fontId="3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bottom"/>
    </xf>
    <xf borderId="0" fillId="0" fontId="6" numFmtId="165" xfId="0" applyAlignment="1" applyFont="1" applyNumberFormat="1">
      <alignment horizontal="right" vertical="bottom"/>
    </xf>
    <xf borderId="0" fillId="0" fontId="6" numFmtId="10" xfId="0" applyAlignment="1" applyFont="1" applyNumberFormat="1">
      <alignment readingOrder="0" vertical="bottom"/>
    </xf>
    <xf borderId="0" fillId="0" fontId="6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vertical="bottom"/>
    </xf>
    <xf borderId="0" fillId="0" fontId="6" numFmtId="10" xfId="0" applyAlignment="1" applyFont="1" applyNumberFormat="1">
      <alignment shrinkToFit="0" vertical="bottom" wrapText="1"/>
    </xf>
    <xf borderId="0" fillId="0" fontId="6" numFmtId="10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top" wrapText="1"/>
    </xf>
    <xf borderId="1" fillId="0" fontId="6" numFmtId="10" xfId="0" applyAlignment="1" applyBorder="1" applyFont="1" applyNumberFormat="1">
      <alignment shrinkToFit="0" vertical="bottom" wrapText="1"/>
    </xf>
    <xf borderId="2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0" fontId="6" numFmtId="10" xfId="0" applyAlignment="1" applyBorder="1" applyFont="1" applyNumberForma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916789/000091678923000017/hele-20230228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1.38"/>
    <col customWidth="1" min="3" max="3" width="14.88"/>
    <col customWidth="1" min="4" max="4" width="8.63"/>
    <col customWidth="1" min="5" max="5" width="33.0"/>
    <col customWidth="1" min="6" max="8" width="13.5"/>
    <col customWidth="1" min="9" max="9" width="12.25"/>
  </cols>
  <sheetData>
    <row r="2">
      <c r="B2" s="1" t="s">
        <v>0</v>
      </c>
      <c r="C2" s="2">
        <v>45108.0</v>
      </c>
      <c r="D2" s="2"/>
      <c r="E2" s="3"/>
      <c r="F2" s="4" t="s">
        <v>1</v>
      </c>
      <c r="G2" s="4" t="s">
        <v>2</v>
      </c>
      <c r="H2" s="5" t="s">
        <v>3</v>
      </c>
      <c r="I2" s="6" t="s">
        <v>4</v>
      </c>
      <c r="J2" s="7" t="s">
        <v>5</v>
      </c>
      <c r="L2" s="1"/>
      <c r="M2" s="1"/>
      <c r="N2" s="1"/>
      <c r="O2" s="8"/>
      <c r="P2" s="1"/>
      <c r="Q2" s="1"/>
      <c r="R2" s="1"/>
      <c r="S2" s="1"/>
      <c r="T2" s="1"/>
      <c r="U2" s="1"/>
    </row>
    <row r="3">
      <c r="B3" s="1" t="s">
        <v>6</v>
      </c>
      <c r="C3" s="9" t="s">
        <v>7</v>
      </c>
      <c r="E3" s="3"/>
    </row>
    <row r="4">
      <c r="B4" s="10"/>
      <c r="C4" s="11"/>
      <c r="D4" s="11"/>
      <c r="E4" s="1" t="s">
        <v>8</v>
      </c>
      <c r="F4" s="12">
        <v>1707.0</v>
      </c>
      <c r="G4" s="12">
        <v>2098.0</v>
      </c>
      <c r="H4" s="12">
        <v>2223.0</v>
      </c>
      <c r="I4" s="12">
        <v>2072.0</v>
      </c>
    </row>
    <row r="5">
      <c r="B5" s="10" t="s">
        <v>9</v>
      </c>
      <c r="C5" s="11">
        <v>108.02</v>
      </c>
      <c r="D5" s="11"/>
      <c r="E5" s="13" t="s">
        <v>10</v>
      </c>
      <c r="F5" s="12">
        <v>0.0</v>
      </c>
      <c r="G5" s="14">
        <f t="shared" ref="G5:I5" si="1">(G4-F4)/F4</f>
        <v>0.2290568248</v>
      </c>
      <c r="H5" s="14">
        <f t="shared" si="1"/>
        <v>0.05958055291</v>
      </c>
      <c r="I5" s="14">
        <f t="shared" si="1"/>
        <v>-0.06792622582</v>
      </c>
    </row>
    <row r="6">
      <c r="B6" s="15" t="s">
        <v>11</v>
      </c>
      <c r="C6" s="12">
        <v>24.0</v>
      </c>
      <c r="D6" s="12"/>
      <c r="E6" s="1" t="s">
        <v>12</v>
      </c>
      <c r="F6" s="12">
        <v>972.0</v>
      </c>
      <c r="G6" s="12">
        <v>1171.0</v>
      </c>
      <c r="H6" s="12">
        <v>1270.0</v>
      </c>
      <c r="I6" s="12">
        <v>1173.0</v>
      </c>
    </row>
    <row r="7">
      <c r="B7" s="10" t="s">
        <v>13</v>
      </c>
      <c r="C7" s="16">
        <v>33.0</v>
      </c>
      <c r="D7" s="16"/>
      <c r="E7" s="1" t="s">
        <v>14</v>
      </c>
      <c r="F7" s="17">
        <f t="shared" ref="F7:I7" si="2">(F4-F6)/F4</f>
        <v>0.4305799649</v>
      </c>
      <c r="G7" s="17">
        <f t="shared" si="2"/>
        <v>0.4418493804</v>
      </c>
      <c r="H7" s="17">
        <f t="shared" si="2"/>
        <v>0.428699955</v>
      </c>
      <c r="I7" s="17">
        <f t="shared" si="2"/>
        <v>0.4338803089</v>
      </c>
      <c r="J7" s="17"/>
      <c r="K7" s="17"/>
      <c r="L7" s="17"/>
      <c r="M7" s="17"/>
    </row>
    <row r="8">
      <c r="B8" s="10" t="s">
        <v>15</v>
      </c>
      <c r="C8" s="12">
        <v>984.0</v>
      </c>
      <c r="D8" s="12"/>
      <c r="E8" s="1" t="s">
        <v>16</v>
      </c>
      <c r="F8" s="18">
        <f t="shared" ref="F8:I8" si="3">F4-F6</f>
        <v>735</v>
      </c>
      <c r="G8" s="18">
        <f t="shared" si="3"/>
        <v>927</v>
      </c>
      <c r="H8" s="18">
        <f t="shared" si="3"/>
        <v>953</v>
      </c>
      <c r="I8" s="18">
        <f t="shared" si="3"/>
        <v>899</v>
      </c>
    </row>
    <row r="9">
      <c r="B9" s="10"/>
      <c r="C9" s="12"/>
      <c r="D9" s="12"/>
      <c r="E9" s="1" t="s">
        <v>17</v>
      </c>
      <c r="F9" s="12">
        <v>41.0</v>
      </c>
      <c r="G9" s="12">
        <v>8.0</v>
      </c>
      <c r="H9" s="12">
        <v>0.0</v>
      </c>
      <c r="I9" s="12">
        <v>0.0</v>
      </c>
    </row>
    <row r="10">
      <c r="B10" s="10"/>
      <c r="E10" s="19" t="s">
        <v>18</v>
      </c>
      <c r="F10" s="20">
        <v>3.0</v>
      </c>
      <c r="G10" s="20">
        <v>0.0</v>
      </c>
      <c r="H10" s="20">
        <v>0.0</v>
      </c>
      <c r="I10" s="21">
        <v>27.0</v>
      </c>
      <c r="J10" s="21"/>
      <c r="K10" s="8"/>
      <c r="L10" s="8"/>
      <c r="M10" s="8"/>
    </row>
    <row r="11">
      <c r="B11" s="10" t="s">
        <v>19</v>
      </c>
      <c r="C11" s="22">
        <f>C5*C6</f>
        <v>2592.48</v>
      </c>
      <c r="D11" s="22"/>
      <c r="E11" s="23" t="s">
        <v>20</v>
      </c>
      <c r="F11" s="12">
        <v>511.0</v>
      </c>
      <c r="G11" s="12">
        <v>637.0</v>
      </c>
      <c r="H11" s="12">
        <v>680.0</v>
      </c>
      <c r="I11" s="21">
        <v>660.0</v>
      </c>
      <c r="J11" s="21"/>
    </row>
    <row r="12">
      <c r="B12" s="24" t="s">
        <v>21</v>
      </c>
      <c r="C12" s="25">
        <f>C11+C8-C7</f>
        <v>3543.48</v>
      </c>
      <c r="D12" s="26"/>
      <c r="E12" s="23" t="s">
        <v>22</v>
      </c>
      <c r="F12" s="20">
        <f t="shared" ref="F12:I12" si="4">F6+F9+F10+F11</f>
        <v>1527</v>
      </c>
      <c r="G12" s="20">
        <f t="shared" si="4"/>
        <v>1816</v>
      </c>
      <c r="H12" s="20">
        <f t="shared" si="4"/>
        <v>1950</v>
      </c>
      <c r="I12" s="20">
        <f t="shared" si="4"/>
        <v>1860</v>
      </c>
      <c r="J12" s="21"/>
    </row>
    <row r="13">
      <c r="B13" s="1" t="s">
        <v>23</v>
      </c>
      <c r="C13" s="27">
        <f>C5/I19</f>
        <v>0.7553846154</v>
      </c>
      <c r="D13" s="27"/>
      <c r="E13" s="23" t="s">
        <v>24</v>
      </c>
      <c r="F13" s="18">
        <f t="shared" ref="F13:I13" si="5">F4-F12</f>
        <v>180</v>
      </c>
      <c r="G13" s="18">
        <f t="shared" si="5"/>
        <v>282</v>
      </c>
      <c r="H13" s="18">
        <f t="shared" si="5"/>
        <v>273</v>
      </c>
      <c r="I13" s="21">
        <f t="shared" si="5"/>
        <v>212</v>
      </c>
      <c r="J13" s="21"/>
    </row>
    <row r="14">
      <c r="B14" s="19" t="s">
        <v>25</v>
      </c>
      <c r="C14" s="28">
        <f>C11/I4</f>
        <v>1.251196911</v>
      </c>
      <c r="D14" s="27"/>
      <c r="E14" s="19" t="s">
        <v>26</v>
      </c>
      <c r="F14" s="17">
        <f t="shared" ref="F14:I14" si="6">F13/F4</f>
        <v>0.1054481547</v>
      </c>
      <c r="G14" s="17">
        <f t="shared" si="6"/>
        <v>0.1344137274</v>
      </c>
      <c r="H14" s="17">
        <f t="shared" si="6"/>
        <v>0.1228070175</v>
      </c>
      <c r="I14" s="17">
        <f t="shared" si="6"/>
        <v>0.1023166023</v>
      </c>
      <c r="J14" s="21"/>
    </row>
    <row r="15">
      <c r="B15" s="19" t="s">
        <v>27</v>
      </c>
      <c r="C15" s="28">
        <f>C11/C7</f>
        <v>78.56</v>
      </c>
      <c r="D15" s="28"/>
      <c r="E15" s="23" t="s">
        <v>28</v>
      </c>
      <c r="F15" s="12">
        <v>0.0</v>
      </c>
      <c r="G15" s="12">
        <v>0.0</v>
      </c>
      <c r="H15" s="12">
        <v>0.0</v>
      </c>
      <c r="I15" s="12">
        <v>0.0</v>
      </c>
    </row>
    <row r="16">
      <c r="B16" s="19"/>
      <c r="C16" s="28"/>
      <c r="D16" s="28"/>
      <c r="E16" s="19" t="s">
        <v>29</v>
      </c>
      <c r="F16" s="12">
        <v>12.0</v>
      </c>
      <c r="G16" s="12">
        <v>12.0</v>
      </c>
      <c r="H16" s="12">
        <v>12.0</v>
      </c>
      <c r="I16" s="12">
        <v>40.0</v>
      </c>
    </row>
    <row r="17">
      <c r="B17" s="19"/>
      <c r="C17" s="14"/>
      <c r="D17" s="14"/>
      <c r="E17" s="23" t="s">
        <v>30</v>
      </c>
      <c r="F17" s="12">
        <v>166.0</v>
      </c>
      <c r="G17" s="12">
        <v>269.0</v>
      </c>
      <c r="H17" s="12">
        <v>259.0</v>
      </c>
      <c r="I17" s="21">
        <v>171.0</v>
      </c>
      <c r="J17" s="21"/>
      <c r="K17" s="21"/>
      <c r="L17" s="21"/>
      <c r="M17" s="21"/>
      <c r="N17" s="21"/>
    </row>
    <row r="18">
      <c r="B18" s="19" t="s">
        <v>31</v>
      </c>
      <c r="C18" s="29">
        <f>C12/I4</f>
        <v>1.710173745</v>
      </c>
      <c r="D18" s="29"/>
      <c r="E18" s="23" t="s">
        <v>32</v>
      </c>
      <c r="F18" s="12">
        <v>13.0</v>
      </c>
      <c r="G18" s="12">
        <v>15.0</v>
      </c>
      <c r="H18" s="12">
        <v>36.0</v>
      </c>
      <c r="I18" s="21">
        <v>28.0</v>
      </c>
      <c r="J18" s="21"/>
      <c r="K18" s="21"/>
      <c r="L18" s="21"/>
      <c r="M18" s="21"/>
      <c r="N18" s="21"/>
    </row>
    <row r="19">
      <c r="B19" s="19" t="s">
        <v>33</v>
      </c>
      <c r="C19" s="29">
        <f>C12/I17</f>
        <v>20.72210526</v>
      </c>
      <c r="D19" s="29"/>
      <c r="E19" s="23" t="s">
        <v>34</v>
      </c>
      <c r="F19" s="12">
        <v>152.0</v>
      </c>
      <c r="G19" s="12">
        <v>254.0</v>
      </c>
      <c r="H19" s="12">
        <v>223.0</v>
      </c>
      <c r="I19" s="21">
        <v>143.0</v>
      </c>
      <c r="J19" s="21"/>
      <c r="K19" s="21"/>
      <c r="L19" s="21"/>
      <c r="M19" s="21"/>
      <c r="N19" s="21"/>
    </row>
    <row r="20">
      <c r="B20" s="23"/>
      <c r="E20" s="19" t="s">
        <v>35</v>
      </c>
      <c r="F20" s="12">
        <v>0.0</v>
      </c>
      <c r="G20" s="17">
        <f t="shared" ref="G20:I20" si="7">(G19-F19)/F19</f>
        <v>0.6710526316</v>
      </c>
      <c r="H20" s="17">
        <f t="shared" si="7"/>
        <v>-0.1220472441</v>
      </c>
      <c r="I20" s="17">
        <f t="shared" si="7"/>
        <v>-0.3587443946</v>
      </c>
      <c r="J20" s="21"/>
      <c r="K20" s="21"/>
      <c r="L20" s="21"/>
      <c r="M20" s="21"/>
      <c r="N20" s="21"/>
    </row>
    <row r="21">
      <c r="B21" s="19" t="s">
        <v>36</v>
      </c>
      <c r="C21" s="14">
        <v>0.07</v>
      </c>
      <c r="D21" s="14"/>
      <c r="E21" s="23" t="s">
        <v>37</v>
      </c>
      <c r="F21" s="12">
        <v>6.06</v>
      </c>
      <c r="G21" s="12">
        <v>10.16</v>
      </c>
      <c r="H21" s="12">
        <v>9.27</v>
      </c>
      <c r="I21" s="21">
        <v>5.98</v>
      </c>
      <c r="K21" s="21"/>
      <c r="L21" s="21"/>
      <c r="M21" s="21"/>
      <c r="N21" s="21"/>
    </row>
    <row r="22">
      <c r="B22" s="19" t="s">
        <v>38</v>
      </c>
      <c r="C22" s="17">
        <f>F42</f>
        <v>0.05</v>
      </c>
      <c r="E22" s="23" t="s">
        <v>39</v>
      </c>
      <c r="F22" s="16">
        <v>25.0</v>
      </c>
      <c r="G22" s="16">
        <v>24.0</v>
      </c>
      <c r="H22" s="16">
        <v>24.0</v>
      </c>
      <c r="I22" s="12">
        <v>24.0</v>
      </c>
      <c r="K22" s="21"/>
      <c r="L22" s="21"/>
      <c r="M22" s="21"/>
      <c r="N22" s="21"/>
    </row>
    <row r="23">
      <c r="B23" s="23" t="s">
        <v>40</v>
      </c>
      <c r="C23" s="30">
        <f t="array" ref="C23">NPV(C21,G41:G51)</f>
        <v>1968.015962</v>
      </c>
      <c r="E23" s="13"/>
      <c r="F23" s="20"/>
      <c r="G23" s="17"/>
      <c r="H23" s="17"/>
      <c r="I23" s="17"/>
      <c r="K23" s="21"/>
      <c r="L23" s="21"/>
      <c r="M23" s="21"/>
      <c r="N23" s="21"/>
    </row>
    <row r="24">
      <c r="B24" s="23" t="s">
        <v>41</v>
      </c>
      <c r="C24" s="30">
        <f>C23+C7-C8</f>
        <v>1017.015962</v>
      </c>
      <c r="E24" s="1" t="s">
        <v>42</v>
      </c>
      <c r="F24" s="20">
        <v>-10.0</v>
      </c>
      <c r="G24" s="31">
        <v>-203.0</v>
      </c>
      <c r="H24" s="31">
        <v>-188.0</v>
      </c>
      <c r="I24" s="12">
        <v>-18.0</v>
      </c>
      <c r="K24" s="21"/>
      <c r="L24" s="21"/>
      <c r="M24" s="21"/>
      <c r="N24" s="21"/>
    </row>
    <row r="25">
      <c r="B25" s="23" t="s">
        <v>39</v>
      </c>
      <c r="C25" s="18">
        <f>C6</f>
        <v>24</v>
      </c>
      <c r="E25" s="32" t="s">
        <v>43</v>
      </c>
      <c r="F25" s="20">
        <v>8.0</v>
      </c>
      <c r="G25" s="33" t="s">
        <v>44</v>
      </c>
      <c r="H25" s="20">
        <v>6.0</v>
      </c>
      <c r="I25" s="12">
        <v>5.0</v>
      </c>
    </row>
    <row r="26">
      <c r="B26" s="19" t="s">
        <v>45</v>
      </c>
      <c r="C26" s="30">
        <f>C24/C25</f>
        <v>42.37566507</v>
      </c>
      <c r="E26" s="34" t="s">
        <v>46</v>
      </c>
      <c r="F26" s="35" t="s">
        <v>47</v>
      </c>
      <c r="G26" s="36" t="s">
        <v>48</v>
      </c>
      <c r="H26" s="37">
        <v>34.0</v>
      </c>
      <c r="I26" s="38">
        <v>27.0</v>
      </c>
      <c r="K26" s="21"/>
      <c r="L26" s="21"/>
      <c r="M26" s="21"/>
      <c r="N26" s="21"/>
    </row>
    <row r="27">
      <c r="B27" s="34"/>
      <c r="C27" s="34"/>
      <c r="D27" s="34"/>
      <c r="E27" s="32" t="s">
        <v>49</v>
      </c>
      <c r="F27" s="33" t="s">
        <v>50</v>
      </c>
      <c r="G27" s="33" t="s">
        <v>51</v>
      </c>
      <c r="H27" s="20">
        <v>998.0</v>
      </c>
      <c r="I27" s="18">
        <f>685+250</f>
        <v>935</v>
      </c>
      <c r="K27" s="21"/>
      <c r="L27" s="21"/>
      <c r="M27" s="21"/>
      <c r="N27" s="21"/>
    </row>
    <row r="28">
      <c r="B28" s="13" t="s">
        <v>52</v>
      </c>
      <c r="C28" s="39">
        <f>(C26-C5)/C26</f>
        <v>-1.549104535</v>
      </c>
      <c r="D28" s="39"/>
      <c r="E28" s="32" t="s">
        <v>53</v>
      </c>
      <c r="F28" s="33">
        <f>-752+-2</f>
        <v>-754</v>
      </c>
      <c r="G28" s="33">
        <f>-928+-2</f>
        <v>-930</v>
      </c>
      <c r="H28" s="20">
        <f>-527+-2</f>
        <v>-529</v>
      </c>
      <c r="I28" s="18">
        <f>-795+-20</f>
        <v>-815</v>
      </c>
      <c r="K28" s="21"/>
      <c r="L28" s="21"/>
      <c r="M28" s="21"/>
      <c r="N28" s="21"/>
    </row>
    <row r="29">
      <c r="B29" s="13" t="s">
        <v>54</v>
      </c>
      <c r="C29" s="39">
        <f>H51</f>
        <v>0.3222408338</v>
      </c>
      <c r="D29" s="34"/>
      <c r="E29" s="32"/>
      <c r="F29" s="33"/>
      <c r="G29" s="33"/>
      <c r="H29" s="20"/>
    </row>
    <row r="30">
      <c r="B30" s="34"/>
      <c r="C30" s="34"/>
      <c r="D30" s="34"/>
      <c r="E30" s="1" t="s">
        <v>55</v>
      </c>
      <c r="F30" s="20">
        <v>271.0</v>
      </c>
      <c r="G30" s="31">
        <v>314.0</v>
      </c>
      <c r="H30" s="31">
        <v>140.0</v>
      </c>
      <c r="I30" s="12">
        <v>208.0</v>
      </c>
    </row>
    <row r="31">
      <c r="B31" s="34"/>
      <c r="C31" s="34"/>
      <c r="D31" s="34"/>
      <c r="E31" s="32" t="s">
        <v>56</v>
      </c>
      <c r="F31" s="20">
        <v>-273.0</v>
      </c>
      <c r="G31" s="33" t="s">
        <v>57</v>
      </c>
      <c r="H31" s="20">
        <v>-439.0</v>
      </c>
      <c r="I31" s="12">
        <v>-319.0</v>
      </c>
    </row>
    <row r="32">
      <c r="B32" s="34"/>
      <c r="C32" s="34"/>
      <c r="D32" s="34"/>
      <c r="E32" s="32" t="s">
        <v>58</v>
      </c>
      <c r="F32" s="20">
        <v>15.0</v>
      </c>
      <c r="G32" s="33" t="s">
        <v>59</v>
      </c>
      <c r="H32" s="20">
        <v>286.0</v>
      </c>
      <c r="I32" s="12">
        <v>106.0</v>
      </c>
    </row>
    <row r="33">
      <c r="B33" s="34"/>
      <c r="C33" s="34"/>
      <c r="D33" s="34"/>
      <c r="E33" s="32" t="s">
        <v>60</v>
      </c>
      <c r="F33" s="20">
        <v>12.6</v>
      </c>
      <c r="G33" s="33" t="s">
        <v>61</v>
      </c>
      <c r="H33" s="20">
        <v>33.0</v>
      </c>
      <c r="I33" s="12">
        <v>29.0</v>
      </c>
    </row>
    <row r="34">
      <c r="B34" s="40" t="s">
        <v>62</v>
      </c>
      <c r="C34" s="31" t="s">
        <v>63</v>
      </c>
      <c r="D34" s="41"/>
      <c r="E34" s="32"/>
      <c r="F34" s="33"/>
      <c r="G34" s="33"/>
      <c r="H34" s="20"/>
    </row>
    <row r="35">
      <c r="B35" s="40"/>
      <c r="C35" s="41"/>
      <c r="D35" s="41"/>
      <c r="E35" s="42"/>
      <c r="F35" s="14"/>
      <c r="G35" s="43"/>
    </row>
    <row r="36">
      <c r="C36" s="14"/>
      <c r="D36" s="14"/>
      <c r="E36" s="34" t="s">
        <v>64</v>
      </c>
      <c r="F36" s="44" t="s">
        <v>65</v>
      </c>
      <c r="G36" s="45" t="s">
        <v>34</v>
      </c>
      <c r="H36" s="46" t="s">
        <v>66</v>
      </c>
      <c r="I36" s="47" t="s">
        <v>67</v>
      </c>
    </row>
    <row r="37">
      <c r="C37" s="14"/>
      <c r="D37" s="14"/>
      <c r="E37" s="48">
        <v>2020.0</v>
      </c>
      <c r="F37" s="31">
        <v>0.0</v>
      </c>
      <c r="G37" s="49">
        <f>F19</f>
        <v>152</v>
      </c>
      <c r="H37" s="50">
        <v>0.0</v>
      </c>
    </row>
    <row r="38">
      <c r="B38" s="10" t="s">
        <v>68</v>
      </c>
      <c r="E38" s="41">
        <v>2021.0</v>
      </c>
      <c r="F38" s="51">
        <f>G5</f>
        <v>0.2290568248</v>
      </c>
      <c r="G38" s="49">
        <f>G19</f>
        <v>254</v>
      </c>
      <c r="H38" s="50">
        <v>0.0</v>
      </c>
    </row>
    <row r="39">
      <c r="B39" s="48" t="s">
        <v>69</v>
      </c>
      <c r="D39" s="52"/>
      <c r="E39" s="41">
        <v>2022.0</v>
      </c>
      <c r="F39" s="51">
        <f>H5</f>
        <v>0.05958055291</v>
      </c>
      <c r="G39" s="49">
        <f>H19</f>
        <v>223</v>
      </c>
      <c r="H39" s="50">
        <v>0.0</v>
      </c>
    </row>
    <row r="40">
      <c r="B40" s="48" t="s">
        <v>70</v>
      </c>
      <c r="D40" s="53"/>
      <c r="E40" s="41">
        <v>2023.0</v>
      </c>
      <c r="F40" s="51">
        <f>I5</f>
        <v>-0.06792622582</v>
      </c>
      <c r="G40" s="49">
        <f>I17</f>
        <v>171</v>
      </c>
      <c r="H40" s="39">
        <f>(F39 + F38)/2-F40</f>
        <v>0.2122449147</v>
      </c>
    </row>
    <row r="41">
      <c r="B41" s="48" t="s">
        <v>71</v>
      </c>
      <c r="D41" s="53"/>
      <c r="E41" s="41">
        <v>2024.0</v>
      </c>
      <c r="F41" s="54">
        <v>0.05</v>
      </c>
      <c r="G41" s="49">
        <f>AVERAGE(G37:G40)*(1+F41)</f>
        <v>210</v>
      </c>
      <c r="H41" s="39">
        <f t="shared" ref="H41:H51" si="8">H40 * (1+F40)</f>
        <v>0.1978279187</v>
      </c>
    </row>
    <row r="42">
      <c r="B42" s="48" t="s">
        <v>72</v>
      </c>
      <c r="D42" s="39"/>
      <c r="E42" s="41">
        <v>2025.0</v>
      </c>
      <c r="F42" s="54">
        <v>0.05</v>
      </c>
      <c r="G42" s="49">
        <f t="shared" ref="G42:G51" si="9">G41*(1+F42)</f>
        <v>220.5</v>
      </c>
      <c r="H42" s="39">
        <f t="shared" si="8"/>
        <v>0.2077193146</v>
      </c>
    </row>
    <row r="43">
      <c r="B43" s="21" t="s">
        <v>73</v>
      </c>
      <c r="D43" s="39"/>
      <c r="E43" s="55">
        <v>2026.0</v>
      </c>
      <c r="F43" s="54">
        <v>0.05</v>
      </c>
      <c r="G43" s="49">
        <f t="shared" si="9"/>
        <v>231.525</v>
      </c>
      <c r="H43" s="39">
        <f t="shared" si="8"/>
        <v>0.2181052804</v>
      </c>
      <c r="I43" s="21"/>
      <c r="J43" s="21"/>
      <c r="K43" s="21"/>
    </row>
    <row r="44">
      <c r="D44" s="56"/>
      <c r="E44" s="55">
        <v>2027.0</v>
      </c>
      <c r="F44" s="54">
        <v>0.05</v>
      </c>
      <c r="G44" s="49">
        <f t="shared" si="9"/>
        <v>243.10125</v>
      </c>
      <c r="H44" s="39">
        <f t="shared" si="8"/>
        <v>0.2290105444</v>
      </c>
      <c r="I44" s="21"/>
      <c r="J44" s="21"/>
      <c r="K44" s="21"/>
    </row>
    <row r="45">
      <c r="D45" s="56"/>
      <c r="E45" s="55">
        <v>2028.0</v>
      </c>
      <c r="F45" s="54">
        <v>0.05</v>
      </c>
      <c r="G45" s="49">
        <f t="shared" si="9"/>
        <v>255.2563125</v>
      </c>
      <c r="H45" s="39">
        <f t="shared" si="8"/>
        <v>0.2404610716</v>
      </c>
      <c r="I45" s="21"/>
      <c r="J45" s="21"/>
      <c r="K45" s="21"/>
    </row>
    <row r="46">
      <c r="B46" s="48" t="s">
        <v>74</v>
      </c>
      <c r="D46" s="56"/>
      <c r="E46" s="55">
        <v>2029.0</v>
      </c>
      <c r="F46" s="54">
        <v>0.05</v>
      </c>
      <c r="G46" s="49">
        <f t="shared" si="9"/>
        <v>268.0191281</v>
      </c>
      <c r="H46" s="39">
        <f t="shared" si="8"/>
        <v>0.2524841252</v>
      </c>
      <c r="I46" s="21"/>
      <c r="J46" s="21"/>
      <c r="K46" s="21"/>
    </row>
    <row r="47">
      <c r="B47" s="48"/>
      <c r="C47" s="48"/>
      <c r="D47" s="56"/>
      <c r="E47" s="55">
        <v>2030.0</v>
      </c>
      <c r="F47" s="54">
        <v>0.05</v>
      </c>
      <c r="G47" s="49">
        <f t="shared" si="9"/>
        <v>281.4200845</v>
      </c>
      <c r="H47" s="39">
        <f t="shared" si="8"/>
        <v>0.2651083314</v>
      </c>
      <c r="I47" s="21"/>
      <c r="J47" s="21"/>
      <c r="K47" s="21"/>
    </row>
    <row r="48">
      <c r="B48" s="48" t="s">
        <v>75</v>
      </c>
      <c r="D48" s="56"/>
      <c r="E48" s="12">
        <v>2031.0</v>
      </c>
      <c r="F48" s="54">
        <v>0.05</v>
      </c>
      <c r="G48" s="49">
        <f t="shared" si="9"/>
        <v>295.4910888</v>
      </c>
      <c r="H48" s="39">
        <f t="shared" si="8"/>
        <v>0.278363748</v>
      </c>
    </row>
    <row r="49">
      <c r="B49" s="48" t="s">
        <v>76</v>
      </c>
      <c r="D49" s="56"/>
      <c r="E49" s="12">
        <v>2032.0</v>
      </c>
      <c r="F49" s="54">
        <v>0.05</v>
      </c>
      <c r="G49" s="49">
        <f t="shared" si="9"/>
        <v>310.2656432</v>
      </c>
      <c r="H49" s="39">
        <f t="shared" si="8"/>
        <v>0.2922819354</v>
      </c>
    </row>
    <row r="50">
      <c r="B50" s="57" t="s">
        <v>77</v>
      </c>
      <c r="D50" s="56"/>
      <c r="E50" s="12">
        <v>2033.0</v>
      </c>
      <c r="F50" s="54">
        <v>0.05</v>
      </c>
      <c r="G50" s="49">
        <f t="shared" si="9"/>
        <v>325.7789254</v>
      </c>
      <c r="H50" s="39">
        <f t="shared" si="8"/>
        <v>0.3068960322</v>
      </c>
    </row>
    <row r="51">
      <c r="D51" s="56"/>
      <c r="E51" s="12">
        <v>2024.0</v>
      </c>
      <c r="F51" s="54">
        <v>0.05</v>
      </c>
      <c r="G51" s="49">
        <f t="shared" si="9"/>
        <v>342.0678716</v>
      </c>
      <c r="H51" s="39">
        <f t="shared" si="8"/>
        <v>0.3222408338</v>
      </c>
    </row>
    <row r="52">
      <c r="B52" s="48"/>
      <c r="C52" s="48"/>
      <c r="D52" s="56"/>
    </row>
    <row r="53">
      <c r="B53" s="48"/>
      <c r="C53" s="48"/>
      <c r="D53" s="56"/>
    </row>
    <row r="54">
      <c r="B54" s="21"/>
      <c r="C54" s="21"/>
    </row>
    <row r="56">
      <c r="B56" s="13" t="s">
        <v>78</v>
      </c>
    </row>
    <row r="57">
      <c r="B57" s="58" t="s">
        <v>79</v>
      </c>
      <c r="C57" s="59"/>
      <c r="D57" s="60"/>
    </row>
    <row r="58">
      <c r="B58" s="61"/>
      <c r="C58" s="62"/>
      <c r="D58" s="63"/>
    </row>
    <row r="59">
      <c r="B59" s="64" t="s">
        <v>80</v>
      </c>
      <c r="C59" s="59"/>
      <c r="D59" s="60"/>
    </row>
    <row r="60">
      <c r="B60" s="61"/>
      <c r="C60" s="62"/>
      <c r="D60" s="63"/>
    </row>
    <row r="61">
      <c r="B61" s="65" t="s">
        <v>81</v>
      </c>
      <c r="C61" s="59"/>
      <c r="D61" s="60"/>
    </row>
    <row r="62">
      <c r="B62" s="61"/>
      <c r="C62" s="62"/>
      <c r="D62" s="63"/>
    </row>
    <row r="63">
      <c r="B63" s="66" t="s">
        <v>82</v>
      </c>
      <c r="C63" s="59"/>
      <c r="D63" s="60"/>
    </row>
    <row r="64">
      <c r="B64" s="61"/>
      <c r="C64" s="62"/>
      <c r="D64" s="63"/>
    </row>
    <row r="65">
      <c r="B65" s="65" t="s">
        <v>83</v>
      </c>
      <c r="C65" s="59"/>
      <c r="D65" s="60"/>
    </row>
    <row r="66">
      <c r="B66" s="61"/>
      <c r="C66" s="62"/>
      <c r="D66" s="63"/>
    </row>
    <row r="67">
      <c r="B67" s="65" t="s">
        <v>84</v>
      </c>
      <c r="C67" s="59"/>
      <c r="D67" s="60"/>
    </row>
    <row r="68">
      <c r="B68" s="61"/>
      <c r="C68" s="62"/>
      <c r="D68" s="63"/>
    </row>
    <row r="69">
      <c r="B69" s="65" t="s">
        <v>85</v>
      </c>
      <c r="C69" s="59"/>
      <c r="D69" s="60"/>
    </row>
    <row r="70">
      <c r="B70" s="61"/>
      <c r="C70" s="62"/>
      <c r="D70" s="63"/>
    </row>
  </sheetData>
  <mergeCells count="20">
    <mergeCell ref="B59:D60"/>
    <mergeCell ref="B61:D62"/>
    <mergeCell ref="B63:D64"/>
    <mergeCell ref="B65:D66"/>
    <mergeCell ref="B67:D68"/>
    <mergeCell ref="B69:D70"/>
    <mergeCell ref="B46:C46"/>
    <mergeCell ref="B56:C56"/>
    <mergeCell ref="B57:D58"/>
    <mergeCell ref="B48:C48"/>
    <mergeCell ref="B50:C51"/>
    <mergeCell ref="B49:C49"/>
    <mergeCell ref="B43:C45"/>
    <mergeCell ref="B42:C42"/>
    <mergeCell ref="I36:K41"/>
    <mergeCell ref="B38:C38"/>
    <mergeCell ref="J2:K6"/>
    <mergeCell ref="B39:C39"/>
    <mergeCell ref="B41:C41"/>
    <mergeCell ref="B40:C40"/>
  </mergeCells>
  <hyperlinks>
    <hyperlink r:id="rId1" ref="C3"/>
  </hyperlinks>
  <drawing r:id="rId2"/>
</worksheet>
</file>