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<sst xmlns="http://schemas.openxmlformats.org/spreadsheetml/2006/main" count="71" uniqueCount="66">
  <si>
    <t>X</t>
  </si>
  <si>
    <t>Y20</t>
  </si>
  <si>
    <t>Y21</t>
  </si>
  <si>
    <t>Y22</t>
  </si>
  <si>
    <t>source</t>
  </si>
  <si>
    <t>Price</t>
  </si>
  <si>
    <t>Revenue</t>
  </si>
  <si>
    <t>Shares Outstanding</t>
  </si>
  <si>
    <t>COGS</t>
  </si>
  <si>
    <t>Market Cap</t>
  </si>
  <si>
    <t>Profit Margin</t>
  </si>
  <si>
    <t>Cash</t>
  </si>
  <si>
    <t>Gross Profit</t>
  </si>
  <si>
    <t>Debt</t>
  </si>
  <si>
    <t>R&amp;D</t>
  </si>
  <si>
    <t>EV</t>
  </si>
  <si>
    <t>SG&amp;A</t>
  </si>
  <si>
    <t>P/E</t>
  </si>
  <si>
    <t>Operating Expenses</t>
  </si>
  <si>
    <t>P/S</t>
  </si>
  <si>
    <t>Operating Income</t>
  </si>
  <si>
    <t>P/B</t>
  </si>
  <si>
    <t>Interest Income</t>
  </si>
  <si>
    <t>Interest Expense</t>
  </si>
  <si>
    <t>Pretax Income</t>
  </si>
  <si>
    <t>EV / Revenue</t>
  </si>
  <si>
    <t>Taxes</t>
  </si>
  <si>
    <t>EV / Pretax Income</t>
  </si>
  <si>
    <t>Net Income</t>
  </si>
  <si>
    <t>EPS</t>
  </si>
  <si>
    <t>Discount (WAPM)</t>
  </si>
  <si>
    <t>Shares</t>
  </si>
  <si>
    <t>Terminal</t>
  </si>
  <si>
    <t>Revenue Growth</t>
  </si>
  <si>
    <t>N/A</t>
  </si>
  <si>
    <t>NPV</t>
  </si>
  <si>
    <t>NPV + Cash - Debt</t>
  </si>
  <si>
    <t>Share Repurchases</t>
  </si>
  <si>
    <t>Shares Issued</t>
  </si>
  <si>
    <t>-479</t>
  </si>
  <si>
    <t>Expected Price</t>
  </si>
  <si>
    <t>Debt Issued</t>
  </si>
  <si>
    <t>1148</t>
  </si>
  <si>
    <t>864</t>
  </si>
  <si>
    <t>Price Margin</t>
  </si>
  <si>
    <t>Debt Repaid</t>
  </si>
  <si>
    <t>-13</t>
  </si>
  <si>
    <t>-3183</t>
  </si>
  <si>
    <t>Net Operating Cash</t>
  </si>
  <si>
    <t>Capex</t>
  </si>
  <si>
    <t>-863</t>
  </si>
  <si>
    <t>FCF</t>
  </si>
  <si>
    <t>Valueline (3-5 pt)</t>
  </si>
  <si>
    <t>Stock Based Comp</t>
  </si>
  <si>
    <t>Year</t>
  </si>
  <si>
    <t>Growth Rate</t>
  </si>
  <si>
    <t>Safety Margin</t>
  </si>
  <si>
    <t>Note: This is a rough estimate - margin of safety is estimated by using a lagged rate of revenue growth using measures of net income. This largely assumes operating efficiency tailwinds continue even if top-line growth slows.</t>
  </si>
  <si>
    <t>Notes</t>
  </si>
  <si>
    <t>What are you doing, that your competitors aren't doing yet?</t>
  </si>
  <si>
    <t>What are the insiders doing?</t>
  </si>
  <si>
    <t>Will products or services sizably increase for at least several years?</t>
  </si>
  <si>
    <t>Is management determined and how necessary is management in the business's overall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</si>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</sst>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u/>
      <color rgb="FF0000FF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3" xfId="0" applyAlignment="1" applyFont="1" applyNumberFormat="1">
      <alignment readingOrder="0"/>
    </xf>
    <xf borderId="0" fillId="0" fontId="2" numFmtId="10" xfId="0" applyFont="1" applyNumberFormat="1"/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/>
    </xf>
    <xf borderId="0" fillId="0" fontId="2" numFmtId="3" xfId="0" applyFont="1" applyNumberFormat="1"/>
    <xf borderId="0" fillId="0" fontId="3" numFmtId="0" xfId="0" applyAlignment="1" applyFont="1">
      <alignment shrinkToFit="0" vertical="bottom" wrapText="1"/>
    </xf>
    <xf borderId="0" fillId="2" fontId="5" numFmtId="0" xfId="0" applyAlignment="1" applyFill="1" applyFont="1">
      <alignment horizontal="left" readingOrder="0"/>
    </xf>
    <xf borderId="0" fillId="0" fontId="2" numFmtId="2" xfId="0" applyAlignment="1" applyFont="1" applyNumberFormat="1">
      <alignment horizontal="right"/>
    </xf>
    <xf borderId="0" fillId="0" fontId="2" numFmtId="4" xfId="0" applyAlignment="1" applyFont="1" applyNumberFormat="1">
      <alignment readingOrder="0"/>
    </xf>
    <xf borderId="0" fillId="0" fontId="2" numFmtId="2" xfId="0" applyAlignment="1" applyFont="1" applyNumberFormat="1">
      <alignment horizontal="right" readingOrder="0"/>
    </xf>
    <xf borderId="0" fillId="0" fontId="2" numFmtId="10" xfId="0" applyAlignment="1" applyFont="1" applyNumberFormat="1">
      <alignment readingOrder="0"/>
    </xf>
    <xf borderId="0" fillId="0" fontId="2" numFmtId="2" xfId="0" applyFont="1" applyNumberFormat="1"/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2" numFmtId="165" xfId="0" applyFont="1" applyNumberFormat="1"/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horizontal="right" readingOrder="0"/>
    </xf>
    <xf borderId="0" fillId="0" fontId="6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6" numFmtId="10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49" xfId="0" applyFont="1" applyNumberFormat="1"/>
    <xf borderId="0" fillId="0" fontId="3" numFmtId="10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6" numFmtId="10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0" xfId="0" applyAlignment="1" applyFont="1" applyNumberFormat="1">
      <alignment readingOrder="0" vertical="bottom"/>
    </xf>
    <xf borderId="0" fillId="0" fontId="6" numFmtId="10" xfId="0" applyAlignment="1" applyFont="1" applyNumberFormat="1">
      <alignment shrinkToFit="0" vertical="bottom" wrapText="1"/>
    </xf>
    <xf borderId="0" fillId="0" fontId="6" numFmtId="1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.gov/ix?doc=/Archives/edgar/data/1163302/000116330223000016/x-20221231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6.88"/>
    <col customWidth="1" min="3" max="3" width="13.75"/>
    <col customWidth="1" min="4" max="4" width="10.0"/>
    <col customWidth="1" min="5" max="5" width="18.88"/>
    <col customWidth="1" min="6" max="8" width="13.5"/>
    <col customWidth="1" min="9" max="9" width="12.25"/>
  </cols>
  <sheetData>
    <row r="2">
      <c r="B2" s="1" t="s">
        <v>0</v>
      </c>
      <c r="C2" s="2">
        <v>45106.0</v>
      </c>
      <c r="E2" s="3"/>
      <c r="F2" s="4" t="s">
        <v>1</v>
      </c>
      <c r="G2" s="4" t="s">
        <v>2</v>
      </c>
      <c r="H2" s="5" t="s">
        <v>3</v>
      </c>
      <c r="M2" s="6"/>
      <c r="N2" s="6"/>
      <c r="O2" s="6"/>
      <c r="P2" s="1"/>
      <c r="Q2" s="1"/>
      <c r="R2" s="1"/>
      <c r="S2" s="1"/>
      <c r="T2" s="1"/>
      <c r="U2" s="1"/>
    </row>
    <row r="3">
      <c r="E3" s="7" t="s">
        <v>4</v>
      </c>
    </row>
    <row r="4">
      <c r="B4" s="8" t="s">
        <v>5</v>
      </c>
      <c r="C4" s="9">
        <v>24.48</v>
      </c>
      <c r="E4" s="1" t="s">
        <v>6</v>
      </c>
      <c r="F4" s="10">
        <v>8765.0</v>
      </c>
      <c r="G4" s="10">
        <v>18964.0</v>
      </c>
      <c r="H4" s="10">
        <v>19123.0</v>
      </c>
    </row>
    <row r="5">
      <c r="B5" s="11" t="s">
        <v>7</v>
      </c>
      <c r="C5" s="10">
        <v>226.46</v>
      </c>
      <c r="E5" s="1" t="s">
        <v>8</v>
      </c>
      <c r="F5" s="10">
        <v>9555.0</v>
      </c>
      <c r="G5" s="10">
        <v>14533.0</v>
      </c>
      <c r="H5" s="10">
        <v>16777.0</v>
      </c>
    </row>
    <row r="6">
      <c r="B6" s="8" t="s">
        <v>9</v>
      </c>
      <c r="C6" s="12">
        <f>C4*C5</f>
        <v>5543.7408</v>
      </c>
      <c r="E6" s="1" t="s">
        <v>10</v>
      </c>
      <c r="F6" s="13">
        <f t="shared" ref="F6:H6" si="1">(F4-F5)/F4</f>
        <v>-0.09013120365</v>
      </c>
      <c r="G6" s="13">
        <f t="shared" si="1"/>
        <v>0.2336532377</v>
      </c>
      <c r="H6" s="13">
        <f t="shared" si="1"/>
        <v>0.1226794959</v>
      </c>
      <c r="I6" s="13"/>
      <c r="J6" s="13"/>
      <c r="K6" s="13"/>
      <c r="L6" s="13"/>
      <c r="M6" s="13"/>
    </row>
    <row r="7">
      <c r="B7" s="8" t="s">
        <v>11</v>
      </c>
      <c r="C7" s="12">
        <v>2840.0</v>
      </c>
      <c r="E7" s="1" t="s">
        <v>12</v>
      </c>
      <c r="F7" s="14">
        <f t="shared" ref="F7:H7" si="2">F4-F5</f>
        <v>-790</v>
      </c>
      <c r="G7" s="14">
        <f t="shared" si="2"/>
        <v>4431</v>
      </c>
      <c r="H7" s="14">
        <f t="shared" si="2"/>
        <v>2346</v>
      </c>
    </row>
    <row r="8">
      <c r="B8" s="8" t="s">
        <v>13</v>
      </c>
      <c r="C8" s="10">
        <v>4140.0</v>
      </c>
      <c r="E8" s="15" t="s">
        <v>14</v>
      </c>
      <c r="F8" s="16"/>
      <c r="G8" s="16"/>
      <c r="H8" s="16"/>
      <c r="K8" s="6"/>
      <c r="L8" s="6"/>
      <c r="M8" s="6"/>
    </row>
    <row r="9">
      <c r="B9" s="8" t="s">
        <v>15</v>
      </c>
      <c r="C9" s="17">
        <f>C6+C8-C7</f>
        <v>6843.7408</v>
      </c>
      <c r="E9" s="18" t="s">
        <v>16</v>
      </c>
      <c r="F9" s="10">
        <v>277.0</v>
      </c>
      <c r="G9" s="10">
        <v>426.0</v>
      </c>
      <c r="H9" s="10">
        <v>422.0</v>
      </c>
    </row>
    <row r="10">
      <c r="B10" s="19" t="s">
        <v>17</v>
      </c>
      <c r="C10" s="20">
        <f>C4/H17</f>
        <v>2.395303327</v>
      </c>
      <c r="E10" s="18" t="s">
        <v>18</v>
      </c>
      <c r="F10" s="16">
        <v>10816.0</v>
      </c>
      <c r="G10" s="16">
        <v>15329.0</v>
      </c>
      <c r="H10" s="16">
        <v>17905.0</v>
      </c>
    </row>
    <row r="11">
      <c r="B11" s="1" t="s">
        <v>19</v>
      </c>
      <c r="C11" s="21">
        <f>C6/H4</f>
        <v>0.2898991162</v>
      </c>
      <c r="E11" s="18" t="s">
        <v>20</v>
      </c>
      <c r="F11" s="10">
        <v>-1075.0</v>
      </c>
      <c r="G11" s="10">
        <v>4946.0</v>
      </c>
      <c r="H11" s="10">
        <v>3160.0</v>
      </c>
    </row>
    <row r="12">
      <c r="B12" s="15" t="s">
        <v>21</v>
      </c>
      <c r="C12" s="22">
        <f>C6/C7</f>
        <v>1.952021408</v>
      </c>
      <c r="E12" s="18" t="s">
        <v>22</v>
      </c>
      <c r="F12" s="10">
        <v>7.0</v>
      </c>
      <c r="G12" s="10">
        <v>4.0</v>
      </c>
      <c r="H12" s="10">
        <v>44.0</v>
      </c>
    </row>
    <row r="13">
      <c r="B13" s="15"/>
      <c r="C13" s="22"/>
      <c r="E13" s="15" t="s">
        <v>23</v>
      </c>
      <c r="F13" s="10">
        <v>280.0</v>
      </c>
      <c r="G13" s="10">
        <v>313.0</v>
      </c>
      <c r="H13" s="10">
        <v>159.0</v>
      </c>
    </row>
    <row r="14">
      <c r="B14" s="15"/>
      <c r="C14" s="23"/>
      <c r="E14" s="18" t="s">
        <v>24</v>
      </c>
      <c r="F14" s="10">
        <v>-1307.0</v>
      </c>
      <c r="G14" s="10">
        <v>4344.0</v>
      </c>
      <c r="H14" s="10">
        <v>3259.0</v>
      </c>
    </row>
    <row r="15">
      <c r="B15" s="15" t="s">
        <v>25</v>
      </c>
      <c r="C15" s="24">
        <f>C9/H4</f>
        <v>0.3578800816</v>
      </c>
      <c r="E15" s="18" t="s">
        <v>26</v>
      </c>
      <c r="F15" s="10">
        <v>-142.0</v>
      </c>
      <c r="G15" s="10">
        <v>170.0</v>
      </c>
      <c r="H15" s="10">
        <v>735.0</v>
      </c>
    </row>
    <row r="16">
      <c r="B16" s="15" t="s">
        <v>27</v>
      </c>
      <c r="C16" s="24">
        <f>C9/H14</f>
        <v>2.099951151</v>
      </c>
      <c r="D16" s="25"/>
      <c r="E16" s="18" t="s">
        <v>28</v>
      </c>
      <c r="F16" s="10">
        <v>-1165.0</v>
      </c>
      <c r="G16" s="10">
        <v>4174.0</v>
      </c>
      <c r="H16" s="10">
        <v>2524.0</v>
      </c>
    </row>
    <row r="17">
      <c r="B17" s="18"/>
      <c r="D17" s="25"/>
      <c r="E17" s="18" t="s">
        <v>29</v>
      </c>
      <c r="F17" s="10">
        <v>5.92</v>
      </c>
      <c r="G17" s="10">
        <v>15.77</v>
      </c>
      <c r="H17" s="10">
        <v>10.22</v>
      </c>
    </row>
    <row r="18">
      <c r="B18" s="15" t="s">
        <v>30</v>
      </c>
      <c r="C18" s="23">
        <v>0.0789</v>
      </c>
      <c r="D18" s="25"/>
      <c r="E18" s="18" t="s">
        <v>31</v>
      </c>
      <c r="F18" s="12">
        <v>229106.0</v>
      </c>
      <c r="G18" s="12">
        <v>279522.0</v>
      </c>
      <c r="H18" s="12">
        <v>282487.0</v>
      </c>
    </row>
    <row r="19">
      <c r="B19" s="18" t="s">
        <v>32</v>
      </c>
      <c r="C19" s="13">
        <f>F38</f>
        <v>0.05</v>
      </c>
      <c r="D19" s="26"/>
      <c r="E19" s="27" t="s">
        <v>33</v>
      </c>
      <c r="F19" s="16" t="s">
        <v>34</v>
      </c>
      <c r="G19" s="13">
        <f t="shared" ref="G19:H19" si="3">(G4-F4)/F4</f>
        <v>1.163605248</v>
      </c>
      <c r="H19" s="13">
        <f t="shared" si="3"/>
        <v>0.008384307108</v>
      </c>
      <c r="L19" s="13"/>
      <c r="M19" s="13"/>
    </row>
    <row r="20">
      <c r="B20" s="18" t="s">
        <v>35</v>
      </c>
      <c r="C20" s="28">
        <f t="array" ref="C20">NPV(C18,G34:G43)</f>
        <v>21418.41086</v>
      </c>
      <c r="D20" s="29"/>
      <c r="E20" s="30"/>
    </row>
    <row r="21">
      <c r="B21" s="18" t="s">
        <v>36</v>
      </c>
      <c r="C21" s="28">
        <f>C20+C7-C8</f>
        <v>20118.41086</v>
      </c>
      <c r="D21" s="30"/>
      <c r="E21" s="1" t="s">
        <v>37</v>
      </c>
      <c r="F21" s="16">
        <v>0.0</v>
      </c>
      <c r="G21" s="31">
        <v>-150.0</v>
      </c>
      <c r="H21" s="31">
        <v>-849.0</v>
      </c>
      <c r="I21" s="6"/>
      <c r="L21" s="6"/>
    </row>
    <row r="22">
      <c r="B22" s="18" t="s">
        <v>31</v>
      </c>
      <c r="C22" s="14">
        <f>C5</f>
        <v>226.46</v>
      </c>
      <c r="D22" s="30"/>
      <c r="E22" s="5" t="s">
        <v>38</v>
      </c>
      <c r="F22" s="16">
        <v>-164.0</v>
      </c>
      <c r="G22" s="32" t="s">
        <v>39</v>
      </c>
      <c r="H22" s="16">
        <v>-822.0</v>
      </c>
    </row>
    <row r="23">
      <c r="B23" s="15" t="s">
        <v>40</v>
      </c>
      <c r="C23" s="28">
        <f>C21/C22</f>
        <v>88.83869495</v>
      </c>
      <c r="D23" s="33"/>
      <c r="E23" s="5"/>
      <c r="F23" s="16"/>
      <c r="G23" s="32"/>
      <c r="H23" s="16"/>
    </row>
    <row r="24">
      <c r="B24" s="34"/>
      <c r="C24" s="34"/>
      <c r="D24" s="35"/>
      <c r="E24" s="5" t="s">
        <v>41</v>
      </c>
      <c r="F24" s="32" t="s">
        <v>42</v>
      </c>
      <c r="G24" s="32" t="s">
        <v>43</v>
      </c>
      <c r="H24" s="16">
        <v>343.0</v>
      </c>
    </row>
    <row r="25">
      <c r="B25" s="27" t="s">
        <v>44</v>
      </c>
      <c r="C25" s="35">
        <f>(C23-C4)/C23</f>
        <v>0.7244443988</v>
      </c>
      <c r="D25" s="35"/>
      <c r="E25" s="5" t="s">
        <v>45</v>
      </c>
      <c r="F25" s="32" t="s">
        <v>46</v>
      </c>
      <c r="G25" s="32" t="s">
        <v>47</v>
      </c>
      <c r="H25" s="16">
        <v>-382.0</v>
      </c>
    </row>
    <row r="26">
      <c r="B26" s="34"/>
      <c r="C26" s="34"/>
      <c r="D26" s="35"/>
      <c r="E26" s="5"/>
      <c r="F26" s="32"/>
      <c r="G26" s="32"/>
      <c r="H26" s="16"/>
    </row>
    <row r="27">
      <c r="B27" s="34"/>
      <c r="C27" s="34"/>
      <c r="D27" s="35"/>
      <c r="E27" s="1" t="s">
        <v>48</v>
      </c>
      <c r="F27" s="16">
        <v>138.0</v>
      </c>
      <c r="G27" s="31">
        <v>4090.0</v>
      </c>
      <c r="H27" s="31">
        <v>3505.0</v>
      </c>
    </row>
    <row r="28">
      <c r="B28" s="34"/>
      <c r="C28" s="34"/>
      <c r="D28" s="35"/>
      <c r="E28" s="5" t="s">
        <v>49</v>
      </c>
      <c r="F28" s="16">
        <v>-725.0</v>
      </c>
      <c r="G28" s="32" t="s">
        <v>50</v>
      </c>
      <c r="H28" s="16">
        <v>-1769.0</v>
      </c>
    </row>
    <row r="29">
      <c r="B29" s="34"/>
      <c r="C29" s="34"/>
      <c r="D29" s="35"/>
      <c r="E29" s="5" t="s">
        <v>51</v>
      </c>
      <c r="F29" s="16">
        <f>2118-939</f>
        <v>1179</v>
      </c>
      <c r="G29" s="32">
        <f>2600-2118</f>
        <v>482</v>
      </c>
      <c r="H29" s="16">
        <f>3539-2600</f>
        <v>939</v>
      </c>
    </row>
    <row r="30">
      <c r="B30" s="34"/>
      <c r="C30" s="34"/>
      <c r="D30" s="35"/>
      <c r="E30" s="5"/>
      <c r="F30" s="32"/>
      <c r="G30" s="32"/>
      <c r="H30" s="16"/>
    </row>
    <row r="31">
      <c r="B31" s="36" t="s">
        <v>52</v>
      </c>
      <c r="C31" s="29"/>
      <c r="D31" s="35"/>
      <c r="E31" s="5" t="s">
        <v>53</v>
      </c>
      <c r="F31" s="32" t="s">
        <v>34</v>
      </c>
      <c r="G31" s="32" t="s">
        <v>34</v>
      </c>
      <c r="H31" s="16" t="s">
        <v>34</v>
      </c>
    </row>
    <row r="32">
      <c r="B32" s="36"/>
      <c r="C32" s="29"/>
      <c r="D32" s="33"/>
      <c r="E32" s="37"/>
      <c r="F32" s="23"/>
      <c r="G32" s="38"/>
    </row>
    <row r="33">
      <c r="C33" s="23"/>
      <c r="D33" s="30"/>
      <c r="E33" s="34" t="s">
        <v>54</v>
      </c>
      <c r="F33" s="39" t="s">
        <v>55</v>
      </c>
      <c r="G33" s="40" t="s">
        <v>28</v>
      </c>
      <c r="H33" s="41" t="s">
        <v>56</v>
      </c>
      <c r="I33" s="25" t="s">
        <v>57</v>
      </c>
    </row>
    <row r="34">
      <c r="B34" s="8" t="s">
        <v>58</v>
      </c>
      <c r="C34" s="35"/>
      <c r="D34" s="30"/>
      <c r="E34" s="29">
        <v>2021.0</v>
      </c>
      <c r="F34" s="42">
        <f>G19</f>
        <v>1.163605248</v>
      </c>
      <c r="G34" s="43">
        <f>G16</f>
        <v>4174</v>
      </c>
      <c r="H34" s="44">
        <v>0.0</v>
      </c>
    </row>
    <row r="35">
      <c r="B35" s="45" t="s">
        <v>59</v>
      </c>
      <c r="E35" s="29">
        <v>2022.0</v>
      </c>
      <c r="F35" s="42">
        <f>H19</f>
        <v>0.008384307108</v>
      </c>
      <c r="G35" s="43">
        <f>H16</f>
        <v>2524</v>
      </c>
      <c r="H35" s="44">
        <v>0.0</v>
      </c>
    </row>
    <row r="36">
      <c r="E36" s="29">
        <v>2023.0</v>
      </c>
      <c r="F36" s="46">
        <v>0.05</v>
      </c>
      <c r="G36" s="43">
        <f t="shared" ref="G36:G43" si="4">G35*(1+F36)</f>
        <v>2650.2</v>
      </c>
      <c r="H36" s="35">
        <f>(F35 + F34)/2-F36</f>
        <v>0.5359947776</v>
      </c>
    </row>
    <row r="37">
      <c r="B37" s="35" t="s">
        <v>60</v>
      </c>
      <c r="E37" s="29">
        <v>2024.0</v>
      </c>
      <c r="F37" s="46">
        <v>0.05</v>
      </c>
      <c r="G37" s="43">
        <f t="shared" si="4"/>
        <v>2782.71</v>
      </c>
      <c r="H37" s="35">
        <f t="shared" ref="H37:H43" si="5">H36 * (1+F36-F37)</f>
        <v>0.5359947776</v>
      </c>
    </row>
    <row r="38">
      <c r="E38" s="29">
        <v>2025.0</v>
      </c>
      <c r="F38" s="46">
        <v>0.05</v>
      </c>
      <c r="G38" s="43">
        <f t="shared" si="4"/>
        <v>2921.8455</v>
      </c>
      <c r="H38" s="35">
        <f t="shared" si="5"/>
        <v>0.5359947776</v>
      </c>
    </row>
    <row r="39">
      <c r="B39" s="26" t="s">
        <v>61</v>
      </c>
      <c r="E39" s="30">
        <v>2026.0</v>
      </c>
      <c r="F39" s="46">
        <v>0.05</v>
      </c>
      <c r="G39" s="43">
        <f t="shared" si="4"/>
        <v>3067.937775</v>
      </c>
      <c r="H39" s="35">
        <f t="shared" si="5"/>
        <v>0.5359947776</v>
      </c>
    </row>
    <row r="40">
      <c r="E40" s="30">
        <v>2027.0</v>
      </c>
      <c r="F40" s="46">
        <v>0.05</v>
      </c>
      <c r="G40" s="43">
        <f t="shared" si="4"/>
        <v>3221.334664</v>
      </c>
      <c r="H40" s="35">
        <f t="shared" si="5"/>
        <v>0.5359947776</v>
      </c>
    </row>
    <row r="41">
      <c r="B41" s="26" t="s">
        <v>62</v>
      </c>
      <c r="E41" s="30">
        <v>2028.0</v>
      </c>
      <c r="F41" s="46">
        <v>0.05</v>
      </c>
      <c r="G41" s="43">
        <f t="shared" si="4"/>
        <v>3382.401397</v>
      </c>
      <c r="H41" s="35">
        <f t="shared" si="5"/>
        <v>0.5359947776</v>
      </c>
    </row>
    <row r="42">
      <c r="E42" s="30">
        <v>2029.0</v>
      </c>
      <c r="F42" s="46">
        <v>0.05</v>
      </c>
      <c r="G42" s="43">
        <f t="shared" si="4"/>
        <v>3551.521467</v>
      </c>
      <c r="H42" s="35">
        <f t="shared" si="5"/>
        <v>0.5359947776</v>
      </c>
    </row>
    <row r="43">
      <c r="B43" s="10" t="s">
        <v>63</v>
      </c>
      <c r="E43" s="30">
        <v>2030.0</v>
      </c>
      <c r="F43" s="46">
        <v>0.05</v>
      </c>
      <c r="G43" s="43">
        <f t="shared" si="4"/>
        <v>3729.09754</v>
      </c>
      <c r="H43" s="35">
        <f t="shared" si="5"/>
        <v>0.5359947776</v>
      </c>
    </row>
    <row r="45">
      <c r="B45" s="26" t="s">
        <v>64</v>
      </c>
    </row>
    <row r="47">
      <c r="B47" s="26" t="s">
        <v>65</v>
      </c>
    </row>
  </sheetData>
  <mergeCells count="8">
    <mergeCell ref="B35:D36"/>
    <mergeCell ref="B37:D38"/>
    <mergeCell ref="B39:D40"/>
    <mergeCell ref="B41:D42"/>
    <mergeCell ref="B43:D44"/>
    <mergeCell ref="B45:D46"/>
    <mergeCell ref="I33:K37"/>
    <mergeCell ref="B47:D48"/>
  </mergeCells>
  <hyperlinks>
    <hyperlink r:id="rId1" ref="E3"/>
  </hyperlinks>
  <drawing r:id="rId2"/>
</worksheet>
</file>